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  <Override PartName="/xl/charts/colors6.xml" ContentType="application/vnd.ms-office.chartcolorstyle+xml"/>
  <Override PartName="/xl/charts/style6.xml" ContentType="application/vnd.ms-office.chartstyle+xml"/>
  <Override PartName="/xl/charts/colors7.xml" ContentType="application/vnd.ms-office.chartcolorstyle+xml"/>
  <Override PartName="/xl/charts/style7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180" windowWidth="22992" windowHeight="7656" tabRatio="777" firstSheet="14" activeTab="19"/>
  </bookViews>
  <sheets>
    <sheet name="weight etc" sheetId="1" r:id="rId1"/>
    <sheet name="weight etc_10" sheetId="13" r:id="rId2"/>
    <sheet name="weight etc_20" sheetId="15" r:id="rId3"/>
    <sheet name="cp" sheetId="2" r:id="rId4"/>
    <sheet name="cond and visc calc" sheetId="3" r:id="rId5"/>
    <sheet name="phi, u mix" sheetId="4" r:id="rId6"/>
    <sheet name="cp normalized T" sheetId="5" r:id="rId7"/>
    <sheet name="cp_data_polynoom" sheetId="6" r:id="rId8"/>
    <sheet name="umix_data_polynoom" sheetId="7" r:id="rId9"/>
    <sheet name="kmix_data_polynoom" sheetId="8" r:id="rId10"/>
    <sheet name="cp_data_NASA" sheetId="9" r:id="rId11"/>
    <sheet name="cp_data_NASA_5CO2" sheetId="17" r:id="rId12"/>
    <sheet name="cp_data_NASA_5H10CO2" sheetId="20" r:id="rId13"/>
    <sheet name="cp_data_NASA_10H" sheetId="14" r:id="rId14"/>
    <sheet name="cp_data_NASA_20H" sheetId="16" r:id="rId15"/>
    <sheet name="cp_data_NASA_polynom" sheetId="10" r:id="rId16"/>
    <sheet name="cp_data_NASA_polynom_10" sheetId="11" r:id="rId17"/>
    <sheet name="cp_data_NASA_polynom_20" sheetId="12" r:id="rId18"/>
    <sheet name="cp_data_NASA_polynom_5CO2" sheetId="18" r:id="rId19"/>
    <sheet name="cp_data_NASA_polynom_5H10CO2" sheetId="19" r:id="rId20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9" l="1"/>
  <c r="D3" i="19"/>
  <c r="D4" i="19"/>
  <c r="D5" i="19"/>
  <c r="B5" i="19" s="1"/>
  <c r="D6" i="19"/>
  <c r="D7" i="19"/>
  <c r="D8" i="19"/>
  <c r="D9" i="19"/>
  <c r="B9" i="19" s="1"/>
  <c r="D10" i="19"/>
  <c r="D11" i="19"/>
  <c r="D12" i="19"/>
  <c r="D13" i="19"/>
  <c r="B13" i="19" s="1"/>
  <c r="D14" i="19"/>
  <c r="D15" i="19"/>
  <c r="D16" i="19"/>
  <c r="D17" i="19"/>
  <c r="B17" i="19" s="1"/>
  <c r="D18" i="19"/>
  <c r="D19" i="19"/>
  <c r="D20" i="19"/>
  <c r="D21" i="19"/>
  <c r="B21" i="19" s="1"/>
  <c r="D22" i="19"/>
  <c r="D23" i="19"/>
  <c r="D24" i="19"/>
  <c r="D25" i="19"/>
  <c r="B25" i="19" s="1"/>
  <c r="D26" i="19"/>
  <c r="D27" i="19"/>
  <c r="D28" i="19"/>
  <c r="D29" i="19"/>
  <c r="B29" i="19" s="1"/>
  <c r="D30" i="19"/>
  <c r="D31" i="19"/>
  <c r="D32" i="19"/>
  <c r="D33" i="19"/>
  <c r="B33" i="19" s="1"/>
  <c r="D34" i="19"/>
  <c r="D35" i="19"/>
  <c r="D36" i="19"/>
  <c r="D1" i="19"/>
  <c r="D40" i="20"/>
  <c r="D41" i="20"/>
  <c r="D42" i="20"/>
  <c r="D43" i="20"/>
  <c r="D44" i="20"/>
  <c r="C45" i="20"/>
  <c r="M4" i="20"/>
  <c r="S4" i="20" s="1"/>
  <c r="I4" i="20"/>
  <c r="K4" i="20" s="1"/>
  <c r="Q4" i="20" s="1"/>
  <c r="Q3" i="20"/>
  <c r="N3" i="20"/>
  <c r="T3" i="20" s="1"/>
  <c r="M3" i="20"/>
  <c r="S3" i="20" s="1"/>
  <c r="L3" i="20"/>
  <c r="R3" i="20" s="1"/>
  <c r="K3" i="20"/>
  <c r="J3" i="20"/>
  <c r="P3" i="20" s="1"/>
  <c r="B36" i="19"/>
  <c r="B35" i="19"/>
  <c r="B34" i="19"/>
  <c r="B32" i="19"/>
  <c r="B31" i="19"/>
  <c r="B30" i="19"/>
  <c r="B28" i="19"/>
  <c r="B27" i="19"/>
  <c r="B26" i="19"/>
  <c r="B24" i="19"/>
  <c r="B23" i="19"/>
  <c r="B22" i="19"/>
  <c r="B20" i="19"/>
  <c r="B19" i="19"/>
  <c r="B18" i="19"/>
  <c r="B16" i="19"/>
  <c r="B15" i="19"/>
  <c r="B14" i="19"/>
  <c r="B12" i="19"/>
  <c r="B11" i="19"/>
  <c r="B10" i="19"/>
  <c r="B8" i="19"/>
  <c r="B7" i="19"/>
  <c r="B6" i="19"/>
  <c r="B4" i="19"/>
  <c r="B3" i="19"/>
  <c r="B2" i="19"/>
  <c r="A2" i="19"/>
  <c r="A3" i="19" s="1"/>
  <c r="A4" i="19" s="1"/>
  <c r="A5" i="19" s="1"/>
  <c r="A6" i="19" s="1"/>
  <c r="A7" i="19" s="1"/>
  <c r="A8" i="19" s="1"/>
  <c r="A9" i="19" s="1"/>
  <c r="A10" i="19" s="1"/>
  <c r="A11" i="19" s="1"/>
  <c r="A12" i="19" s="1"/>
  <c r="A13" i="19" s="1"/>
  <c r="A14" i="19" s="1"/>
  <c r="A15" i="19" s="1"/>
  <c r="A16" i="19" s="1"/>
  <c r="A17" i="19" s="1"/>
  <c r="A18" i="19" s="1"/>
  <c r="A19" i="19" s="1"/>
  <c r="A20" i="19" s="1"/>
  <c r="A21" i="19" s="1"/>
  <c r="A22" i="19" s="1"/>
  <c r="A23" i="19" s="1"/>
  <c r="A24" i="19" s="1"/>
  <c r="A25" i="19" s="1"/>
  <c r="A26" i="19" s="1"/>
  <c r="A27" i="19" s="1"/>
  <c r="A28" i="19" s="1"/>
  <c r="A29" i="19" s="1"/>
  <c r="A30" i="19" s="1"/>
  <c r="A31" i="19" s="1"/>
  <c r="A32" i="19" s="1"/>
  <c r="A33" i="19" s="1"/>
  <c r="A34" i="19" s="1"/>
  <c r="A35" i="19" s="1"/>
  <c r="A36" i="19" s="1"/>
  <c r="B1" i="19"/>
  <c r="D2" i="18"/>
  <c r="D3" i="18"/>
  <c r="D4" i="18"/>
  <c r="D5" i="18"/>
  <c r="D6" i="18"/>
  <c r="D7" i="18"/>
  <c r="D8" i="18"/>
  <c r="D9" i="18"/>
  <c r="D10" i="18"/>
  <c r="D11" i="18"/>
  <c r="D12" i="18"/>
  <c r="D13" i="18"/>
  <c r="D14" i="18"/>
  <c r="D15" i="18"/>
  <c r="D16" i="18"/>
  <c r="D17" i="18"/>
  <c r="D18" i="18"/>
  <c r="D19" i="18"/>
  <c r="D20" i="18"/>
  <c r="D21" i="18"/>
  <c r="D22" i="18"/>
  <c r="D23" i="18"/>
  <c r="D24" i="18"/>
  <c r="D25" i="18"/>
  <c r="D26" i="18"/>
  <c r="D27" i="18"/>
  <c r="D28" i="18"/>
  <c r="D29" i="18"/>
  <c r="D30" i="18"/>
  <c r="D31" i="18"/>
  <c r="D32" i="18"/>
  <c r="D33" i="18"/>
  <c r="D34" i="18"/>
  <c r="D35" i="18"/>
  <c r="D36" i="18"/>
  <c r="D1" i="18"/>
  <c r="B1" i="18" s="1"/>
  <c r="B36" i="18"/>
  <c r="B35" i="18"/>
  <c r="B34" i="18"/>
  <c r="B33" i="18"/>
  <c r="B32" i="18"/>
  <c r="B31" i="18"/>
  <c r="B30" i="18"/>
  <c r="B29" i="18"/>
  <c r="B28" i="18"/>
  <c r="B27" i="18"/>
  <c r="B26" i="18"/>
  <c r="B25" i="18"/>
  <c r="B24" i="18"/>
  <c r="B23" i="18"/>
  <c r="B22" i="18"/>
  <c r="B21" i="18"/>
  <c r="B20" i="18"/>
  <c r="B19" i="18"/>
  <c r="B18" i="18"/>
  <c r="B17" i="18"/>
  <c r="B16" i="18"/>
  <c r="B15" i="18"/>
  <c r="B14" i="18"/>
  <c r="B13" i="18"/>
  <c r="B12" i="18"/>
  <c r="B11" i="18"/>
  <c r="B10" i="18"/>
  <c r="B9" i="18"/>
  <c r="B8" i="18"/>
  <c r="B7" i="18"/>
  <c r="B6" i="18"/>
  <c r="B5" i="18"/>
  <c r="B4" i="18"/>
  <c r="B3" i="18"/>
  <c r="B2" i="18"/>
  <c r="A2" i="18"/>
  <c r="A3" i="18" s="1"/>
  <c r="A4" i="18" s="1"/>
  <c r="A5" i="18" s="1"/>
  <c r="A6" i="18" s="1"/>
  <c r="A7" i="18" s="1"/>
  <c r="A8" i="18" s="1"/>
  <c r="A9" i="18" s="1"/>
  <c r="A10" i="18" s="1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V4" i="17"/>
  <c r="V5" i="17"/>
  <c r="V6" i="17"/>
  <c r="V7" i="17"/>
  <c r="V8" i="17"/>
  <c r="V9" i="17"/>
  <c r="V10" i="17"/>
  <c r="V11" i="17"/>
  <c r="V12" i="17"/>
  <c r="V13" i="17"/>
  <c r="V14" i="17"/>
  <c r="V15" i="17"/>
  <c r="V16" i="17"/>
  <c r="V17" i="17"/>
  <c r="V18" i="17"/>
  <c r="V19" i="17"/>
  <c r="V20" i="17"/>
  <c r="V21" i="17"/>
  <c r="V22" i="17"/>
  <c r="V23" i="17"/>
  <c r="V24" i="17"/>
  <c r="V25" i="17"/>
  <c r="V26" i="17"/>
  <c r="V27" i="17"/>
  <c r="V28" i="17"/>
  <c r="V29" i="17"/>
  <c r="V30" i="17"/>
  <c r="V31" i="17"/>
  <c r="V32" i="17"/>
  <c r="V33" i="17"/>
  <c r="V34" i="17"/>
  <c r="V35" i="17"/>
  <c r="V36" i="17"/>
  <c r="V37" i="17"/>
  <c r="V38" i="17"/>
  <c r="V3" i="17"/>
  <c r="E50" i="17"/>
  <c r="E41" i="17"/>
  <c r="E42" i="17"/>
  <c r="E43" i="17"/>
  <c r="E44" i="17"/>
  <c r="E40" i="17"/>
  <c r="D41" i="17"/>
  <c r="N4" i="20" l="1"/>
  <c r="T4" i="20" s="1"/>
  <c r="J4" i="20"/>
  <c r="P4" i="20" s="1"/>
  <c r="I5" i="20"/>
  <c r="L4" i="20"/>
  <c r="R4" i="20" s="1"/>
  <c r="D50" i="20"/>
  <c r="E40" i="20" s="1"/>
  <c r="D44" i="17"/>
  <c r="D43" i="17"/>
  <c r="D42" i="17"/>
  <c r="D40" i="17"/>
  <c r="C45" i="17"/>
  <c r="I4" i="17"/>
  <c r="I5" i="17" s="1"/>
  <c r="K5" i="17" s="1"/>
  <c r="Q5" i="17" s="1"/>
  <c r="N3" i="17"/>
  <c r="T3" i="17" s="1"/>
  <c r="M3" i="17"/>
  <c r="S3" i="17" s="1"/>
  <c r="L3" i="17"/>
  <c r="R3" i="17" s="1"/>
  <c r="K3" i="17"/>
  <c r="Q3" i="17" s="1"/>
  <c r="J3" i="17"/>
  <c r="P3" i="17" s="1"/>
  <c r="D1" i="11"/>
  <c r="E41" i="20" l="1"/>
  <c r="E42" i="20"/>
  <c r="E43" i="20"/>
  <c r="L5" i="20"/>
  <c r="R5" i="20" s="1"/>
  <c r="K5" i="20"/>
  <c r="Q5" i="20" s="1"/>
  <c r="I6" i="20"/>
  <c r="M5" i="20"/>
  <c r="S5" i="20" s="1"/>
  <c r="N5" i="20"/>
  <c r="T5" i="20" s="1"/>
  <c r="J5" i="20"/>
  <c r="P5" i="20" s="1"/>
  <c r="E44" i="20"/>
  <c r="J4" i="17"/>
  <c r="P4" i="17" s="1"/>
  <c r="L4" i="17"/>
  <c r="R4" i="17" s="1"/>
  <c r="N4" i="17"/>
  <c r="T4" i="17" s="1"/>
  <c r="K4" i="17"/>
  <c r="Q4" i="17" s="1"/>
  <c r="D50" i="17"/>
  <c r="I6" i="17"/>
  <c r="M5" i="17"/>
  <c r="S5" i="17" s="1"/>
  <c r="L5" i="17"/>
  <c r="R5" i="17" s="1"/>
  <c r="N5" i="17"/>
  <c r="T5" i="17" s="1"/>
  <c r="J5" i="17"/>
  <c r="P5" i="17" s="1"/>
  <c r="M4" i="17"/>
  <c r="S4" i="17" s="1"/>
  <c r="D2" i="12"/>
  <c r="D3" i="12"/>
  <c r="D4" i="12"/>
  <c r="D5" i="12"/>
  <c r="D6" i="12"/>
  <c r="D7" i="12"/>
  <c r="D8" i="12"/>
  <c r="D9" i="12"/>
  <c r="D10" i="12"/>
  <c r="D11" i="12"/>
  <c r="D12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D33" i="12"/>
  <c r="D34" i="12"/>
  <c r="D35" i="12"/>
  <c r="D36" i="12"/>
  <c r="D1" i="12"/>
  <c r="D41" i="16"/>
  <c r="D42" i="16"/>
  <c r="D43" i="16"/>
  <c r="D44" i="16"/>
  <c r="D40" i="16"/>
  <c r="C45" i="16"/>
  <c r="N4" i="16"/>
  <c r="T4" i="16" s="1"/>
  <c r="K4" i="16"/>
  <c r="Q4" i="16" s="1"/>
  <c r="J4" i="16"/>
  <c r="P4" i="16" s="1"/>
  <c r="I4" i="16"/>
  <c r="I5" i="16" s="1"/>
  <c r="S3" i="16"/>
  <c r="R3" i="16"/>
  <c r="N3" i="16"/>
  <c r="T3" i="16" s="1"/>
  <c r="M3" i="16"/>
  <c r="L3" i="16"/>
  <c r="K3" i="16"/>
  <c r="Q3" i="16" s="1"/>
  <c r="J3" i="16"/>
  <c r="P3" i="16" s="1"/>
  <c r="B3" i="15"/>
  <c r="D3" i="15" s="1"/>
  <c r="B30" i="15"/>
  <c r="B16" i="15"/>
  <c r="G12" i="15"/>
  <c r="F6" i="15"/>
  <c r="F4" i="15"/>
  <c r="B4" i="15"/>
  <c r="D2" i="11"/>
  <c r="D3" i="11"/>
  <c r="D4" i="11"/>
  <c r="D5" i="11"/>
  <c r="D6" i="11"/>
  <c r="D7" i="11"/>
  <c r="D8" i="1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30" i="11"/>
  <c r="D31" i="11"/>
  <c r="D32" i="11"/>
  <c r="D33" i="11"/>
  <c r="D34" i="11"/>
  <c r="D35" i="11"/>
  <c r="D36" i="11"/>
  <c r="D41" i="14"/>
  <c r="D42" i="14"/>
  <c r="D43" i="14"/>
  <c r="D44" i="14"/>
  <c r="D40" i="14"/>
  <c r="C45" i="14"/>
  <c r="Q4" i="14"/>
  <c r="L4" i="14"/>
  <c r="R4" i="14" s="1"/>
  <c r="K4" i="14"/>
  <c r="I4" i="14"/>
  <c r="N4" i="14" s="1"/>
  <c r="T4" i="14" s="1"/>
  <c r="T3" i="14"/>
  <c r="Q3" i="14"/>
  <c r="P3" i="14"/>
  <c r="N3" i="14"/>
  <c r="M3" i="14"/>
  <c r="S3" i="14" s="1"/>
  <c r="L3" i="14"/>
  <c r="R3" i="14" s="1"/>
  <c r="K3" i="14"/>
  <c r="J3" i="14"/>
  <c r="E3" i="13"/>
  <c r="A3" i="13"/>
  <c r="C3" i="13"/>
  <c r="D3" i="13"/>
  <c r="G14" i="13" s="1"/>
  <c r="B3" i="13"/>
  <c r="B30" i="13"/>
  <c r="B16" i="13"/>
  <c r="G12" i="13"/>
  <c r="F6" i="13"/>
  <c r="B6" i="13"/>
  <c r="F4" i="13"/>
  <c r="D4" i="13"/>
  <c r="B4" i="13"/>
  <c r="A2" i="12"/>
  <c r="A3" i="12" s="1"/>
  <c r="A4" i="12" s="1"/>
  <c r="A5" i="12" s="1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4" i="11"/>
  <c r="A5" i="11" s="1"/>
  <c r="A6" i="11" s="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" i="11"/>
  <c r="A2" i="11"/>
  <c r="E50" i="20" l="1"/>
  <c r="V5" i="20"/>
  <c r="V4" i="20"/>
  <c r="V3" i="20"/>
  <c r="L6" i="20"/>
  <c r="R6" i="20" s="1"/>
  <c r="K6" i="20"/>
  <c r="Q6" i="20" s="1"/>
  <c r="M6" i="20"/>
  <c r="S6" i="20" s="1"/>
  <c r="N6" i="20"/>
  <c r="T6" i="20" s="1"/>
  <c r="I7" i="20"/>
  <c r="J6" i="20"/>
  <c r="P6" i="20" s="1"/>
  <c r="V6" i="20" s="1"/>
  <c r="I7" i="17"/>
  <c r="M6" i="17"/>
  <c r="S6" i="17" s="1"/>
  <c r="N6" i="17"/>
  <c r="T6" i="17" s="1"/>
  <c r="J6" i="17"/>
  <c r="P6" i="17" s="1"/>
  <c r="L6" i="17"/>
  <c r="R6" i="17" s="1"/>
  <c r="K6" i="17"/>
  <c r="Q6" i="17" s="1"/>
  <c r="I6" i="16"/>
  <c r="M5" i="16"/>
  <c r="S5" i="16" s="1"/>
  <c r="L5" i="16"/>
  <c r="R5" i="16" s="1"/>
  <c r="K5" i="16"/>
  <c r="Q5" i="16" s="1"/>
  <c r="V5" i="16" s="1"/>
  <c r="V3" i="16"/>
  <c r="J5" i="16"/>
  <c r="P5" i="16" s="1"/>
  <c r="N5" i="16"/>
  <c r="T5" i="16" s="1"/>
  <c r="L4" i="16"/>
  <c r="R4" i="16" s="1"/>
  <c r="V4" i="16" s="1"/>
  <c r="D50" i="16"/>
  <c r="M4" i="16"/>
  <c r="S4" i="16" s="1"/>
  <c r="D4" i="15"/>
  <c r="G14" i="15"/>
  <c r="E3" i="15"/>
  <c r="C3" i="15"/>
  <c r="G13" i="15" s="1"/>
  <c r="B6" i="15"/>
  <c r="E6" i="15"/>
  <c r="G15" i="15"/>
  <c r="E4" i="15"/>
  <c r="A3" i="15"/>
  <c r="D6" i="15"/>
  <c r="C6" i="15"/>
  <c r="O12" i="15" s="1"/>
  <c r="V3" i="14"/>
  <c r="M4" i="14"/>
  <c r="S4" i="14" s="1"/>
  <c r="I5" i="14"/>
  <c r="J4" i="14"/>
  <c r="P4" i="14" s="1"/>
  <c r="D50" i="14"/>
  <c r="D6" i="13"/>
  <c r="E45" i="4"/>
  <c r="C45" i="4"/>
  <c r="A45" i="4"/>
  <c r="B16" i="1"/>
  <c r="F6" i="1" s="1"/>
  <c r="G15" i="1"/>
  <c r="G14" i="1"/>
  <c r="G13" i="1"/>
  <c r="G12" i="1"/>
  <c r="G11" i="1"/>
  <c r="E6" i="1"/>
  <c r="O14" i="1" s="1"/>
  <c r="D6" i="1"/>
  <c r="C6" i="1"/>
  <c r="B6" i="1"/>
  <c r="O12" i="1" s="1"/>
  <c r="A6" i="1"/>
  <c r="F4" i="1"/>
  <c r="E4" i="1"/>
  <c r="D4" i="1"/>
  <c r="C4" i="1"/>
  <c r="B4" i="1"/>
  <c r="D45" i="4" s="1"/>
  <c r="A4" i="1"/>
  <c r="B45" i="4" s="1"/>
  <c r="G3" i="1"/>
  <c r="G4" i="1" s="1"/>
  <c r="L7" i="20" l="1"/>
  <c r="R7" i="20" s="1"/>
  <c r="K7" i="20"/>
  <c r="Q7" i="20" s="1"/>
  <c r="I8" i="20"/>
  <c r="M7" i="20"/>
  <c r="S7" i="20" s="1"/>
  <c r="J7" i="20"/>
  <c r="P7" i="20" s="1"/>
  <c r="V7" i="20" s="1"/>
  <c r="N7" i="20"/>
  <c r="T7" i="20" s="1"/>
  <c r="I8" i="17"/>
  <c r="M7" i="17"/>
  <c r="S7" i="17" s="1"/>
  <c r="L7" i="17"/>
  <c r="R7" i="17" s="1"/>
  <c r="K7" i="17"/>
  <c r="Q7" i="17" s="1"/>
  <c r="J7" i="17"/>
  <c r="P7" i="17" s="1"/>
  <c r="N7" i="17"/>
  <c r="T7" i="17" s="1"/>
  <c r="I7" i="16"/>
  <c r="M6" i="16"/>
  <c r="S6" i="16" s="1"/>
  <c r="L6" i="16"/>
  <c r="R6" i="16" s="1"/>
  <c r="K6" i="16"/>
  <c r="Q6" i="16" s="1"/>
  <c r="N6" i="16"/>
  <c r="T6" i="16" s="1"/>
  <c r="J6" i="16"/>
  <c r="P6" i="16" s="1"/>
  <c r="V6" i="16" s="1"/>
  <c r="C4" i="15"/>
  <c r="A6" i="15"/>
  <c r="G3" i="15"/>
  <c r="G4" i="15" s="1"/>
  <c r="A4" i="15"/>
  <c r="G11" i="15"/>
  <c r="G17" i="15" s="1"/>
  <c r="O14" i="15"/>
  <c r="V4" i="14"/>
  <c r="K5" i="14"/>
  <c r="Q5" i="14" s="1"/>
  <c r="N5" i="14"/>
  <c r="T5" i="14" s="1"/>
  <c r="J5" i="14"/>
  <c r="P5" i="14" s="1"/>
  <c r="V5" i="14" s="1"/>
  <c r="I6" i="14"/>
  <c r="M5" i="14"/>
  <c r="S5" i="14" s="1"/>
  <c r="L5" i="14"/>
  <c r="R5" i="14" s="1"/>
  <c r="G17" i="1"/>
  <c r="O13" i="1"/>
  <c r="G6" i="1"/>
  <c r="D8" i="1" s="1"/>
  <c r="O11" i="1"/>
  <c r="L8" i="20" l="1"/>
  <c r="R8" i="20" s="1"/>
  <c r="K8" i="20"/>
  <c r="Q8" i="20" s="1"/>
  <c r="M8" i="20"/>
  <c r="S8" i="20" s="1"/>
  <c r="N8" i="20"/>
  <c r="T8" i="20" s="1"/>
  <c r="I9" i="20"/>
  <c r="J8" i="20"/>
  <c r="P8" i="20" s="1"/>
  <c r="I9" i="17"/>
  <c r="M8" i="17"/>
  <c r="S8" i="17" s="1"/>
  <c r="K8" i="17"/>
  <c r="Q8" i="17" s="1"/>
  <c r="J8" i="17"/>
  <c r="P8" i="17" s="1"/>
  <c r="N8" i="17"/>
  <c r="T8" i="17" s="1"/>
  <c r="L8" i="17"/>
  <c r="R8" i="17" s="1"/>
  <c r="I8" i="16"/>
  <c r="M7" i="16"/>
  <c r="S7" i="16" s="1"/>
  <c r="L7" i="16"/>
  <c r="R7" i="16" s="1"/>
  <c r="K7" i="16"/>
  <c r="Q7" i="16" s="1"/>
  <c r="N7" i="16"/>
  <c r="T7" i="16" s="1"/>
  <c r="J7" i="16"/>
  <c r="P7" i="16" s="1"/>
  <c r="O11" i="15"/>
  <c r="A8" i="15"/>
  <c r="O13" i="15"/>
  <c r="B25" i="15"/>
  <c r="G6" i="15"/>
  <c r="K6" i="14"/>
  <c r="Q6" i="14" s="1"/>
  <c r="N6" i="14"/>
  <c r="T6" i="14" s="1"/>
  <c r="J6" i="14"/>
  <c r="P6" i="14" s="1"/>
  <c r="V6" i="14" s="1"/>
  <c r="I7" i="14"/>
  <c r="M6" i="14"/>
  <c r="S6" i="14" s="1"/>
  <c r="L6" i="14"/>
  <c r="R6" i="14" s="1"/>
  <c r="B8" i="1"/>
  <c r="J15" i="1"/>
  <c r="J12" i="1"/>
  <c r="L13" i="1"/>
  <c r="J13" i="1"/>
  <c r="L14" i="1"/>
  <c r="L11" i="1"/>
  <c r="J11" i="1"/>
  <c r="D40" i="9" s="1"/>
  <c r="J14" i="1"/>
  <c r="L15" i="1"/>
  <c r="L12" i="1"/>
  <c r="F8" i="1"/>
  <c r="J16" i="1"/>
  <c r="C8" i="1"/>
  <c r="Q11" i="1"/>
  <c r="O15" i="1"/>
  <c r="Q13" i="1"/>
  <c r="T10" i="1" s="1"/>
  <c r="E8" i="1"/>
  <c r="Q14" i="1"/>
  <c r="T12" i="1" s="1"/>
  <c r="A8" i="1"/>
  <c r="Q12" i="1"/>
  <c r="T8" i="1" s="1"/>
  <c r="V8" i="20" l="1"/>
  <c r="L9" i="20"/>
  <c r="R9" i="20" s="1"/>
  <c r="K9" i="20"/>
  <c r="Q9" i="20" s="1"/>
  <c r="I10" i="20"/>
  <c r="M9" i="20"/>
  <c r="S9" i="20" s="1"/>
  <c r="N9" i="20"/>
  <c r="T9" i="20" s="1"/>
  <c r="J9" i="20"/>
  <c r="P9" i="20" s="1"/>
  <c r="V9" i="20" s="1"/>
  <c r="I10" i="17"/>
  <c r="M9" i="17"/>
  <c r="S9" i="17" s="1"/>
  <c r="J9" i="17"/>
  <c r="P9" i="17" s="1"/>
  <c r="N9" i="17"/>
  <c r="T9" i="17" s="1"/>
  <c r="L9" i="17"/>
  <c r="R9" i="17" s="1"/>
  <c r="K9" i="17"/>
  <c r="Q9" i="17" s="1"/>
  <c r="V7" i="16"/>
  <c r="I9" i="16"/>
  <c r="M8" i="16"/>
  <c r="S8" i="16" s="1"/>
  <c r="L8" i="16"/>
  <c r="R8" i="16" s="1"/>
  <c r="K8" i="16"/>
  <c r="Q8" i="16" s="1"/>
  <c r="J8" i="16"/>
  <c r="P8" i="16" s="1"/>
  <c r="N8" i="16"/>
  <c r="T8" i="16" s="1"/>
  <c r="B26" i="15"/>
  <c r="Q13" i="15"/>
  <c r="N21" i="15" s="1"/>
  <c r="J16" i="15"/>
  <c r="L15" i="15"/>
  <c r="L12" i="15"/>
  <c r="J11" i="15"/>
  <c r="J15" i="15"/>
  <c r="L14" i="15"/>
  <c r="J12" i="15"/>
  <c r="L11" i="15"/>
  <c r="J14" i="15"/>
  <c r="L13" i="15"/>
  <c r="J13" i="15"/>
  <c r="B8" i="15"/>
  <c r="F8" i="15"/>
  <c r="Q12" i="15"/>
  <c r="T8" i="15" s="1"/>
  <c r="C8" i="15"/>
  <c r="D8" i="15"/>
  <c r="E8" i="15"/>
  <c r="O15" i="15"/>
  <c r="Q11" i="15"/>
  <c r="Q14" i="15"/>
  <c r="K7" i="14"/>
  <c r="Q7" i="14" s="1"/>
  <c r="N7" i="14"/>
  <c r="T7" i="14" s="1"/>
  <c r="J7" i="14"/>
  <c r="P7" i="14" s="1"/>
  <c r="V7" i="14" s="1"/>
  <c r="I8" i="14"/>
  <c r="M7" i="14"/>
  <c r="S7" i="14" s="1"/>
  <c r="L7" i="14"/>
  <c r="R7" i="14" s="1"/>
  <c r="J17" i="1"/>
  <c r="Q15" i="1"/>
  <c r="T6" i="1"/>
  <c r="L17" i="1"/>
  <c r="G8" i="1"/>
  <c r="L10" i="20" l="1"/>
  <c r="R10" i="20" s="1"/>
  <c r="K10" i="20"/>
  <c r="Q10" i="20" s="1"/>
  <c r="M10" i="20"/>
  <c r="S10" i="20" s="1"/>
  <c r="N10" i="20"/>
  <c r="T10" i="20" s="1"/>
  <c r="I11" i="20"/>
  <c r="J10" i="20"/>
  <c r="P10" i="20" s="1"/>
  <c r="M10" i="17"/>
  <c r="S10" i="17" s="1"/>
  <c r="N10" i="17"/>
  <c r="T10" i="17" s="1"/>
  <c r="L10" i="17"/>
  <c r="R10" i="17" s="1"/>
  <c r="K10" i="17"/>
  <c r="Q10" i="17" s="1"/>
  <c r="I11" i="17"/>
  <c r="J10" i="17"/>
  <c r="P10" i="17" s="1"/>
  <c r="V8" i="16"/>
  <c r="I10" i="16"/>
  <c r="M9" i="16"/>
  <c r="S9" i="16" s="1"/>
  <c r="L9" i="16"/>
  <c r="R9" i="16" s="1"/>
  <c r="K9" i="16"/>
  <c r="Q9" i="16" s="1"/>
  <c r="N9" i="16"/>
  <c r="T9" i="16" s="1"/>
  <c r="J9" i="16"/>
  <c r="P9" i="16" s="1"/>
  <c r="G8" i="15"/>
  <c r="T10" i="15"/>
  <c r="T12" i="15"/>
  <c r="N23" i="15"/>
  <c r="L17" i="15"/>
  <c r="J17" i="15"/>
  <c r="T6" i="15"/>
  <c r="Q15" i="15"/>
  <c r="K8" i="14"/>
  <c r="Q8" i="14" s="1"/>
  <c r="N8" i="14"/>
  <c r="T8" i="14" s="1"/>
  <c r="J8" i="14"/>
  <c r="P8" i="14" s="1"/>
  <c r="V8" i="14" s="1"/>
  <c r="I9" i="14"/>
  <c r="M8" i="14"/>
  <c r="S8" i="14" s="1"/>
  <c r="L8" i="14"/>
  <c r="R8" i="14" s="1"/>
  <c r="A3" i="10"/>
  <c r="A4" i="10"/>
  <c r="A5" i="10"/>
  <c r="A6" i="10" s="1"/>
  <c r="A7" i="10" s="1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2" i="10"/>
  <c r="D44" i="9"/>
  <c r="D43" i="9"/>
  <c r="D42" i="9"/>
  <c r="D41" i="9"/>
  <c r="T4" i="9"/>
  <c r="T5" i="9"/>
  <c r="T6" i="9"/>
  <c r="T7" i="9"/>
  <c r="T8" i="9"/>
  <c r="T9" i="9"/>
  <c r="T10" i="9"/>
  <c r="T11" i="9"/>
  <c r="T12" i="9"/>
  <c r="T13" i="9"/>
  <c r="T14" i="9"/>
  <c r="T15" i="9"/>
  <c r="T16" i="9"/>
  <c r="T17" i="9"/>
  <c r="T18" i="9"/>
  <c r="T19" i="9"/>
  <c r="T20" i="9"/>
  <c r="T21" i="9"/>
  <c r="T22" i="9"/>
  <c r="T23" i="9"/>
  <c r="T24" i="9"/>
  <c r="T25" i="9"/>
  <c r="T26" i="9"/>
  <c r="T27" i="9"/>
  <c r="T28" i="9"/>
  <c r="T29" i="9"/>
  <c r="T30" i="9"/>
  <c r="T31" i="9"/>
  <c r="T32" i="9"/>
  <c r="T33" i="9"/>
  <c r="T34" i="9"/>
  <c r="T35" i="9"/>
  <c r="T36" i="9"/>
  <c r="T37" i="9"/>
  <c r="T38" i="9"/>
  <c r="T3" i="9"/>
  <c r="S4" i="9"/>
  <c r="S5" i="9"/>
  <c r="S6" i="9"/>
  <c r="S7" i="9"/>
  <c r="S8" i="9"/>
  <c r="S9" i="9"/>
  <c r="S10" i="9"/>
  <c r="S11" i="9"/>
  <c r="S12" i="9"/>
  <c r="S13" i="9"/>
  <c r="S14" i="9"/>
  <c r="S15" i="9"/>
  <c r="S16" i="9"/>
  <c r="S17" i="9"/>
  <c r="S18" i="9"/>
  <c r="S19" i="9"/>
  <c r="S20" i="9"/>
  <c r="S21" i="9"/>
  <c r="S22" i="9"/>
  <c r="S23" i="9"/>
  <c r="S24" i="9"/>
  <c r="S25" i="9"/>
  <c r="S26" i="9"/>
  <c r="S27" i="9"/>
  <c r="S28" i="9"/>
  <c r="S29" i="9"/>
  <c r="S30" i="9"/>
  <c r="S31" i="9"/>
  <c r="S32" i="9"/>
  <c r="S33" i="9"/>
  <c r="S34" i="9"/>
  <c r="S35" i="9"/>
  <c r="S36" i="9"/>
  <c r="S37" i="9"/>
  <c r="S38" i="9"/>
  <c r="S3" i="9"/>
  <c r="R4" i="9"/>
  <c r="R5" i="9"/>
  <c r="R6" i="9"/>
  <c r="R7" i="9"/>
  <c r="R8" i="9"/>
  <c r="R9" i="9"/>
  <c r="R10" i="9"/>
  <c r="R11" i="9"/>
  <c r="R12" i="9"/>
  <c r="R13" i="9"/>
  <c r="R14" i="9"/>
  <c r="R15" i="9"/>
  <c r="R16" i="9"/>
  <c r="R17" i="9"/>
  <c r="R18" i="9"/>
  <c r="R19" i="9"/>
  <c r="R20" i="9"/>
  <c r="R21" i="9"/>
  <c r="R22" i="9"/>
  <c r="R23" i="9"/>
  <c r="R24" i="9"/>
  <c r="R25" i="9"/>
  <c r="R26" i="9"/>
  <c r="R27" i="9"/>
  <c r="R28" i="9"/>
  <c r="R29" i="9"/>
  <c r="R30" i="9"/>
  <c r="R31" i="9"/>
  <c r="R32" i="9"/>
  <c r="R33" i="9"/>
  <c r="R34" i="9"/>
  <c r="R35" i="9"/>
  <c r="R36" i="9"/>
  <c r="R37" i="9"/>
  <c r="R38" i="9"/>
  <c r="R3" i="9"/>
  <c r="Q15" i="9"/>
  <c r="P3" i="9"/>
  <c r="P4" i="9"/>
  <c r="P5" i="9"/>
  <c r="P6" i="9"/>
  <c r="P7" i="9"/>
  <c r="P8" i="9"/>
  <c r="P9" i="9"/>
  <c r="P10" i="9"/>
  <c r="P11" i="9"/>
  <c r="P12" i="9"/>
  <c r="P13" i="9"/>
  <c r="P14" i="9"/>
  <c r="P15" i="9"/>
  <c r="P16" i="9"/>
  <c r="P17" i="9"/>
  <c r="P18" i="9"/>
  <c r="P19" i="9"/>
  <c r="P20" i="9"/>
  <c r="P21" i="9"/>
  <c r="P22" i="9"/>
  <c r="P23" i="9"/>
  <c r="P24" i="9"/>
  <c r="P25" i="9"/>
  <c r="P26" i="9"/>
  <c r="P27" i="9"/>
  <c r="P28" i="9"/>
  <c r="P29" i="9"/>
  <c r="P30" i="9"/>
  <c r="P31" i="9"/>
  <c r="P32" i="9"/>
  <c r="P33" i="9"/>
  <c r="P34" i="9"/>
  <c r="P35" i="9"/>
  <c r="P36" i="9"/>
  <c r="P37" i="9"/>
  <c r="P38" i="9"/>
  <c r="N19" i="9"/>
  <c r="N20" i="9"/>
  <c r="N21" i="9"/>
  <c r="N22" i="9"/>
  <c r="N23" i="9"/>
  <c r="N24" i="9"/>
  <c r="N25" i="9"/>
  <c r="N26" i="9"/>
  <c r="N27" i="9"/>
  <c r="N28" i="9"/>
  <c r="N29" i="9"/>
  <c r="N30" i="9"/>
  <c r="N31" i="9"/>
  <c r="N32" i="9"/>
  <c r="N33" i="9"/>
  <c r="N34" i="9"/>
  <c r="N35" i="9"/>
  <c r="N36" i="9"/>
  <c r="N37" i="9"/>
  <c r="N38" i="9"/>
  <c r="N18" i="9"/>
  <c r="M19" i="9"/>
  <c r="M20" i="9"/>
  <c r="M21" i="9"/>
  <c r="M22" i="9"/>
  <c r="M23" i="9"/>
  <c r="M24" i="9"/>
  <c r="M25" i="9"/>
  <c r="M26" i="9"/>
  <c r="M27" i="9"/>
  <c r="M28" i="9"/>
  <c r="M29" i="9"/>
  <c r="M30" i="9"/>
  <c r="M31" i="9"/>
  <c r="M32" i="9"/>
  <c r="M33" i="9"/>
  <c r="M34" i="9"/>
  <c r="M35" i="9"/>
  <c r="M36" i="9"/>
  <c r="M37" i="9"/>
  <c r="M38" i="9"/>
  <c r="M18" i="9"/>
  <c r="L19" i="9"/>
  <c r="L20" i="9"/>
  <c r="L21" i="9"/>
  <c r="L22" i="9"/>
  <c r="L23" i="9"/>
  <c r="L24" i="9"/>
  <c r="L25" i="9"/>
  <c r="L26" i="9"/>
  <c r="L27" i="9"/>
  <c r="L28" i="9"/>
  <c r="L29" i="9"/>
  <c r="L30" i="9"/>
  <c r="L31" i="9"/>
  <c r="L32" i="9"/>
  <c r="L33" i="9"/>
  <c r="L34" i="9"/>
  <c r="L35" i="9"/>
  <c r="L36" i="9"/>
  <c r="L37" i="9"/>
  <c r="L38" i="9"/>
  <c r="L18" i="9"/>
  <c r="K19" i="9"/>
  <c r="Q19" i="9" s="1"/>
  <c r="K20" i="9"/>
  <c r="Q20" i="9" s="1"/>
  <c r="K21" i="9"/>
  <c r="Q21" i="9" s="1"/>
  <c r="K22" i="9"/>
  <c r="Q22" i="9" s="1"/>
  <c r="K23" i="9"/>
  <c r="Q23" i="9" s="1"/>
  <c r="K24" i="9"/>
  <c r="Q24" i="9" s="1"/>
  <c r="K25" i="9"/>
  <c r="Q25" i="9" s="1"/>
  <c r="K26" i="9"/>
  <c r="Q26" i="9" s="1"/>
  <c r="K27" i="9"/>
  <c r="Q27" i="9" s="1"/>
  <c r="K28" i="9"/>
  <c r="Q28" i="9" s="1"/>
  <c r="K29" i="9"/>
  <c r="Q29" i="9" s="1"/>
  <c r="K30" i="9"/>
  <c r="Q30" i="9" s="1"/>
  <c r="K31" i="9"/>
  <c r="Q31" i="9" s="1"/>
  <c r="K32" i="9"/>
  <c r="Q32" i="9" s="1"/>
  <c r="K33" i="9"/>
  <c r="Q33" i="9" s="1"/>
  <c r="K34" i="9"/>
  <c r="Q34" i="9" s="1"/>
  <c r="K35" i="9"/>
  <c r="Q35" i="9" s="1"/>
  <c r="K36" i="9"/>
  <c r="Q36" i="9" s="1"/>
  <c r="K37" i="9"/>
  <c r="Q37" i="9" s="1"/>
  <c r="K38" i="9"/>
  <c r="Q38" i="9" s="1"/>
  <c r="K18" i="9"/>
  <c r="Q18" i="9" s="1"/>
  <c r="J19" i="9"/>
  <c r="J20" i="9"/>
  <c r="J21" i="9"/>
  <c r="J22" i="9"/>
  <c r="J23" i="9"/>
  <c r="J24" i="9"/>
  <c r="J25" i="9"/>
  <c r="J26" i="9"/>
  <c r="J27" i="9"/>
  <c r="J28" i="9"/>
  <c r="J29" i="9"/>
  <c r="J30" i="9"/>
  <c r="J31" i="9"/>
  <c r="J32" i="9"/>
  <c r="J33" i="9"/>
  <c r="J34" i="9"/>
  <c r="J35" i="9"/>
  <c r="J36" i="9"/>
  <c r="J37" i="9"/>
  <c r="J38" i="9"/>
  <c r="J18" i="9"/>
  <c r="M17" i="9"/>
  <c r="N4" i="9"/>
  <c r="N5" i="9"/>
  <c r="N6" i="9"/>
  <c r="N7" i="9"/>
  <c r="N8" i="9"/>
  <c r="N9" i="9"/>
  <c r="N10" i="9"/>
  <c r="N11" i="9"/>
  <c r="N12" i="9"/>
  <c r="N13" i="9"/>
  <c r="N14" i="9"/>
  <c r="N15" i="9"/>
  <c r="N16" i="9"/>
  <c r="N17" i="9"/>
  <c r="M4" i="9"/>
  <c r="M5" i="9"/>
  <c r="M6" i="9"/>
  <c r="M7" i="9"/>
  <c r="M8" i="9"/>
  <c r="M9" i="9"/>
  <c r="M10" i="9"/>
  <c r="M11" i="9"/>
  <c r="M12" i="9"/>
  <c r="M13" i="9"/>
  <c r="M14" i="9"/>
  <c r="M15" i="9"/>
  <c r="M16" i="9"/>
  <c r="L4" i="9"/>
  <c r="L5" i="9"/>
  <c r="L6" i="9"/>
  <c r="L7" i="9"/>
  <c r="L8" i="9"/>
  <c r="L9" i="9"/>
  <c r="L10" i="9"/>
  <c r="L11" i="9"/>
  <c r="L12" i="9"/>
  <c r="L13" i="9"/>
  <c r="L14" i="9"/>
  <c r="L15" i="9"/>
  <c r="L16" i="9"/>
  <c r="L17" i="9"/>
  <c r="K4" i="9"/>
  <c r="Q4" i="9" s="1"/>
  <c r="K5" i="9"/>
  <c r="Q5" i="9" s="1"/>
  <c r="K6" i="9"/>
  <c r="Q6" i="9" s="1"/>
  <c r="K7" i="9"/>
  <c r="Q7" i="9" s="1"/>
  <c r="K8" i="9"/>
  <c r="Q8" i="9" s="1"/>
  <c r="K9" i="9"/>
  <c r="Q9" i="9" s="1"/>
  <c r="K10" i="9"/>
  <c r="Q10" i="9" s="1"/>
  <c r="K11" i="9"/>
  <c r="Q11" i="9" s="1"/>
  <c r="K12" i="9"/>
  <c r="Q12" i="9" s="1"/>
  <c r="K13" i="9"/>
  <c r="Q13" i="9" s="1"/>
  <c r="K14" i="9"/>
  <c r="Q14" i="9" s="1"/>
  <c r="K15" i="9"/>
  <c r="K16" i="9"/>
  <c r="Q16" i="9" s="1"/>
  <c r="K17" i="9"/>
  <c r="Q17" i="9" s="1"/>
  <c r="J4" i="9"/>
  <c r="J5" i="9"/>
  <c r="J6" i="9"/>
  <c r="J7" i="9"/>
  <c r="J8" i="9"/>
  <c r="J9" i="9"/>
  <c r="J10" i="9"/>
  <c r="J11" i="9"/>
  <c r="J12" i="9"/>
  <c r="J13" i="9"/>
  <c r="J14" i="9"/>
  <c r="J15" i="9"/>
  <c r="J16" i="9"/>
  <c r="J17" i="9"/>
  <c r="N3" i="9"/>
  <c r="M3" i="9"/>
  <c r="L3" i="9"/>
  <c r="K3" i="9"/>
  <c r="Q3" i="9" s="1"/>
  <c r="J3" i="9"/>
  <c r="I38" i="9"/>
  <c r="I35" i="9"/>
  <c r="I36" i="9"/>
  <c r="I37" i="9"/>
  <c r="I5" i="9"/>
  <c r="I6" i="9" s="1"/>
  <c r="I7" i="9" s="1"/>
  <c r="I8" i="9" s="1"/>
  <c r="I9" i="9" s="1"/>
  <c r="I10" i="9" s="1"/>
  <c r="I11" i="9" s="1"/>
  <c r="I12" i="9" s="1"/>
  <c r="I13" i="9" s="1"/>
  <c r="I14" i="9" s="1"/>
  <c r="I15" i="9" s="1"/>
  <c r="I16" i="9" s="1"/>
  <c r="I17" i="9" s="1"/>
  <c r="I18" i="9" s="1"/>
  <c r="I19" i="9" s="1"/>
  <c r="I20" i="9" s="1"/>
  <c r="I21" i="9" s="1"/>
  <c r="I22" i="9" s="1"/>
  <c r="I23" i="9" s="1"/>
  <c r="I24" i="9" s="1"/>
  <c r="I25" i="9" s="1"/>
  <c r="I26" i="9" s="1"/>
  <c r="I27" i="9" s="1"/>
  <c r="I28" i="9" s="1"/>
  <c r="I29" i="9" s="1"/>
  <c r="I30" i="9" s="1"/>
  <c r="I31" i="9" s="1"/>
  <c r="I32" i="9" s="1"/>
  <c r="I33" i="9" s="1"/>
  <c r="I34" i="9" s="1"/>
  <c r="I4" i="9"/>
  <c r="V10" i="20" l="1"/>
  <c r="I12" i="20"/>
  <c r="L11" i="20"/>
  <c r="R11" i="20" s="1"/>
  <c r="K11" i="20"/>
  <c r="Q11" i="20" s="1"/>
  <c r="M11" i="20"/>
  <c r="S11" i="20" s="1"/>
  <c r="J11" i="20"/>
  <c r="P11" i="20" s="1"/>
  <c r="N11" i="20"/>
  <c r="T11" i="20" s="1"/>
  <c r="N11" i="17"/>
  <c r="T11" i="17" s="1"/>
  <c r="J11" i="17"/>
  <c r="P11" i="17" s="1"/>
  <c r="I12" i="17"/>
  <c r="K11" i="17"/>
  <c r="Q11" i="17" s="1"/>
  <c r="M11" i="17"/>
  <c r="S11" i="17" s="1"/>
  <c r="L11" i="17"/>
  <c r="R11" i="17" s="1"/>
  <c r="M10" i="16"/>
  <c r="S10" i="16" s="1"/>
  <c r="I11" i="16"/>
  <c r="L10" i="16"/>
  <c r="R10" i="16" s="1"/>
  <c r="K10" i="16"/>
  <c r="Q10" i="16" s="1"/>
  <c r="N10" i="16"/>
  <c r="T10" i="16" s="1"/>
  <c r="J10" i="16"/>
  <c r="P10" i="16" s="1"/>
  <c r="V10" i="16" s="1"/>
  <c r="V9" i="16"/>
  <c r="K9" i="14"/>
  <c r="Q9" i="14" s="1"/>
  <c r="N9" i="14"/>
  <c r="T9" i="14" s="1"/>
  <c r="J9" i="14"/>
  <c r="P9" i="14" s="1"/>
  <c r="V9" i="14" s="1"/>
  <c r="I10" i="14"/>
  <c r="M9" i="14"/>
  <c r="S9" i="14" s="1"/>
  <c r="L9" i="14"/>
  <c r="R9" i="14" s="1"/>
  <c r="D50" i="9"/>
  <c r="V35" i="9"/>
  <c r="V4" i="9"/>
  <c r="V11" i="9"/>
  <c r="V19" i="9"/>
  <c r="V34" i="9"/>
  <c r="V26" i="9"/>
  <c r="V18" i="9"/>
  <c r="V10" i="9"/>
  <c r="V33" i="9"/>
  <c r="V25" i="9"/>
  <c r="V17" i="9"/>
  <c r="V9" i="9"/>
  <c r="V27" i="9"/>
  <c r="V32" i="9"/>
  <c r="V24" i="9"/>
  <c r="V16" i="9"/>
  <c r="V8" i="9"/>
  <c r="V3" i="9"/>
  <c r="V31" i="9"/>
  <c r="V23" i="9"/>
  <c r="V15" i="9"/>
  <c r="V7" i="9"/>
  <c r="V38" i="9"/>
  <c r="V30" i="9"/>
  <c r="V22" i="9"/>
  <c r="V14" i="9"/>
  <c r="V6" i="9"/>
  <c r="V37" i="9"/>
  <c r="V29" i="9"/>
  <c r="V21" i="9"/>
  <c r="V13" i="9"/>
  <c r="V5" i="9"/>
  <c r="V36" i="9"/>
  <c r="V28" i="9"/>
  <c r="V20" i="9"/>
  <c r="V12" i="9"/>
  <c r="C45" i="9"/>
  <c r="V11" i="20" l="1"/>
  <c r="L12" i="20"/>
  <c r="R12" i="20" s="1"/>
  <c r="N12" i="20"/>
  <c r="T12" i="20" s="1"/>
  <c r="M12" i="20"/>
  <c r="S12" i="20" s="1"/>
  <c r="I13" i="20"/>
  <c r="J12" i="20"/>
  <c r="P12" i="20" s="1"/>
  <c r="K12" i="20"/>
  <c r="Q12" i="20" s="1"/>
  <c r="N12" i="17"/>
  <c r="T12" i="17" s="1"/>
  <c r="J12" i="17"/>
  <c r="P12" i="17" s="1"/>
  <c r="K12" i="17"/>
  <c r="Q12" i="17" s="1"/>
  <c r="I13" i="17"/>
  <c r="M12" i="17"/>
  <c r="S12" i="17" s="1"/>
  <c r="L12" i="17"/>
  <c r="R12" i="17" s="1"/>
  <c r="N11" i="16"/>
  <c r="T11" i="16" s="1"/>
  <c r="J11" i="16"/>
  <c r="P11" i="16" s="1"/>
  <c r="I12" i="16"/>
  <c r="K11" i="16"/>
  <c r="Q11" i="16" s="1"/>
  <c r="M11" i="16"/>
  <c r="S11" i="16" s="1"/>
  <c r="L11" i="16"/>
  <c r="R11" i="16" s="1"/>
  <c r="K10" i="14"/>
  <c r="Q10" i="14" s="1"/>
  <c r="N10" i="14"/>
  <c r="T10" i="14" s="1"/>
  <c r="J10" i="14"/>
  <c r="P10" i="14" s="1"/>
  <c r="M10" i="14"/>
  <c r="S10" i="14" s="1"/>
  <c r="I11" i="14"/>
  <c r="L10" i="14"/>
  <c r="R10" i="14" s="1"/>
  <c r="B11" i="11"/>
  <c r="B11" i="12"/>
  <c r="D11" i="10"/>
  <c r="B11" i="10" s="1"/>
  <c r="B4" i="11"/>
  <c r="B4" i="12"/>
  <c r="D4" i="10"/>
  <c r="B4" i="10" s="1"/>
  <c r="B29" i="11"/>
  <c r="B29" i="12"/>
  <c r="D29" i="10"/>
  <c r="B29" i="10" s="1"/>
  <c r="B15" i="12"/>
  <c r="B15" i="11"/>
  <c r="D15" i="10"/>
  <c r="B15" i="10" s="1"/>
  <c r="B9" i="12"/>
  <c r="B9" i="11"/>
  <c r="D9" i="10"/>
  <c r="B9" i="10" s="1"/>
  <c r="B19" i="11"/>
  <c r="B19" i="12"/>
  <c r="D19" i="10"/>
  <c r="B19" i="10" s="1"/>
  <c r="B5" i="11"/>
  <c r="B5" i="12"/>
  <c r="D5" i="10"/>
  <c r="B5" i="10" s="1"/>
  <c r="B30" i="11"/>
  <c r="B30" i="12"/>
  <c r="D30" i="10"/>
  <c r="B30" i="10" s="1"/>
  <c r="B23" i="12"/>
  <c r="B23" i="11"/>
  <c r="D23" i="10"/>
  <c r="B23" i="10" s="1"/>
  <c r="B24" i="12"/>
  <c r="B24" i="11"/>
  <c r="D24" i="10"/>
  <c r="B24" i="10" s="1"/>
  <c r="B2" i="12"/>
  <c r="B2" i="11"/>
  <c r="D2" i="10"/>
  <c r="B2" i="10" s="1"/>
  <c r="B34" i="11"/>
  <c r="B34" i="12"/>
  <c r="D34" i="10"/>
  <c r="B34" i="10" s="1"/>
  <c r="B27" i="11"/>
  <c r="B27" i="12"/>
  <c r="D27" i="10"/>
  <c r="B27" i="10" s="1"/>
  <c r="B20" i="11"/>
  <c r="B20" i="12"/>
  <c r="D20" i="10"/>
  <c r="B20" i="10" s="1"/>
  <c r="B13" i="11"/>
  <c r="B13" i="12"/>
  <c r="D13" i="10"/>
  <c r="B13" i="10" s="1"/>
  <c r="B6" i="12"/>
  <c r="B6" i="11"/>
  <c r="D6" i="10"/>
  <c r="B6" i="10" s="1"/>
  <c r="B25" i="11"/>
  <c r="B25" i="12"/>
  <c r="D25" i="10"/>
  <c r="B25" i="10" s="1"/>
  <c r="B31" i="12"/>
  <c r="B31" i="11"/>
  <c r="D31" i="10"/>
  <c r="B31" i="10" s="1"/>
  <c r="B32" i="12"/>
  <c r="B32" i="11"/>
  <c r="D32" i="10"/>
  <c r="B32" i="10" s="1"/>
  <c r="B33" i="12"/>
  <c r="B33" i="11"/>
  <c r="D33" i="10"/>
  <c r="B33" i="10" s="1"/>
  <c r="B18" i="11"/>
  <c r="B18" i="12"/>
  <c r="D18" i="10"/>
  <c r="B18" i="10" s="1"/>
  <c r="B36" i="11"/>
  <c r="B36" i="12"/>
  <c r="D36" i="10"/>
  <c r="B36" i="10" s="1"/>
  <c r="B22" i="12"/>
  <c r="B22" i="11"/>
  <c r="D22" i="10"/>
  <c r="B22" i="10" s="1"/>
  <c r="B16" i="11"/>
  <c r="B16" i="12"/>
  <c r="D16" i="10"/>
  <c r="B16" i="10" s="1"/>
  <c r="B26" i="11"/>
  <c r="B26" i="12"/>
  <c r="D26" i="10"/>
  <c r="B26" i="10" s="1"/>
  <c r="B12" i="12"/>
  <c r="B12" i="11"/>
  <c r="D12" i="10"/>
  <c r="B12" i="10" s="1"/>
  <c r="B1" i="11"/>
  <c r="B1" i="12"/>
  <c r="D1" i="10"/>
  <c r="B1" i="10" s="1"/>
  <c r="B10" i="11"/>
  <c r="B10" i="12"/>
  <c r="D10" i="10"/>
  <c r="B10" i="10" s="1"/>
  <c r="B3" i="11"/>
  <c r="B3" i="12"/>
  <c r="D3" i="10"/>
  <c r="B3" i="10" s="1"/>
  <c r="B35" i="12"/>
  <c r="B35" i="11"/>
  <c r="D35" i="10"/>
  <c r="B35" i="10" s="1"/>
  <c r="B28" i="12"/>
  <c r="B28" i="11"/>
  <c r="D28" i="10"/>
  <c r="B28" i="10" s="1"/>
  <c r="B21" i="11"/>
  <c r="B21" i="12"/>
  <c r="D21" i="10"/>
  <c r="B21" i="10" s="1"/>
  <c r="B14" i="12"/>
  <c r="B14" i="11"/>
  <c r="D14" i="10"/>
  <c r="B14" i="10" s="1"/>
  <c r="B7" i="12"/>
  <c r="B7" i="11"/>
  <c r="D7" i="10"/>
  <c r="B7" i="10" s="1"/>
  <c r="B8" i="12"/>
  <c r="B8" i="11"/>
  <c r="D8" i="10"/>
  <c r="B8" i="10" s="1"/>
  <c r="B17" i="12"/>
  <c r="B17" i="11"/>
  <c r="D17" i="10"/>
  <c r="B17" i="10" s="1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56" i="2"/>
  <c r="K9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13" i="5"/>
  <c r="C10" i="5"/>
  <c r="B10" i="5"/>
  <c r="V12" i="20" l="1"/>
  <c r="L13" i="20"/>
  <c r="R13" i="20" s="1"/>
  <c r="M13" i="20"/>
  <c r="S13" i="20" s="1"/>
  <c r="K13" i="20"/>
  <c r="Q13" i="20" s="1"/>
  <c r="N13" i="20"/>
  <c r="T13" i="20" s="1"/>
  <c r="I14" i="20"/>
  <c r="J13" i="20"/>
  <c r="P13" i="20" s="1"/>
  <c r="N13" i="17"/>
  <c r="T13" i="17" s="1"/>
  <c r="J13" i="17"/>
  <c r="P13" i="17" s="1"/>
  <c r="M13" i="17"/>
  <c r="S13" i="17" s="1"/>
  <c r="L13" i="17"/>
  <c r="R13" i="17" s="1"/>
  <c r="I14" i="17"/>
  <c r="K13" i="17"/>
  <c r="Q13" i="17" s="1"/>
  <c r="N12" i="16"/>
  <c r="T12" i="16" s="1"/>
  <c r="J12" i="16"/>
  <c r="P12" i="16" s="1"/>
  <c r="M12" i="16"/>
  <c r="S12" i="16" s="1"/>
  <c r="L12" i="16"/>
  <c r="R12" i="16" s="1"/>
  <c r="I13" i="16"/>
  <c r="K12" i="16"/>
  <c r="Q12" i="16" s="1"/>
  <c r="V11" i="16"/>
  <c r="V10" i="14"/>
  <c r="N11" i="14"/>
  <c r="T11" i="14" s="1"/>
  <c r="J11" i="14"/>
  <c r="P11" i="14" s="1"/>
  <c r="M11" i="14"/>
  <c r="S11" i="14" s="1"/>
  <c r="L11" i="14"/>
  <c r="R11" i="14" s="1"/>
  <c r="I12" i="14"/>
  <c r="K11" i="14"/>
  <c r="Q11" i="14" s="1"/>
  <c r="AC4" i="3"/>
  <c r="AC5" i="3"/>
  <c r="AC6" i="3"/>
  <c r="AC7" i="3"/>
  <c r="AC8" i="3"/>
  <c r="AC9" i="3"/>
  <c r="AC10" i="3"/>
  <c r="AC11" i="3"/>
  <c r="AC12" i="3"/>
  <c r="AC13" i="3"/>
  <c r="AC14" i="3"/>
  <c r="AC15" i="3"/>
  <c r="AC16" i="3"/>
  <c r="AC17" i="3"/>
  <c r="AC18" i="3"/>
  <c r="AC19" i="3"/>
  <c r="AC20" i="3"/>
  <c r="AC21" i="3"/>
  <c r="AC22" i="3"/>
  <c r="AC23" i="3"/>
  <c r="AC24" i="3"/>
  <c r="AC25" i="3"/>
  <c r="AC26" i="3"/>
  <c r="AC27" i="3"/>
  <c r="AC28" i="3"/>
  <c r="AC29" i="3"/>
  <c r="AC30" i="3"/>
  <c r="AC31" i="3"/>
  <c r="AC32" i="3"/>
  <c r="AC33" i="3"/>
  <c r="AC34" i="3"/>
  <c r="AC35" i="3"/>
  <c r="Y4" i="3"/>
  <c r="Y5" i="3"/>
  <c r="Y6" i="3"/>
  <c r="Y7" i="3"/>
  <c r="Y8" i="3"/>
  <c r="Y9" i="3"/>
  <c r="Y10" i="3"/>
  <c r="Y11" i="3"/>
  <c r="Y12" i="3"/>
  <c r="Y13" i="3"/>
  <c r="Y14" i="3"/>
  <c r="Y15" i="3"/>
  <c r="Y16" i="3"/>
  <c r="Y17" i="3"/>
  <c r="Y18" i="3"/>
  <c r="Y19" i="3"/>
  <c r="Y20" i="3"/>
  <c r="Y21" i="3"/>
  <c r="Y22" i="3"/>
  <c r="Y23" i="3"/>
  <c r="Y24" i="3"/>
  <c r="Y25" i="3"/>
  <c r="Y26" i="3"/>
  <c r="Y27" i="3"/>
  <c r="Y28" i="3"/>
  <c r="Y29" i="3"/>
  <c r="Y30" i="3"/>
  <c r="Y31" i="3"/>
  <c r="Y32" i="3"/>
  <c r="Y33" i="3"/>
  <c r="Y34" i="3"/>
  <c r="Y35" i="3"/>
  <c r="U4" i="3"/>
  <c r="U5" i="3"/>
  <c r="U6" i="3"/>
  <c r="U7" i="3"/>
  <c r="U8" i="3"/>
  <c r="U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0" i="3"/>
  <c r="U31" i="3"/>
  <c r="U32" i="3"/>
  <c r="U33" i="3"/>
  <c r="U34" i="3"/>
  <c r="U35" i="3"/>
  <c r="AC3" i="3"/>
  <c r="Y3" i="3"/>
  <c r="U3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" i="3"/>
  <c r="S4" i="3"/>
  <c r="S5" i="3"/>
  <c r="S6" i="3"/>
  <c r="S7" i="3"/>
  <c r="S8" i="3"/>
  <c r="S9" i="3"/>
  <c r="S10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W4" i="3"/>
  <c r="W5" i="3"/>
  <c r="W6" i="3"/>
  <c r="W7" i="3"/>
  <c r="W8" i="3"/>
  <c r="W9" i="3"/>
  <c r="W10" i="3"/>
  <c r="W11" i="3"/>
  <c r="W12" i="3"/>
  <c r="W13" i="3"/>
  <c r="W14" i="3"/>
  <c r="W15" i="3"/>
  <c r="W16" i="3"/>
  <c r="W17" i="3"/>
  <c r="W18" i="3"/>
  <c r="W19" i="3"/>
  <c r="W20" i="3"/>
  <c r="W21" i="3"/>
  <c r="W22" i="3"/>
  <c r="W23" i="3"/>
  <c r="W24" i="3"/>
  <c r="W25" i="3"/>
  <c r="W26" i="3"/>
  <c r="W27" i="3"/>
  <c r="W28" i="3"/>
  <c r="W29" i="3"/>
  <c r="W30" i="3"/>
  <c r="W31" i="3"/>
  <c r="W32" i="3"/>
  <c r="W33" i="3"/>
  <c r="W34" i="3"/>
  <c r="W35" i="3"/>
  <c r="AA4" i="3"/>
  <c r="AA5" i="3"/>
  <c r="AA6" i="3"/>
  <c r="AA7" i="3"/>
  <c r="AA8" i="3"/>
  <c r="AA9" i="3"/>
  <c r="AA10" i="3"/>
  <c r="AA11" i="3"/>
  <c r="AA12" i="3"/>
  <c r="AA13" i="3"/>
  <c r="AA14" i="3"/>
  <c r="AA15" i="3"/>
  <c r="AA16" i="3"/>
  <c r="AA17" i="3"/>
  <c r="AA18" i="3"/>
  <c r="AA19" i="3"/>
  <c r="AA20" i="3"/>
  <c r="AA21" i="3"/>
  <c r="AA22" i="3"/>
  <c r="AA23" i="3"/>
  <c r="AA24" i="3"/>
  <c r="AA25" i="3"/>
  <c r="AA26" i="3"/>
  <c r="AA27" i="3"/>
  <c r="AA28" i="3"/>
  <c r="AA29" i="3"/>
  <c r="AA30" i="3"/>
  <c r="AA31" i="3"/>
  <c r="AA32" i="3"/>
  <c r="AA33" i="3"/>
  <c r="AA34" i="3"/>
  <c r="AA35" i="3"/>
  <c r="AA3" i="3"/>
  <c r="W3" i="3"/>
  <c r="S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" i="3"/>
  <c r="L14" i="20" l="1"/>
  <c r="R14" i="20" s="1"/>
  <c r="K14" i="20"/>
  <c r="Q14" i="20" s="1"/>
  <c r="I15" i="20"/>
  <c r="J14" i="20"/>
  <c r="P14" i="20" s="1"/>
  <c r="V14" i="20" s="1"/>
  <c r="N14" i="20"/>
  <c r="T14" i="20" s="1"/>
  <c r="M14" i="20"/>
  <c r="S14" i="20" s="1"/>
  <c r="V13" i="20"/>
  <c r="N14" i="17"/>
  <c r="T14" i="17" s="1"/>
  <c r="J14" i="17"/>
  <c r="P14" i="17" s="1"/>
  <c r="L14" i="17"/>
  <c r="R14" i="17" s="1"/>
  <c r="I15" i="17"/>
  <c r="M14" i="17"/>
  <c r="S14" i="17" s="1"/>
  <c r="K14" i="17"/>
  <c r="Q14" i="17" s="1"/>
  <c r="V12" i="16"/>
  <c r="N13" i="16"/>
  <c r="T13" i="16" s="1"/>
  <c r="J13" i="16"/>
  <c r="P13" i="16" s="1"/>
  <c r="M13" i="16"/>
  <c r="S13" i="16" s="1"/>
  <c r="L13" i="16"/>
  <c r="R13" i="16" s="1"/>
  <c r="I14" i="16"/>
  <c r="K13" i="16"/>
  <c r="Q13" i="16" s="1"/>
  <c r="V11" i="14"/>
  <c r="N12" i="14"/>
  <c r="T12" i="14" s="1"/>
  <c r="J12" i="14"/>
  <c r="P12" i="14" s="1"/>
  <c r="L12" i="14"/>
  <c r="R12" i="14" s="1"/>
  <c r="I13" i="14"/>
  <c r="K12" i="14"/>
  <c r="Q12" i="14" s="1"/>
  <c r="M12" i="14"/>
  <c r="S12" i="14" s="1"/>
  <c r="O44" i="4"/>
  <c r="O41" i="4"/>
  <c r="O40" i="4"/>
  <c r="O39" i="4"/>
  <c r="O38" i="4"/>
  <c r="AG3" i="4"/>
  <c r="A51" i="4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G38" i="4"/>
  <c r="E42" i="4"/>
  <c r="D42" i="4"/>
  <c r="C42" i="4"/>
  <c r="B42" i="4"/>
  <c r="A42" i="4"/>
  <c r="AF35" i="4"/>
  <c r="AG35" i="4"/>
  <c r="AH35" i="4"/>
  <c r="AI35" i="4"/>
  <c r="AJ35" i="4"/>
  <c r="AF4" i="4"/>
  <c r="AG4" i="4"/>
  <c r="AH4" i="4"/>
  <c r="AI4" i="4"/>
  <c r="AJ4" i="4"/>
  <c r="AF5" i="4"/>
  <c r="AG5" i="4"/>
  <c r="AH5" i="4"/>
  <c r="AI5" i="4"/>
  <c r="AJ5" i="4"/>
  <c r="AF6" i="4"/>
  <c r="AG6" i="4"/>
  <c r="AH6" i="4"/>
  <c r="AI6" i="4"/>
  <c r="AJ6" i="4"/>
  <c r="AF7" i="4"/>
  <c r="AG7" i="4"/>
  <c r="AH7" i="4"/>
  <c r="AI7" i="4"/>
  <c r="AJ7" i="4"/>
  <c r="AF8" i="4"/>
  <c r="AG8" i="4"/>
  <c r="AH8" i="4"/>
  <c r="AI8" i="4"/>
  <c r="AJ8" i="4"/>
  <c r="AF9" i="4"/>
  <c r="AG9" i="4"/>
  <c r="AH9" i="4"/>
  <c r="AI9" i="4"/>
  <c r="AJ9" i="4"/>
  <c r="AF10" i="4"/>
  <c r="AG10" i="4"/>
  <c r="AH10" i="4"/>
  <c r="AI10" i="4"/>
  <c r="AJ10" i="4"/>
  <c r="AF11" i="4"/>
  <c r="AG11" i="4"/>
  <c r="AH11" i="4"/>
  <c r="AI11" i="4"/>
  <c r="AJ11" i="4"/>
  <c r="AF12" i="4"/>
  <c r="AG12" i="4"/>
  <c r="AH12" i="4"/>
  <c r="AI12" i="4"/>
  <c r="AJ12" i="4"/>
  <c r="AF13" i="4"/>
  <c r="AG13" i="4"/>
  <c r="AH13" i="4"/>
  <c r="AI13" i="4"/>
  <c r="AJ13" i="4"/>
  <c r="AF14" i="4"/>
  <c r="AG14" i="4"/>
  <c r="AH14" i="4"/>
  <c r="AI14" i="4"/>
  <c r="AJ14" i="4"/>
  <c r="AF15" i="4"/>
  <c r="AG15" i="4"/>
  <c r="AH15" i="4"/>
  <c r="AI15" i="4"/>
  <c r="AJ15" i="4"/>
  <c r="AF16" i="4"/>
  <c r="AG16" i="4"/>
  <c r="AH16" i="4"/>
  <c r="AI16" i="4"/>
  <c r="AJ16" i="4"/>
  <c r="AF17" i="4"/>
  <c r="AG17" i="4"/>
  <c r="AH17" i="4"/>
  <c r="AI17" i="4"/>
  <c r="AJ17" i="4"/>
  <c r="AF18" i="4"/>
  <c r="AG18" i="4"/>
  <c r="AH18" i="4"/>
  <c r="AI18" i="4"/>
  <c r="AJ18" i="4"/>
  <c r="AF19" i="4"/>
  <c r="AG19" i="4"/>
  <c r="AH19" i="4"/>
  <c r="AI19" i="4"/>
  <c r="AJ19" i="4"/>
  <c r="AF20" i="4"/>
  <c r="AG20" i="4"/>
  <c r="AH20" i="4"/>
  <c r="AI20" i="4"/>
  <c r="AJ20" i="4"/>
  <c r="AF21" i="4"/>
  <c r="AG21" i="4"/>
  <c r="AH21" i="4"/>
  <c r="AI21" i="4"/>
  <c r="AJ21" i="4"/>
  <c r="AF22" i="4"/>
  <c r="AG22" i="4"/>
  <c r="AH22" i="4"/>
  <c r="AI22" i="4"/>
  <c r="AJ22" i="4"/>
  <c r="AF23" i="4"/>
  <c r="AG23" i="4"/>
  <c r="AH23" i="4"/>
  <c r="AI23" i="4"/>
  <c r="AJ23" i="4"/>
  <c r="AF24" i="4"/>
  <c r="AG24" i="4"/>
  <c r="AH24" i="4"/>
  <c r="AI24" i="4"/>
  <c r="AJ24" i="4"/>
  <c r="AF25" i="4"/>
  <c r="AG25" i="4"/>
  <c r="AH25" i="4"/>
  <c r="AI25" i="4"/>
  <c r="AJ25" i="4"/>
  <c r="AF26" i="4"/>
  <c r="AG26" i="4"/>
  <c r="AH26" i="4"/>
  <c r="AI26" i="4"/>
  <c r="AJ26" i="4"/>
  <c r="AF27" i="4"/>
  <c r="AG27" i="4"/>
  <c r="AH27" i="4"/>
  <c r="AI27" i="4"/>
  <c r="AJ27" i="4"/>
  <c r="AF28" i="4"/>
  <c r="AG28" i="4"/>
  <c r="AH28" i="4"/>
  <c r="AI28" i="4"/>
  <c r="AJ28" i="4"/>
  <c r="AF29" i="4"/>
  <c r="AG29" i="4"/>
  <c r="AH29" i="4"/>
  <c r="AI29" i="4"/>
  <c r="AJ29" i="4"/>
  <c r="AF30" i="4"/>
  <c r="AG30" i="4"/>
  <c r="AH30" i="4"/>
  <c r="AI30" i="4"/>
  <c r="AJ30" i="4"/>
  <c r="AF31" i="4"/>
  <c r="AG31" i="4"/>
  <c r="AH31" i="4"/>
  <c r="AI31" i="4"/>
  <c r="AJ31" i="4"/>
  <c r="AF32" i="4"/>
  <c r="AG32" i="4"/>
  <c r="AH32" i="4"/>
  <c r="AI32" i="4"/>
  <c r="AJ32" i="4"/>
  <c r="AF33" i="4"/>
  <c r="AG33" i="4"/>
  <c r="AH33" i="4"/>
  <c r="AI33" i="4"/>
  <c r="AJ33" i="4"/>
  <c r="AF34" i="4"/>
  <c r="AG34" i="4"/>
  <c r="AH34" i="4"/>
  <c r="AI34" i="4"/>
  <c r="AJ34" i="4"/>
  <c r="AH3" i="4"/>
  <c r="AI3" i="4"/>
  <c r="AJ3" i="4"/>
  <c r="AF3" i="4"/>
  <c r="Z4" i="4"/>
  <c r="AA4" i="4"/>
  <c r="AB4" i="4"/>
  <c r="AC4" i="4"/>
  <c r="AD4" i="4"/>
  <c r="Z5" i="4"/>
  <c r="AA5" i="4"/>
  <c r="AB5" i="4"/>
  <c r="AC5" i="4"/>
  <c r="AD5" i="4"/>
  <c r="Z6" i="4"/>
  <c r="AA6" i="4"/>
  <c r="AB6" i="4"/>
  <c r="AC6" i="4"/>
  <c r="AD6" i="4"/>
  <c r="Z7" i="4"/>
  <c r="AA7" i="4"/>
  <c r="AB7" i="4"/>
  <c r="AC7" i="4"/>
  <c r="AD7" i="4"/>
  <c r="Z8" i="4"/>
  <c r="AA8" i="4"/>
  <c r="AB8" i="4"/>
  <c r="AC8" i="4"/>
  <c r="AD8" i="4"/>
  <c r="Z9" i="4"/>
  <c r="AA9" i="4"/>
  <c r="AB9" i="4"/>
  <c r="AC9" i="4"/>
  <c r="AD9" i="4"/>
  <c r="Z10" i="4"/>
  <c r="AA10" i="4"/>
  <c r="AB10" i="4"/>
  <c r="AC10" i="4"/>
  <c r="AD10" i="4"/>
  <c r="Z11" i="4"/>
  <c r="AA11" i="4"/>
  <c r="AB11" i="4"/>
  <c r="AC11" i="4"/>
  <c r="AD11" i="4"/>
  <c r="Z12" i="4"/>
  <c r="AA12" i="4"/>
  <c r="AB12" i="4"/>
  <c r="AC12" i="4"/>
  <c r="AD12" i="4"/>
  <c r="Z13" i="4"/>
  <c r="AA13" i="4"/>
  <c r="AB13" i="4"/>
  <c r="AC13" i="4"/>
  <c r="AD13" i="4"/>
  <c r="Z14" i="4"/>
  <c r="AA14" i="4"/>
  <c r="AB14" i="4"/>
  <c r="AC14" i="4"/>
  <c r="AD14" i="4"/>
  <c r="Z15" i="4"/>
  <c r="AA15" i="4"/>
  <c r="AB15" i="4"/>
  <c r="AC15" i="4"/>
  <c r="AD15" i="4"/>
  <c r="Z16" i="4"/>
  <c r="AA16" i="4"/>
  <c r="AB16" i="4"/>
  <c r="AC16" i="4"/>
  <c r="AD16" i="4"/>
  <c r="Z17" i="4"/>
  <c r="AA17" i="4"/>
  <c r="AB17" i="4"/>
  <c r="AC17" i="4"/>
  <c r="AD17" i="4"/>
  <c r="Z18" i="4"/>
  <c r="AA18" i="4"/>
  <c r="AB18" i="4"/>
  <c r="AC18" i="4"/>
  <c r="AD18" i="4"/>
  <c r="Z19" i="4"/>
  <c r="AA19" i="4"/>
  <c r="AB19" i="4"/>
  <c r="AC19" i="4"/>
  <c r="AD19" i="4"/>
  <c r="Z20" i="4"/>
  <c r="AA20" i="4"/>
  <c r="AB20" i="4"/>
  <c r="AC20" i="4"/>
  <c r="AD20" i="4"/>
  <c r="Z21" i="4"/>
  <c r="AA21" i="4"/>
  <c r="AB21" i="4"/>
  <c r="AC21" i="4"/>
  <c r="AD21" i="4"/>
  <c r="Z22" i="4"/>
  <c r="AA22" i="4"/>
  <c r="AB22" i="4"/>
  <c r="AC22" i="4"/>
  <c r="AD22" i="4"/>
  <c r="Z23" i="4"/>
  <c r="AA23" i="4"/>
  <c r="AB23" i="4"/>
  <c r="AC23" i="4"/>
  <c r="AD23" i="4"/>
  <c r="Z24" i="4"/>
  <c r="AA24" i="4"/>
  <c r="AB24" i="4"/>
  <c r="AC24" i="4"/>
  <c r="AD24" i="4"/>
  <c r="Z25" i="4"/>
  <c r="AA25" i="4"/>
  <c r="AB25" i="4"/>
  <c r="AC25" i="4"/>
  <c r="AD25" i="4"/>
  <c r="Z26" i="4"/>
  <c r="AA26" i="4"/>
  <c r="AB26" i="4"/>
  <c r="AC26" i="4"/>
  <c r="AD26" i="4"/>
  <c r="Z27" i="4"/>
  <c r="AA27" i="4"/>
  <c r="AB27" i="4"/>
  <c r="AC27" i="4"/>
  <c r="AD27" i="4"/>
  <c r="Z28" i="4"/>
  <c r="AA28" i="4"/>
  <c r="AB28" i="4"/>
  <c r="AC28" i="4"/>
  <c r="AD28" i="4"/>
  <c r="Z29" i="4"/>
  <c r="AA29" i="4"/>
  <c r="AB29" i="4"/>
  <c r="AC29" i="4"/>
  <c r="AD29" i="4"/>
  <c r="Z30" i="4"/>
  <c r="AA30" i="4"/>
  <c r="AB30" i="4"/>
  <c r="AC30" i="4"/>
  <c r="AD30" i="4"/>
  <c r="Z31" i="4"/>
  <c r="AA31" i="4"/>
  <c r="AB31" i="4"/>
  <c r="AC31" i="4"/>
  <c r="AD31" i="4"/>
  <c r="Z32" i="4"/>
  <c r="AA32" i="4"/>
  <c r="AB32" i="4"/>
  <c r="AC32" i="4"/>
  <c r="AD32" i="4"/>
  <c r="Z33" i="4"/>
  <c r="AA33" i="4"/>
  <c r="AB33" i="4"/>
  <c r="AC33" i="4"/>
  <c r="AD33" i="4"/>
  <c r="Z34" i="4"/>
  <c r="AA34" i="4"/>
  <c r="AB34" i="4"/>
  <c r="AC34" i="4"/>
  <c r="AD34" i="4"/>
  <c r="Z35" i="4"/>
  <c r="AA35" i="4"/>
  <c r="AB35" i="4"/>
  <c r="AC35" i="4"/>
  <c r="AD35" i="4"/>
  <c r="AA3" i="4"/>
  <c r="AB3" i="4"/>
  <c r="AC3" i="4"/>
  <c r="AD3" i="4"/>
  <c r="Z3" i="4"/>
  <c r="T4" i="4"/>
  <c r="U4" i="4"/>
  <c r="V4" i="4"/>
  <c r="W4" i="4"/>
  <c r="X4" i="4"/>
  <c r="T5" i="4"/>
  <c r="U5" i="4"/>
  <c r="V5" i="4"/>
  <c r="W5" i="4"/>
  <c r="X5" i="4"/>
  <c r="T6" i="4"/>
  <c r="U6" i="4"/>
  <c r="V6" i="4"/>
  <c r="W6" i="4"/>
  <c r="X6" i="4"/>
  <c r="T7" i="4"/>
  <c r="U7" i="4"/>
  <c r="V7" i="4"/>
  <c r="W7" i="4"/>
  <c r="X7" i="4"/>
  <c r="T8" i="4"/>
  <c r="U8" i="4"/>
  <c r="V8" i="4"/>
  <c r="W8" i="4"/>
  <c r="X8" i="4"/>
  <c r="T9" i="4"/>
  <c r="U9" i="4"/>
  <c r="V9" i="4"/>
  <c r="W9" i="4"/>
  <c r="X9" i="4"/>
  <c r="T10" i="4"/>
  <c r="U10" i="4"/>
  <c r="V10" i="4"/>
  <c r="W10" i="4"/>
  <c r="X10" i="4"/>
  <c r="T11" i="4"/>
  <c r="U11" i="4"/>
  <c r="V11" i="4"/>
  <c r="W11" i="4"/>
  <c r="X11" i="4"/>
  <c r="T12" i="4"/>
  <c r="U12" i="4"/>
  <c r="V12" i="4"/>
  <c r="W12" i="4"/>
  <c r="X12" i="4"/>
  <c r="T13" i="4"/>
  <c r="U13" i="4"/>
  <c r="V13" i="4"/>
  <c r="W13" i="4"/>
  <c r="X13" i="4"/>
  <c r="T14" i="4"/>
  <c r="U14" i="4"/>
  <c r="V14" i="4"/>
  <c r="W14" i="4"/>
  <c r="X14" i="4"/>
  <c r="T15" i="4"/>
  <c r="U15" i="4"/>
  <c r="V15" i="4"/>
  <c r="W15" i="4"/>
  <c r="X15" i="4"/>
  <c r="T16" i="4"/>
  <c r="U16" i="4"/>
  <c r="V16" i="4"/>
  <c r="W16" i="4"/>
  <c r="X16" i="4"/>
  <c r="T17" i="4"/>
  <c r="U17" i="4"/>
  <c r="V17" i="4"/>
  <c r="W17" i="4"/>
  <c r="X17" i="4"/>
  <c r="T18" i="4"/>
  <c r="U18" i="4"/>
  <c r="V18" i="4"/>
  <c r="W18" i="4"/>
  <c r="X18" i="4"/>
  <c r="T19" i="4"/>
  <c r="U19" i="4"/>
  <c r="V19" i="4"/>
  <c r="W19" i="4"/>
  <c r="X19" i="4"/>
  <c r="T20" i="4"/>
  <c r="U20" i="4"/>
  <c r="V20" i="4"/>
  <c r="W20" i="4"/>
  <c r="X20" i="4"/>
  <c r="T21" i="4"/>
  <c r="U21" i="4"/>
  <c r="V21" i="4"/>
  <c r="W21" i="4"/>
  <c r="X21" i="4"/>
  <c r="T22" i="4"/>
  <c r="U22" i="4"/>
  <c r="V22" i="4"/>
  <c r="W22" i="4"/>
  <c r="X22" i="4"/>
  <c r="T23" i="4"/>
  <c r="U23" i="4"/>
  <c r="V23" i="4"/>
  <c r="W23" i="4"/>
  <c r="X23" i="4"/>
  <c r="T24" i="4"/>
  <c r="U24" i="4"/>
  <c r="V24" i="4"/>
  <c r="W24" i="4"/>
  <c r="X24" i="4"/>
  <c r="T25" i="4"/>
  <c r="U25" i="4"/>
  <c r="V25" i="4"/>
  <c r="W25" i="4"/>
  <c r="X25" i="4"/>
  <c r="T26" i="4"/>
  <c r="U26" i="4"/>
  <c r="V26" i="4"/>
  <c r="W26" i="4"/>
  <c r="X26" i="4"/>
  <c r="T27" i="4"/>
  <c r="U27" i="4"/>
  <c r="V27" i="4"/>
  <c r="W27" i="4"/>
  <c r="X27" i="4"/>
  <c r="T28" i="4"/>
  <c r="U28" i="4"/>
  <c r="V28" i="4"/>
  <c r="W28" i="4"/>
  <c r="X28" i="4"/>
  <c r="T29" i="4"/>
  <c r="U29" i="4"/>
  <c r="V29" i="4"/>
  <c r="W29" i="4"/>
  <c r="X29" i="4"/>
  <c r="T30" i="4"/>
  <c r="U30" i="4"/>
  <c r="V30" i="4"/>
  <c r="W30" i="4"/>
  <c r="X30" i="4"/>
  <c r="T31" i="4"/>
  <c r="U31" i="4"/>
  <c r="V31" i="4"/>
  <c r="W31" i="4"/>
  <c r="X31" i="4"/>
  <c r="T32" i="4"/>
  <c r="U32" i="4"/>
  <c r="V32" i="4"/>
  <c r="W32" i="4"/>
  <c r="X32" i="4"/>
  <c r="T33" i="4"/>
  <c r="U33" i="4"/>
  <c r="V33" i="4"/>
  <c r="W33" i="4"/>
  <c r="X33" i="4"/>
  <c r="T34" i="4"/>
  <c r="U34" i="4"/>
  <c r="V34" i="4"/>
  <c r="W34" i="4"/>
  <c r="X34" i="4"/>
  <c r="T35" i="4"/>
  <c r="U35" i="4"/>
  <c r="V35" i="4"/>
  <c r="W35" i="4"/>
  <c r="X35" i="4"/>
  <c r="U3" i="4"/>
  <c r="V3" i="4"/>
  <c r="W3" i="4"/>
  <c r="X3" i="4"/>
  <c r="T3" i="4"/>
  <c r="R4" i="4"/>
  <c r="R5" i="4"/>
  <c r="R6" i="4"/>
  <c r="R7" i="4"/>
  <c r="R8" i="4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R33" i="4"/>
  <c r="R34" i="4"/>
  <c r="R35" i="4"/>
  <c r="Q4" i="4"/>
  <c r="Q5" i="4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P4" i="4"/>
  <c r="P5" i="4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" i="4"/>
  <c r="Q3" i="4"/>
  <c r="R3" i="4"/>
  <c r="N4" i="4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" i="4"/>
  <c r="O4" i="4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" i="4"/>
  <c r="I3" i="4"/>
  <c r="J3" i="4"/>
  <c r="K3" i="4"/>
  <c r="L3" i="4"/>
  <c r="I4" i="4"/>
  <c r="J4" i="4"/>
  <c r="K4" i="4"/>
  <c r="L4" i="4"/>
  <c r="I5" i="4"/>
  <c r="J5" i="4"/>
  <c r="K5" i="4"/>
  <c r="L5" i="4"/>
  <c r="I6" i="4"/>
  <c r="J6" i="4"/>
  <c r="K6" i="4"/>
  <c r="L6" i="4"/>
  <c r="I7" i="4"/>
  <c r="J7" i="4"/>
  <c r="K7" i="4"/>
  <c r="L7" i="4"/>
  <c r="I8" i="4"/>
  <c r="J8" i="4"/>
  <c r="K8" i="4"/>
  <c r="L8" i="4"/>
  <c r="I9" i="4"/>
  <c r="J9" i="4"/>
  <c r="K9" i="4"/>
  <c r="L9" i="4"/>
  <c r="I10" i="4"/>
  <c r="J10" i="4"/>
  <c r="K10" i="4"/>
  <c r="L10" i="4"/>
  <c r="I11" i="4"/>
  <c r="J11" i="4"/>
  <c r="K11" i="4"/>
  <c r="L11" i="4"/>
  <c r="I12" i="4"/>
  <c r="J12" i="4"/>
  <c r="K12" i="4"/>
  <c r="L12" i="4"/>
  <c r="I13" i="4"/>
  <c r="J13" i="4"/>
  <c r="K13" i="4"/>
  <c r="L13" i="4"/>
  <c r="I14" i="4"/>
  <c r="J14" i="4"/>
  <c r="K14" i="4"/>
  <c r="L14" i="4"/>
  <c r="I15" i="4"/>
  <c r="J15" i="4"/>
  <c r="K15" i="4"/>
  <c r="L15" i="4"/>
  <c r="I16" i="4"/>
  <c r="J16" i="4"/>
  <c r="K16" i="4"/>
  <c r="L16" i="4"/>
  <c r="I17" i="4"/>
  <c r="J17" i="4"/>
  <c r="K17" i="4"/>
  <c r="L17" i="4"/>
  <c r="I18" i="4"/>
  <c r="J18" i="4"/>
  <c r="K18" i="4"/>
  <c r="L18" i="4"/>
  <c r="I19" i="4"/>
  <c r="J19" i="4"/>
  <c r="K19" i="4"/>
  <c r="L19" i="4"/>
  <c r="I20" i="4"/>
  <c r="J20" i="4"/>
  <c r="K20" i="4"/>
  <c r="L20" i="4"/>
  <c r="I21" i="4"/>
  <c r="J21" i="4"/>
  <c r="K21" i="4"/>
  <c r="L21" i="4"/>
  <c r="I22" i="4"/>
  <c r="J22" i="4"/>
  <c r="K22" i="4"/>
  <c r="L22" i="4"/>
  <c r="I23" i="4"/>
  <c r="J23" i="4"/>
  <c r="K23" i="4"/>
  <c r="L23" i="4"/>
  <c r="I24" i="4"/>
  <c r="J24" i="4"/>
  <c r="K24" i="4"/>
  <c r="L24" i="4"/>
  <c r="I25" i="4"/>
  <c r="J25" i="4"/>
  <c r="K25" i="4"/>
  <c r="L25" i="4"/>
  <c r="I26" i="4"/>
  <c r="J26" i="4"/>
  <c r="K26" i="4"/>
  <c r="L26" i="4"/>
  <c r="I27" i="4"/>
  <c r="J27" i="4"/>
  <c r="K27" i="4"/>
  <c r="L27" i="4"/>
  <c r="I28" i="4"/>
  <c r="J28" i="4"/>
  <c r="K28" i="4"/>
  <c r="L28" i="4"/>
  <c r="I29" i="4"/>
  <c r="J29" i="4"/>
  <c r="K29" i="4"/>
  <c r="L29" i="4"/>
  <c r="I30" i="4"/>
  <c r="J30" i="4"/>
  <c r="K30" i="4"/>
  <c r="L30" i="4"/>
  <c r="I31" i="4"/>
  <c r="J31" i="4"/>
  <c r="K31" i="4"/>
  <c r="L31" i="4"/>
  <c r="I32" i="4"/>
  <c r="J32" i="4"/>
  <c r="K32" i="4"/>
  <c r="L32" i="4"/>
  <c r="I33" i="4"/>
  <c r="J33" i="4"/>
  <c r="K33" i="4"/>
  <c r="L33" i="4"/>
  <c r="I34" i="4"/>
  <c r="J34" i="4"/>
  <c r="K34" i="4"/>
  <c r="L34" i="4"/>
  <c r="I35" i="4"/>
  <c r="J35" i="4"/>
  <c r="K35" i="4"/>
  <c r="L35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" i="4"/>
  <c r="A5" i="4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4" i="4"/>
  <c r="C45" i="3"/>
  <c r="I4" i="3"/>
  <c r="V4" i="3" s="1"/>
  <c r="AB3" i="3"/>
  <c r="Z3" i="3"/>
  <c r="X3" i="3"/>
  <c r="V3" i="3"/>
  <c r="T3" i="3"/>
  <c r="R3" i="3"/>
  <c r="P3" i="3"/>
  <c r="Q3" i="3" s="1"/>
  <c r="N3" i="3"/>
  <c r="O3" i="3" s="1"/>
  <c r="L3" i="3"/>
  <c r="J3" i="3"/>
  <c r="L15" i="20" l="1"/>
  <c r="R15" i="20" s="1"/>
  <c r="I16" i="20"/>
  <c r="J15" i="20"/>
  <c r="P15" i="20" s="1"/>
  <c r="N15" i="20"/>
  <c r="T15" i="20" s="1"/>
  <c r="M15" i="20"/>
  <c r="S15" i="20" s="1"/>
  <c r="K15" i="20"/>
  <c r="Q15" i="20" s="1"/>
  <c r="N15" i="17"/>
  <c r="T15" i="17" s="1"/>
  <c r="J15" i="17"/>
  <c r="P15" i="17" s="1"/>
  <c r="I16" i="17"/>
  <c r="K15" i="17"/>
  <c r="Q15" i="17" s="1"/>
  <c r="M15" i="17"/>
  <c r="S15" i="17" s="1"/>
  <c r="L15" i="17"/>
  <c r="R15" i="17" s="1"/>
  <c r="V13" i="16"/>
  <c r="N14" i="16"/>
  <c r="T14" i="16" s="1"/>
  <c r="J14" i="16"/>
  <c r="P14" i="16" s="1"/>
  <c r="L14" i="16"/>
  <c r="R14" i="16" s="1"/>
  <c r="I15" i="16"/>
  <c r="K14" i="16"/>
  <c r="Q14" i="16" s="1"/>
  <c r="M14" i="16"/>
  <c r="S14" i="16" s="1"/>
  <c r="V12" i="14"/>
  <c r="N13" i="14"/>
  <c r="T13" i="14" s="1"/>
  <c r="J13" i="14"/>
  <c r="P13" i="14" s="1"/>
  <c r="I14" i="14"/>
  <c r="K13" i="14"/>
  <c r="Q13" i="14" s="1"/>
  <c r="M13" i="14"/>
  <c r="S13" i="14" s="1"/>
  <c r="L13" i="14"/>
  <c r="R13" i="14" s="1"/>
  <c r="G42" i="4"/>
  <c r="E72" i="4"/>
  <c r="E64" i="4"/>
  <c r="G76" i="4"/>
  <c r="G68" i="4"/>
  <c r="G60" i="4"/>
  <c r="D51" i="4"/>
  <c r="E75" i="4"/>
  <c r="E67" i="4"/>
  <c r="F52" i="4"/>
  <c r="G79" i="4"/>
  <c r="G71" i="4"/>
  <c r="D60" i="4"/>
  <c r="D66" i="4"/>
  <c r="D58" i="4"/>
  <c r="E78" i="4"/>
  <c r="E54" i="4"/>
  <c r="F71" i="4"/>
  <c r="F63" i="4"/>
  <c r="F55" i="4"/>
  <c r="G58" i="4"/>
  <c r="G52" i="4"/>
  <c r="C75" i="4"/>
  <c r="C71" i="4"/>
  <c r="C69" i="4"/>
  <c r="C61" i="4"/>
  <c r="C57" i="4"/>
  <c r="C55" i="4"/>
  <c r="C53" i="4"/>
  <c r="C51" i="4"/>
  <c r="D65" i="4"/>
  <c r="D57" i="4"/>
  <c r="E81" i="4"/>
  <c r="E73" i="4"/>
  <c r="E65" i="4"/>
  <c r="E57" i="4"/>
  <c r="F66" i="4"/>
  <c r="F58" i="4"/>
  <c r="G77" i="4"/>
  <c r="G69" i="4"/>
  <c r="G61" i="4"/>
  <c r="G53" i="4"/>
  <c r="C67" i="4"/>
  <c r="D80" i="4"/>
  <c r="D72" i="4"/>
  <c r="D64" i="4"/>
  <c r="D56" i="4"/>
  <c r="E76" i="4"/>
  <c r="E52" i="4"/>
  <c r="F77" i="4"/>
  <c r="F69" i="4"/>
  <c r="F61" i="4"/>
  <c r="F53" i="4"/>
  <c r="G80" i="4"/>
  <c r="G56" i="4"/>
  <c r="C79" i="4"/>
  <c r="D79" i="4"/>
  <c r="D71" i="4"/>
  <c r="D63" i="4"/>
  <c r="D55" i="4"/>
  <c r="E71" i="4"/>
  <c r="E63" i="4"/>
  <c r="E55" i="4"/>
  <c r="F80" i="4"/>
  <c r="F72" i="4"/>
  <c r="F64" i="4"/>
  <c r="G67" i="4"/>
  <c r="G59" i="4"/>
  <c r="G51" i="4"/>
  <c r="C73" i="4"/>
  <c r="D78" i="4"/>
  <c r="D70" i="4"/>
  <c r="E82" i="4"/>
  <c r="E74" i="4"/>
  <c r="E66" i="4"/>
  <c r="E58" i="4"/>
  <c r="F75" i="4"/>
  <c r="F67" i="4"/>
  <c r="G78" i="4"/>
  <c r="G70" i="4"/>
  <c r="G62" i="4"/>
  <c r="G54" i="4"/>
  <c r="C80" i="4"/>
  <c r="C78" i="4"/>
  <c r="C72" i="4"/>
  <c r="C70" i="4"/>
  <c r="C68" i="4"/>
  <c r="C66" i="4"/>
  <c r="C64" i="4"/>
  <c r="C62" i="4"/>
  <c r="C56" i="4"/>
  <c r="C54" i="4"/>
  <c r="C52" i="4"/>
  <c r="C50" i="4"/>
  <c r="D77" i="4"/>
  <c r="D69" i="4"/>
  <c r="E77" i="4"/>
  <c r="E69" i="4"/>
  <c r="E61" i="4"/>
  <c r="E53" i="4"/>
  <c r="F78" i="4"/>
  <c r="F70" i="4"/>
  <c r="G50" i="4"/>
  <c r="G81" i="4"/>
  <c r="G73" i="4"/>
  <c r="G65" i="4"/>
  <c r="G57" i="4"/>
  <c r="J4" i="3"/>
  <c r="Z4" i="3"/>
  <c r="L4" i="3"/>
  <c r="AB4" i="3"/>
  <c r="N4" i="3"/>
  <c r="O4" i="3" s="1"/>
  <c r="I5" i="3"/>
  <c r="P4" i="3"/>
  <c r="Q4" i="3" s="1"/>
  <c r="R4" i="3"/>
  <c r="T4" i="3"/>
  <c r="X4" i="3"/>
  <c r="V15" i="20" l="1"/>
  <c r="L16" i="20"/>
  <c r="R16" i="20" s="1"/>
  <c r="N16" i="20"/>
  <c r="T16" i="20" s="1"/>
  <c r="M16" i="20"/>
  <c r="S16" i="20" s="1"/>
  <c r="J16" i="20"/>
  <c r="P16" i="20" s="1"/>
  <c r="K16" i="20"/>
  <c r="Q16" i="20" s="1"/>
  <c r="I17" i="20"/>
  <c r="N16" i="17"/>
  <c r="T16" i="17" s="1"/>
  <c r="J16" i="17"/>
  <c r="P16" i="17" s="1"/>
  <c r="L16" i="17"/>
  <c r="R16" i="17" s="1"/>
  <c r="I17" i="17"/>
  <c r="K16" i="17"/>
  <c r="Q16" i="17" s="1"/>
  <c r="M16" i="17"/>
  <c r="S16" i="17" s="1"/>
  <c r="V14" i="16"/>
  <c r="N15" i="16"/>
  <c r="T15" i="16" s="1"/>
  <c r="J15" i="16"/>
  <c r="P15" i="16" s="1"/>
  <c r="I16" i="16"/>
  <c r="K15" i="16"/>
  <c r="Q15" i="16" s="1"/>
  <c r="M15" i="16"/>
  <c r="S15" i="16" s="1"/>
  <c r="L15" i="16"/>
  <c r="R15" i="16" s="1"/>
  <c r="N14" i="14"/>
  <c r="T14" i="14" s="1"/>
  <c r="J14" i="14"/>
  <c r="P14" i="14" s="1"/>
  <c r="M14" i="14"/>
  <c r="S14" i="14" s="1"/>
  <c r="L14" i="14"/>
  <c r="R14" i="14" s="1"/>
  <c r="I15" i="14"/>
  <c r="K14" i="14"/>
  <c r="Q14" i="14" s="1"/>
  <c r="V13" i="14"/>
  <c r="I71" i="4"/>
  <c r="B21" i="7" s="1"/>
  <c r="I69" i="4"/>
  <c r="B19" i="7" s="1"/>
  <c r="I78" i="4"/>
  <c r="B28" i="7" s="1"/>
  <c r="E80" i="4"/>
  <c r="I80" i="4" s="1"/>
  <c r="B30" i="7" s="1"/>
  <c r="F79" i="4"/>
  <c r="D74" i="4"/>
  <c r="F60" i="4"/>
  <c r="D59" i="4"/>
  <c r="F57" i="4"/>
  <c r="I57" i="4" s="1"/>
  <c r="B7" i="7" s="1"/>
  <c r="D52" i="4"/>
  <c r="I52" i="4" s="1"/>
  <c r="B2" i="7" s="1"/>
  <c r="C59" i="4"/>
  <c r="G82" i="4"/>
  <c r="F50" i="4"/>
  <c r="D82" i="4"/>
  <c r="F68" i="4"/>
  <c r="D67" i="4"/>
  <c r="I67" i="4" s="1"/>
  <c r="B17" i="7" s="1"/>
  <c r="F65" i="4"/>
  <c r="R54" i="4"/>
  <c r="B4" i="8" s="1"/>
  <c r="R62" i="4"/>
  <c r="B12" i="8" s="1"/>
  <c r="R70" i="4"/>
  <c r="B20" i="8" s="1"/>
  <c r="R78" i="4"/>
  <c r="B28" i="8" s="1"/>
  <c r="G45" i="4"/>
  <c r="R55" i="4"/>
  <c r="B5" i="8" s="1"/>
  <c r="R63" i="4"/>
  <c r="B13" i="8" s="1"/>
  <c r="R71" i="4"/>
  <c r="R79" i="4"/>
  <c r="B29" i="8" s="1"/>
  <c r="R56" i="4"/>
  <c r="B6" i="8" s="1"/>
  <c r="R64" i="4"/>
  <c r="B14" i="8" s="1"/>
  <c r="R72" i="4"/>
  <c r="B22" i="8" s="1"/>
  <c r="R80" i="4"/>
  <c r="B30" i="8" s="1"/>
  <c r="R57" i="4"/>
  <c r="B7" i="8" s="1"/>
  <c r="R65" i="4"/>
  <c r="B15" i="8" s="1"/>
  <c r="R73" i="4"/>
  <c r="B23" i="8" s="1"/>
  <c r="R81" i="4"/>
  <c r="B31" i="8" s="1"/>
  <c r="R58" i="4"/>
  <c r="B8" i="8" s="1"/>
  <c r="R66" i="4"/>
  <c r="B16" i="8" s="1"/>
  <c r="R74" i="4"/>
  <c r="B24" i="8" s="1"/>
  <c r="R82" i="4"/>
  <c r="B32" i="8" s="1"/>
  <c r="R51" i="4"/>
  <c r="B1" i="8" s="1"/>
  <c r="R59" i="4"/>
  <c r="B9" i="8" s="1"/>
  <c r="R67" i="4"/>
  <c r="B17" i="8" s="1"/>
  <c r="R75" i="4"/>
  <c r="B25" i="8" s="1"/>
  <c r="R50" i="4"/>
  <c r="R52" i="4"/>
  <c r="B2" i="8" s="1"/>
  <c r="R60" i="4"/>
  <c r="B10" i="8" s="1"/>
  <c r="R68" i="4"/>
  <c r="B18" i="8" s="1"/>
  <c r="R76" i="4"/>
  <c r="B26" i="8" s="1"/>
  <c r="R53" i="4"/>
  <c r="B3" i="8" s="1"/>
  <c r="R61" i="4"/>
  <c r="B11" i="8" s="1"/>
  <c r="R69" i="4"/>
  <c r="R77" i="4"/>
  <c r="B27" i="8" s="1"/>
  <c r="F76" i="4"/>
  <c r="D75" i="4"/>
  <c r="F73" i="4"/>
  <c r="D68" i="4"/>
  <c r="F54" i="4"/>
  <c r="D53" i="4"/>
  <c r="I53" i="4" s="1"/>
  <c r="B3" i="7" s="1"/>
  <c r="C58" i="4"/>
  <c r="I58" i="4" s="1"/>
  <c r="C74" i="4"/>
  <c r="F51" i="4"/>
  <c r="D54" i="4"/>
  <c r="G75" i="4"/>
  <c r="E79" i="4"/>
  <c r="G64" i="4"/>
  <c r="I64" i="4" s="1"/>
  <c r="B14" i="7" s="1"/>
  <c r="E60" i="4"/>
  <c r="C77" i="4"/>
  <c r="I77" i="4" s="1"/>
  <c r="F74" i="4"/>
  <c r="D73" i="4"/>
  <c r="C63" i="4"/>
  <c r="G66" i="4"/>
  <c r="I66" i="4" s="1"/>
  <c r="E62" i="4"/>
  <c r="G55" i="4"/>
  <c r="I55" i="4" s="1"/>
  <c r="B5" i="7" s="1"/>
  <c r="E51" i="4"/>
  <c r="D50" i="4"/>
  <c r="F81" i="4"/>
  <c r="D76" i="4"/>
  <c r="F62" i="4"/>
  <c r="D61" i="4"/>
  <c r="I61" i="4" s="1"/>
  <c r="B11" i="7" s="1"/>
  <c r="C60" i="4"/>
  <c r="C76" i="4"/>
  <c r="F59" i="4"/>
  <c r="D62" i="4"/>
  <c r="F56" i="4"/>
  <c r="E50" i="4"/>
  <c r="G72" i="4"/>
  <c r="I72" i="4" s="1"/>
  <c r="B22" i="7" s="1"/>
  <c r="E68" i="4"/>
  <c r="C81" i="4"/>
  <c r="F82" i="4"/>
  <c r="D81" i="4"/>
  <c r="C65" i="4"/>
  <c r="G74" i="4"/>
  <c r="E70" i="4"/>
  <c r="I70" i="4" s="1"/>
  <c r="G63" i="4"/>
  <c r="E59" i="4"/>
  <c r="E56" i="4"/>
  <c r="C82" i="4"/>
  <c r="P5" i="3"/>
  <c r="Q5" i="3" s="1"/>
  <c r="I6" i="3"/>
  <c r="N5" i="3"/>
  <c r="O5" i="3" s="1"/>
  <c r="AB5" i="3"/>
  <c r="L5" i="3"/>
  <c r="Z5" i="3"/>
  <c r="J5" i="3"/>
  <c r="X5" i="3"/>
  <c r="R5" i="3"/>
  <c r="V5" i="3"/>
  <c r="T5" i="3"/>
  <c r="O29" i="2"/>
  <c r="U3" i="2"/>
  <c r="W3" i="2" s="1"/>
  <c r="U4" i="2"/>
  <c r="U5" i="2"/>
  <c r="U6" i="2"/>
  <c r="W6" i="2" s="1"/>
  <c r="U7" i="2"/>
  <c r="U8" i="2"/>
  <c r="W8" i="2" s="1"/>
  <c r="U9" i="2"/>
  <c r="W9" i="2" s="1"/>
  <c r="U10" i="2"/>
  <c r="W10" i="2" s="1"/>
  <c r="U11" i="2"/>
  <c r="W11" i="2" s="1"/>
  <c r="U12" i="2"/>
  <c r="U13" i="2"/>
  <c r="U14" i="2"/>
  <c r="W14" i="2" s="1"/>
  <c r="U15" i="2"/>
  <c r="U16" i="2"/>
  <c r="U17" i="2"/>
  <c r="W17" i="2" s="1"/>
  <c r="U18" i="2"/>
  <c r="W18" i="2" s="1"/>
  <c r="U2" i="2"/>
  <c r="W2" i="2" s="1"/>
  <c r="R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2" i="2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2" i="2"/>
  <c r="W4" i="2"/>
  <c r="W5" i="2"/>
  <c r="W7" i="2"/>
  <c r="W12" i="2"/>
  <c r="W13" i="2"/>
  <c r="W15" i="2"/>
  <c r="S3" i="2"/>
  <c r="T3" i="2" s="1"/>
  <c r="S4" i="2"/>
  <c r="S5" i="2"/>
  <c r="S6" i="2"/>
  <c r="T6" i="2" s="1"/>
  <c r="S7" i="2"/>
  <c r="S8" i="2"/>
  <c r="T8" i="2" s="1"/>
  <c r="S9" i="2"/>
  <c r="T9" i="2" s="1"/>
  <c r="S10" i="2"/>
  <c r="S11" i="2"/>
  <c r="T11" i="2" s="1"/>
  <c r="S12" i="2"/>
  <c r="S13" i="2"/>
  <c r="S14" i="2"/>
  <c r="T14" i="2" s="1"/>
  <c r="S15" i="2"/>
  <c r="S16" i="2"/>
  <c r="T16" i="2" s="1"/>
  <c r="S17" i="2"/>
  <c r="T17" i="2" s="1"/>
  <c r="S18" i="2"/>
  <c r="S2" i="2"/>
  <c r="T2" i="2" s="1"/>
  <c r="P3" i="2"/>
  <c r="Q3" i="2" s="1"/>
  <c r="P4" i="2"/>
  <c r="P5" i="2"/>
  <c r="Q5" i="2" s="1"/>
  <c r="P6" i="2"/>
  <c r="P7" i="2"/>
  <c r="Q7" i="2" s="1"/>
  <c r="P8" i="2"/>
  <c r="Q8" i="2" s="1"/>
  <c r="P9" i="2"/>
  <c r="P10" i="2"/>
  <c r="Q10" i="2" s="1"/>
  <c r="P11" i="2"/>
  <c r="Q11" i="2" s="1"/>
  <c r="P12" i="2"/>
  <c r="P13" i="2"/>
  <c r="Q13" i="2" s="1"/>
  <c r="P14" i="2"/>
  <c r="P15" i="2"/>
  <c r="Q15" i="2" s="1"/>
  <c r="P16" i="2"/>
  <c r="Q16" i="2" s="1"/>
  <c r="P17" i="2"/>
  <c r="P18" i="2"/>
  <c r="Q18" i="2" s="1"/>
  <c r="P2" i="2"/>
  <c r="M3" i="2"/>
  <c r="M4" i="2"/>
  <c r="N4" i="2" s="1"/>
  <c r="M5" i="2"/>
  <c r="M6" i="2"/>
  <c r="M7" i="2"/>
  <c r="M8" i="2"/>
  <c r="M9" i="2"/>
  <c r="N9" i="2" s="1"/>
  <c r="M10" i="2"/>
  <c r="M11" i="2"/>
  <c r="M12" i="2"/>
  <c r="N12" i="2" s="1"/>
  <c r="M13" i="2"/>
  <c r="M14" i="2"/>
  <c r="M15" i="2"/>
  <c r="M16" i="2"/>
  <c r="M17" i="2"/>
  <c r="N17" i="2" s="1"/>
  <c r="M18" i="2"/>
  <c r="M2" i="2"/>
  <c r="I3" i="2"/>
  <c r="I4" i="2"/>
  <c r="I5" i="2"/>
  <c r="I6" i="2"/>
  <c r="I7" i="2"/>
  <c r="I8" i="2"/>
  <c r="S29" i="2" s="1"/>
  <c r="I9" i="2"/>
  <c r="I10" i="2"/>
  <c r="I11" i="2"/>
  <c r="K11" i="2" s="1"/>
  <c r="I12" i="2"/>
  <c r="I13" i="2"/>
  <c r="I14" i="2"/>
  <c r="I15" i="2"/>
  <c r="I16" i="2"/>
  <c r="I17" i="2"/>
  <c r="I18" i="2"/>
  <c r="I2" i="2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2" i="2"/>
  <c r="J3" i="2"/>
  <c r="J4" i="2"/>
  <c r="J5" i="2"/>
  <c r="K5" i="2" s="1"/>
  <c r="J6" i="2"/>
  <c r="J7" i="2"/>
  <c r="K7" i="2" s="1"/>
  <c r="J8" i="2"/>
  <c r="J9" i="2"/>
  <c r="J10" i="2"/>
  <c r="K10" i="2" s="1"/>
  <c r="J11" i="2"/>
  <c r="J12" i="2"/>
  <c r="J13" i="2"/>
  <c r="K13" i="2" s="1"/>
  <c r="J14" i="2"/>
  <c r="J15" i="2"/>
  <c r="K15" i="2" s="1"/>
  <c r="J16" i="2"/>
  <c r="J17" i="2"/>
  <c r="J18" i="2"/>
  <c r="K18" i="2" s="1"/>
  <c r="J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2" i="2"/>
  <c r="F5" i="2"/>
  <c r="F8" i="2"/>
  <c r="F10" i="2"/>
  <c r="F11" i="2"/>
  <c r="F13" i="2"/>
  <c r="S34" i="2" s="1"/>
  <c r="F16" i="2"/>
  <c r="F18" i="2"/>
  <c r="F2" i="2"/>
  <c r="K23" i="2"/>
  <c r="F4" i="2" s="1"/>
  <c r="H4" i="2" s="1"/>
  <c r="L17" i="20" l="1"/>
  <c r="R17" i="20" s="1"/>
  <c r="M17" i="20"/>
  <c r="S17" i="20" s="1"/>
  <c r="K17" i="20"/>
  <c r="Q17" i="20" s="1"/>
  <c r="N17" i="20"/>
  <c r="T17" i="20" s="1"/>
  <c r="I18" i="20"/>
  <c r="J17" i="20"/>
  <c r="P17" i="20" s="1"/>
  <c r="V16" i="20"/>
  <c r="N17" i="17"/>
  <c r="T17" i="17" s="1"/>
  <c r="J17" i="17"/>
  <c r="P17" i="17" s="1"/>
  <c r="M17" i="17"/>
  <c r="S17" i="17" s="1"/>
  <c r="I18" i="17"/>
  <c r="L17" i="17"/>
  <c r="R17" i="17" s="1"/>
  <c r="K17" i="17"/>
  <c r="Q17" i="17" s="1"/>
  <c r="N16" i="16"/>
  <c r="T16" i="16" s="1"/>
  <c r="J16" i="16"/>
  <c r="P16" i="16" s="1"/>
  <c r="V16" i="16" s="1"/>
  <c r="M16" i="16"/>
  <c r="S16" i="16" s="1"/>
  <c r="L16" i="16"/>
  <c r="R16" i="16" s="1"/>
  <c r="K16" i="16"/>
  <c r="Q16" i="16" s="1"/>
  <c r="I17" i="16"/>
  <c r="V15" i="16"/>
  <c r="V14" i="14"/>
  <c r="N15" i="14"/>
  <c r="T15" i="14" s="1"/>
  <c r="J15" i="14"/>
  <c r="P15" i="14" s="1"/>
  <c r="M15" i="14"/>
  <c r="S15" i="14" s="1"/>
  <c r="L15" i="14"/>
  <c r="R15" i="14" s="1"/>
  <c r="I16" i="14"/>
  <c r="K15" i="14"/>
  <c r="Q15" i="14" s="1"/>
  <c r="I56" i="4"/>
  <c r="B6" i="7" s="1"/>
  <c r="I65" i="4"/>
  <c r="B15" i="7" s="1"/>
  <c r="I79" i="4"/>
  <c r="B29" i="7" s="1"/>
  <c r="I76" i="4"/>
  <c r="B26" i="7" s="1"/>
  <c r="T66" i="4"/>
  <c r="U66" i="4" s="1"/>
  <c r="B16" i="7"/>
  <c r="T70" i="4"/>
  <c r="U70" i="4" s="1"/>
  <c r="B20" i="7"/>
  <c r="T58" i="4"/>
  <c r="U58" i="4" s="1"/>
  <c r="B8" i="7"/>
  <c r="T77" i="4"/>
  <c r="U77" i="4" s="1"/>
  <c r="B27" i="7"/>
  <c r="T69" i="4"/>
  <c r="U69" i="4" s="1"/>
  <c r="B19" i="8"/>
  <c r="T71" i="4"/>
  <c r="U71" i="4" s="1"/>
  <c r="B21" i="8"/>
  <c r="I73" i="4"/>
  <c r="B23" i="7" s="1"/>
  <c r="T55" i="4"/>
  <c r="U55" i="4" s="1"/>
  <c r="T78" i="4"/>
  <c r="U78" i="4" s="1"/>
  <c r="T57" i="4"/>
  <c r="U57" i="4" s="1"/>
  <c r="I82" i="4"/>
  <c r="I62" i="4"/>
  <c r="I50" i="4"/>
  <c r="T50" i="4" s="1"/>
  <c r="U50" i="4" s="1"/>
  <c r="I51" i="4"/>
  <c r="T53" i="4"/>
  <c r="U53" i="4" s="1"/>
  <c r="I60" i="4"/>
  <c r="T61" i="4"/>
  <c r="U61" i="4" s="1"/>
  <c r="I68" i="4"/>
  <c r="B18" i="7" s="1"/>
  <c r="I54" i="4"/>
  <c r="I74" i="4"/>
  <c r="T64" i="4"/>
  <c r="U64" i="4" s="1"/>
  <c r="I81" i="4"/>
  <c r="I59" i="4"/>
  <c r="I63" i="4"/>
  <c r="T80" i="4"/>
  <c r="U80" i="4" s="1"/>
  <c r="T67" i="4"/>
  <c r="U67" i="4" s="1"/>
  <c r="Q23" i="2"/>
  <c r="H16" i="2"/>
  <c r="I75" i="4"/>
  <c r="T72" i="4"/>
  <c r="U72" i="4" s="1"/>
  <c r="T52" i="4"/>
  <c r="U52" i="4" s="1"/>
  <c r="Z6" i="3"/>
  <c r="J6" i="3"/>
  <c r="X6" i="3"/>
  <c r="AB6" i="3"/>
  <c r="V6" i="3"/>
  <c r="T6" i="3"/>
  <c r="R6" i="3"/>
  <c r="P6" i="3"/>
  <c r="Q6" i="3" s="1"/>
  <c r="L6" i="3"/>
  <c r="I7" i="3"/>
  <c r="N6" i="3"/>
  <c r="O6" i="3" s="1"/>
  <c r="H2" i="2"/>
  <c r="H11" i="2"/>
  <c r="F3" i="2"/>
  <c r="K17" i="2"/>
  <c r="K9" i="2"/>
  <c r="N18" i="2"/>
  <c r="N10" i="2"/>
  <c r="S32" i="2"/>
  <c r="S37" i="2"/>
  <c r="F17" i="2"/>
  <c r="H17" i="2" s="1"/>
  <c r="F9" i="2"/>
  <c r="H9" i="2" s="1"/>
  <c r="H10" i="2"/>
  <c r="N16" i="2"/>
  <c r="N8" i="2"/>
  <c r="Q17" i="2"/>
  <c r="Q9" i="2"/>
  <c r="W16" i="2"/>
  <c r="S35" i="2"/>
  <c r="U35" i="2" s="1"/>
  <c r="N7" i="2"/>
  <c r="S26" i="2"/>
  <c r="U26" i="2" s="1"/>
  <c r="S27" i="2"/>
  <c r="U27" i="2" s="1"/>
  <c r="F15" i="2"/>
  <c r="F7" i="2"/>
  <c r="N14" i="2"/>
  <c r="N6" i="2"/>
  <c r="N15" i="2"/>
  <c r="F14" i="2"/>
  <c r="H14" i="2" s="1"/>
  <c r="F6" i="2"/>
  <c r="H6" i="2" s="1"/>
  <c r="K8" i="2"/>
  <c r="N13" i="2"/>
  <c r="N5" i="2"/>
  <c r="Q14" i="2"/>
  <c r="Q6" i="2"/>
  <c r="F12" i="2"/>
  <c r="H12" i="2" s="1"/>
  <c r="K14" i="2"/>
  <c r="K6" i="2"/>
  <c r="N2" i="2"/>
  <c r="N11" i="2"/>
  <c r="N3" i="2"/>
  <c r="Q12" i="2"/>
  <c r="Q4" i="2"/>
  <c r="T13" i="2"/>
  <c r="T5" i="2"/>
  <c r="T15" i="2"/>
  <c r="T7" i="2"/>
  <c r="T12" i="2"/>
  <c r="T4" i="2"/>
  <c r="Q2" i="2"/>
  <c r="K12" i="2"/>
  <c r="K4" i="2"/>
  <c r="K2" i="2"/>
  <c r="K3" i="2"/>
  <c r="K16" i="2"/>
  <c r="H13" i="2"/>
  <c r="H5" i="2"/>
  <c r="H18" i="2"/>
  <c r="H8" i="2"/>
  <c r="U34" i="2"/>
  <c r="U29" i="2"/>
  <c r="U32" i="2"/>
  <c r="S30" i="2"/>
  <c r="U30" i="2" s="1"/>
  <c r="S39" i="2"/>
  <c r="U39" i="2" s="1"/>
  <c r="S31" i="2"/>
  <c r="S23" i="2"/>
  <c r="T18" i="2"/>
  <c r="T10" i="2"/>
  <c r="S25" i="2"/>
  <c r="U25" i="2" s="1"/>
  <c r="V17" i="20" l="1"/>
  <c r="L18" i="20"/>
  <c r="R18" i="20" s="1"/>
  <c r="K18" i="20"/>
  <c r="Q18" i="20" s="1"/>
  <c r="I19" i="20"/>
  <c r="J18" i="20"/>
  <c r="P18" i="20" s="1"/>
  <c r="M18" i="20"/>
  <c r="S18" i="20" s="1"/>
  <c r="N18" i="20"/>
  <c r="T18" i="20" s="1"/>
  <c r="N18" i="17"/>
  <c r="T18" i="17" s="1"/>
  <c r="J18" i="17"/>
  <c r="P18" i="17" s="1"/>
  <c r="L18" i="17"/>
  <c r="R18" i="17" s="1"/>
  <c r="I19" i="17"/>
  <c r="M18" i="17"/>
  <c r="S18" i="17" s="1"/>
  <c r="K18" i="17"/>
  <c r="Q18" i="17" s="1"/>
  <c r="N17" i="16"/>
  <c r="T17" i="16" s="1"/>
  <c r="J17" i="16"/>
  <c r="P17" i="16" s="1"/>
  <c r="M17" i="16"/>
  <c r="S17" i="16" s="1"/>
  <c r="L17" i="16"/>
  <c r="R17" i="16" s="1"/>
  <c r="I18" i="16"/>
  <c r="K17" i="16"/>
  <c r="Q17" i="16" s="1"/>
  <c r="V15" i="14"/>
  <c r="N16" i="14"/>
  <c r="T16" i="14" s="1"/>
  <c r="J16" i="14"/>
  <c r="P16" i="14" s="1"/>
  <c r="L16" i="14"/>
  <c r="R16" i="14" s="1"/>
  <c r="I17" i="14"/>
  <c r="K16" i="14"/>
  <c r="Q16" i="14" s="1"/>
  <c r="M16" i="14"/>
  <c r="S16" i="14" s="1"/>
  <c r="T56" i="4"/>
  <c r="U56" i="4" s="1"/>
  <c r="T68" i="4"/>
  <c r="U68" i="4" s="1"/>
  <c r="T76" i="4"/>
  <c r="U76" i="4" s="1"/>
  <c r="T65" i="4"/>
  <c r="U65" i="4" s="1"/>
  <c r="T73" i="4"/>
  <c r="U73" i="4" s="1"/>
  <c r="T79" i="4"/>
  <c r="U79" i="4" s="1"/>
  <c r="T59" i="4"/>
  <c r="U59" i="4" s="1"/>
  <c r="B9" i="7"/>
  <c r="T60" i="4"/>
  <c r="U60" i="4" s="1"/>
  <c r="B10" i="7"/>
  <c r="T74" i="4"/>
  <c r="U74" i="4" s="1"/>
  <c r="B24" i="7"/>
  <c r="T62" i="4"/>
  <c r="U62" i="4" s="1"/>
  <c r="B12" i="7"/>
  <c r="T63" i="4"/>
  <c r="U63" i="4" s="1"/>
  <c r="B13" i="7"/>
  <c r="T82" i="4"/>
  <c r="U82" i="4" s="1"/>
  <c r="B32" i="7"/>
  <c r="T75" i="4"/>
  <c r="U75" i="4" s="1"/>
  <c r="B25" i="7"/>
  <c r="T54" i="4"/>
  <c r="U54" i="4" s="1"/>
  <c r="B4" i="7"/>
  <c r="T81" i="4"/>
  <c r="U81" i="4" s="1"/>
  <c r="B31" i="7"/>
  <c r="T51" i="4"/>
  <c r="U51" i="4" s="1"/>
  <c r="B1" i="7"/>
  <c r="U37" i="2"/>
  <c r="U23" i="2"/>
  <c r="U31" i="2"/>
  <c r="T7" i="3"/>
  <c r="V7" i="3"/>
  <c r="R7" i="3"/>
  <c r="P7" i="3"/>
  <c r="Q7" i="3" s="1"/>
  <c r="I8" i="3"/>
  <c r="N7" i="3"/>
  <c r="O7" i="3" s="1"/>
  <c r="AB7" i="3"/>
  <c r="L7" i="3"/>
  <c r="Z7" i="3"/>
  <c r="J7" i="3"/>
  <c r="X7" i="3"/>
  <c r="H7" i="2"/>
  <c r="S28" i="2"/>
  <c r="U28" i="2" s="1"/>
  <c r="H15" i="2"/>
  <c r="S36" i="2"/>
  <c r="U36" i="2" s="1"/>
  <c r="S38" i="2"/>
  <c r="U38" i="2" s="1"/>
  <c r="S33" i="2"/>
  <c r="U33" i="2" s="1"/>
  <c r="H3" i="2"/>
  <c r="S24" i="2"/>
  <c r="U24" i="2" s="1"/>
  <c r="L19" i="20" l="1"/>
  <c r="R19" i="20" s="1"/>
  <c r="I20" i="20"/>
  <c r="J19" i="20"/>
  <c r="P19" i="20" s="1"/>
  <c r="N19" i="20"/>
  <c r="T19" i="20" s="1"/>
  <c r="K19" i="20"/>
  <c r="Q19" i="20" s="1"/>
  <c r="M19" i="20"/>
  <c r="S19" i="20" s="1"/>
  <c r="V18" i="20"/>
  <c r="N19" i="17"/>
  <c r="T19" i="17" s="1"/>
  <c r="J19" i="17"/>
  <c r="P19" i="17" s="1"/>
  <c r="I20" i="17"/>
  <c r="K19" i="17"/>
  <c r="Q19" i="17" s="1"/>
  <c r="L19" i="17"/>
  <c r="R19" i="17" s="1"/>
  <c r="M19" i="17"/>
  <c r="S19" i="17" s="1"/>
  <c r="V17" i="16"/>
  <c r="N18" i="16"/>
  <c r="T18" i="16" s="1"/>
  <c r="J18" i="16"/>
  <c r="P18" i="16" s="1"/>
  <c r="L18" i="16"/>
  <c r="R18" i="16" s="1"/>
  <c r="I19" i="16"/>
  <c r="K18" i="16"/>
  <c r="Q18" i="16" s="1"/>
  <c r="M18" i="16"/>
  <c r="S18" i="16" s="1"/>
  <c r="V16" i="14"/>
  <c r="N17" i="14"/>
  <c r="T17" i="14" s="1"/>
  <c r="J17" i="14"/>
  <c r="P17" i="14" s="1"/>
  <c r="I18" i="14"/>
  <c r="K17" i="14"/>
  <c r="Q17" i="14" s="1"/>
  <c r="M17" i="14"/>
  <c r="S17" i="14" s="1"/>
  <c r="L17" i="14"/>
  <c r="R17" i="14" s="1"/>
  <c r="I9" i="3"/>
  <c r="N8" i="3"/>
  <c r="O8" i="3" s="1"/>
  <c r="AB8" i="3"/>
  <c r="L8" i="3"/>
  <c r="Z8" i="3"/>
  <c r="J8" i="3"/>
  <c r="P8" i="3"/>
  <c r="Q8" i="3" s="1"/>
  <c r="X8" i="3"/>
  <c r="V8" i="3"/>
  <c r="T8" i="3"/>
  <c r="R8" i="3"/>
  <c r="B30" i="1"/>
  <c r="V19" i="20" l="1"/>
  <c r="L20" i="20"/>
  <c r="R20" i="20" s="1"/>
  <c r="N20" i="20"/>
  <c r="T20" i="20" s="1"/>
  <c r="M20" i="20"/>
  <c r="S20" i="20" s="1"/>
  <c r="I21" i="20"/>
  <c r="J20" i="20"/>
  <c r="P20" i="20" s="1"/>
  <c r="K20" i="20"/>
  <c r="Q20" i="20" s="1"/>
  <c r="N20" i="17"/>
  <c r="T20" i="17" s="1"/>
  <c r="J20" i="17"/>
  <c r="P20" i="17" s="1"/>
  <c r="I21" i="17"/>
  <c r="M20" i="17"/>
  <c r="S20" i="17" s="1"/>
  <c r="L20" i="17"/>
  <c r="R20" i="17" s="1"/>
  <c r="K20" i="17"/>
  <c r="Q20" i="17" s="1"/>
  <c r="V18" i="16"/>
  <c r="N19" i="16"/>
  <c r="T19" i="16" s="1"/>
  <c r="J19" i="16"/>
  <c r="P19" i="16" s="1"/>
  <c r="I20" i="16"/>
  <c r="K19" i="16"/>
  <c r="Q19" i="16" s="1"/>
  <c r="M19" i="16"/>
  <c r="S19" i="16" s="1"/>
  <c r="L19" i="16"/>
  <c r="R19" i="16" s="1"/>
  <c r="N18" i="14"/>
  <c r="T18" i="14" s="1"/>
  <c r="J18" i="14"/>
  <c r="P18" i="14" s="1"/>
  <c r="I19" i="14"/>
  <c r="M18" i="14"/>
  <c r="S18" i="14" s="1"/>
  <c r="L18" i="14"/>
  <c r="R18" i="14" s="1"/>
  <c r="K18" i="14"/>
  <c r="Q18" i="14" s="1"/>
  <c r="V17" i="14"/>
  <c r="X9" i="3"/>
  <c r="V9" i="3"/>
  <c r="T9" i="3"/>
  <c r="R9" i="3"/>
  <c r="J9" i="3"/>
  <c r="P9" i="3"/>
  <c r="Q9" i="3" s="1"/>
  <c r="I10" i="3"/>
  <c r="N9" i="3"/>
  <c r="O9" i="3" s="1"/>
  <c r="AB9" i="3"/>
  <c r="L9" i="3"/>
  <c r="Z9" i="3"/>
  <c r="L21" i="20" l="1"/>
  <c r="R21" i="20" s="1"/>
  <c r="M21" i="20"/>
  <c r="S21" i="20" s="1"/>
  <c r="K21" i="20"/>
  <c r="Q21" i="20" s="1"/>
  <c r="N21" i="20"/>
  <c r="T21" i="20" s="1"/>
  <c r="I22" i="20"/>
  <c r="J21" i="20"/>
  <c r="P21" i="20" s="1"/>
  <c r="V20" i="20"/>
  <c r="N21" i="17"/>
  <c r="T21" i="17" s="1"/>
  <c r="J21" i="17"/>
  <c r="P21" i="17" s="1"/>
  <c r="M21" i="17"/>
  <c r="S21" i="17" s="1"/>
  <c r="I22" i="17"/>
  <c r="L21" i="17"/>
  <c r="R21" i="17" s="1"/>
  <c r="K21" i="17"/>
  <c r="Q21" i="17" s="1"/>
  <c r="N20" i="16"/>
  <c r="T20" i="16" s="1"/>
  <c r="J20" i="16"/>
  <c r="P20" i="16" s="1"/>
  <c r="V20" i="16" s="1"/>
  <c r="M20" i="16"/>
  <c r="S20" i="16" s="1"/>
  <c r="L20" i="16"/>
  <c r="R20" i="16" s="1"/>
  <c r="K20" i="16"/>
  <c r="Q20" i="16" s="1"/>
  <c r="I21" i="16"/>
  <c r="V19" i="16"/>
  <c r="K19" i="14"/>
  <c r="Q19" i="14" s="1"/>
  <c r="N19" i="14"/>
  <c r="T19" i="14" s="1"/>
  <c r="J19" i="14"/>
  <c r="P19" i="14" s="1"/>
  <c r="L19" i="14"/>
  <c r="R19" i="14" s="1"/>
  <c r="I20" i="14"/>
  <c r="M19" i="14"/>
  <c r="S19" i="14" s="1"/>
  <c r="V18" i="14"/>
  <c r="R10" i="3"/>
  <c r="P10" i="3"/>
  <c r="Q10" i="3" s="1"/>
  <c r="I11" i="3"/>
  <c r="N10" i="3"/>
  <c r="O10" i="3" s="1"/>
  <c r="AB10" i="3"/>
  <c r="L10" i="3"/>
  <c r="Z10" i="3"/>
  <c r="J10" i="3"/>
  <c r="X10" i="3"/>
  <c r="T10" i="3"/>
  <c r="V10" i="3"/>
  <c r="B25" i="1"/>
  <c r="L22" i="20" l="1"/>
  <c r="R22" i="20" s="1"/>
  <c r="K22" i="20"/>
  <c r="Q22" i="20" s="1"/>
  <c r="I23" i="20"/>
  <c r="J22" i="20"/>
  <c r="P22" i="20" s="1"/>
  <c r="N22" i="20"/>
  <c r="T22" i="20" s="1"/>
  <c r="M22" i="20"/>
  <c r="S22" i="20" s="1"/>
  <c r="V21" i="20"/>
  <c r="N22" i="17"/>
  <c r="T22" i="17" s="1"/>
  <c r="J22" i="17"/>
  <c r="P22" i="17" s="1"/>
  <c r="L22" i="17"/>
  <c r="R22" i="17" s="1"/>
  <c r="K22" i="17"/>
  <c r="Q22" i="17" s="1"/>
  <c r="I23" i="17"/>
  <c r="M22" i="17"/>
  <c r="S22" i="17" s="1"/>
  <c r="N21" i="16"/>
  <c r="T21" i="16" s="1"/>
  <c r="J21" i="16"/>
  <c r="P21" i="16" s="1"/>
  <c r="M21" i="16"/>
  <c r="S21" i="16" s="1"/>
  <c r="L21" i="16"/>
  <c r="R21" i="16" s="1"/>
  <c r="I22" i="16"/>
  <c r="K21" i="16"/>
  <c r="Q21" i="16" s="1"/>
  <c r="V19" i="14"/>
  <c r="K20" i="14"/>
  <c r="Q20" i="14" s="1"/>
  <c r="N20" i="14"/>
  <c r="T20" i="14" s="1"/>
  <c r="J20" i="14"/>
  <c r="P20" i="14" s="1"/>
  <c r="V20" i="14" s="1"/>
  <c r="I21" i="14"/>
  <c r="M20" i="14"/>
  <c r="S20" i="14" s="1"/>
  <c r="L20" i="14"/>
  <c r="R20" i="14" s="1"/>
  <c r="AB11" i="3"/>
  <c r="L11" i="3"/>
  <c r="Z11" i="3"/>
  <c r="J11" i="3"/>
  <c r="X11" i="3"/>
  <c r="V11" i="3"/>
  <c r="I12" i="3"/>
  <c r="T11" i="3"/>
  <c r="N11" i="3"/>
  <c r="O11" i="3" s="1"/>
  <c r="R11" i="3"/>
  <c r="P11" i="3"/>
  <c r="Q11" i="3" s="1"/>
  <c r="N23" i="1"/>
  <c r="C3" i="2"/>
  <c r="D3" i="2" s="1"/>
  <c r="C5" i="2"/>
  <c r="D5" i="2" s="1"/>
  <c r="C13" i="2"/>
  <c r="D13" i="2" s="1"/>
  <c r="C6" i="2"/>
  <c r="D6" i="2" s="1"/>
  <c r="C14" i="2"/>
  <c r="D14" i="2" s="1"/>
  <c r="C15" i="2"/>
  <c r="D15" i="2" s="1"/>
  <c r="C8" i="2"/>
  <c r="D8" i="2" s="1"/>
  <c r="C16" i="2"/>
  <c r="D16" i="2" s="1"/>
  <c r="C17" i="2"/>
  <c r="D17" i="2" s="1"/>
  <c r="C18" i="2"/>
  <c r="D18" i="2" s="1"/>
  <c r="C11" i="2"/>
  <c r="D11" i="2" s="1"/>
  <c r="C12" i="2"/>
  <c r="D12" i="2" s="1"/>
  <c r="C7" i="2"/>
  <c r="D7" i="2" s="1"/>
  <c r="C9" i="2"/>
  <c r="D9" i="2" s="1"/>
  <c r="C10" i="2"/>
  <c r="D10" i="2" s="1"/>
  <c r="C4" i="2"/>
  <c r="D4" i="2" s="1"/>
  <c r="C2" i="2"/>
  <c r="D2" i="2" s="1"/>
  <c r="N21" i="1"/>
  <c r="B26" i="1"/>
  <c r="L23" i="20" l="1"/>
  <c r="R23" i="20" s="1"/>
  <c r="I24" i="20"/>
  <c r="J23" i="20"/>
  <c r="P23" i="20" s="1"/>
  <c r="N23" i="20"/>
  <c r="T23" i="20" s="1"/>
  <c r="M23" i="20"/>
  <c r="S23" i="20" s="1"/>
  <c r="K23" i="20"/>
  <c r="Q23" i="20" s="1"/>
  <c r="V22" i="20"/>
  <c r="N23" i="17"/>
  <c r="T23" i="17" s="1"/>
  <c r="J23" i="17"/>
  <c r="P23" i="17" s="1"/>
  <c r="M23" i="17"/>
  <c r="S23" i="17" s="1"/>
  <c r="I24" i="17"/>
  <c r="K23" i="17"/>
  <c r="Q23" i="17" s="1"/>
  <c r="L23" i="17"/>
  <c r="R23" i="17" s="1"/>
  <c r="V21" i="16"/>
  <c r="N22" i="16"/>
  <c r="T22" i="16" s="1"/>
  <c r="J22" i="16"/>
  <c r="P22" i="16" s="1"/>
  <c r="L22" i="16"/>
  <c r="R22" i="16" s="1"/>
  <c r="I23" i="16"/>
  <c r="K22" i="16"/>
  <c r="Q22" i="16" s="1"/>
  <c r="M22" i="16"/>
  <c r="S22" i="16" s="1"/>
  <c r="K21" i="14"/>
  <c r="Q21" i="14" s="1"/>
  <c r="N21" i="14"/>
  <c r="T21" i="14" s="1"/>
  <c r="J21" i="14"/>
  <c r="P21" i="14" s="1"/>
  <c r="L21" i="14"/>
  <c r="R21" i="14" s="1"/>
  <c r="I22" i="14"/>
  <c r="M21" i="14"/>
  <c r="S21" i="14" s="1"/>
  <c r="V12" i="3"/>
  <c r="X12" i="3"/>
  <c r="T12" i="3"/>
  <c r="R12" i="3"/>
  <c r="P12" i="3"/>
  <c r="Q12" i="3" s="1"/>
  <c r="I13" i="3"/>
  <c r="N12" i="3"/>
  <c r="O12" i="3" s="1"/>
  <c r="AB12" i="3"/>
  <c r="L12" i="3"/>
  <c r="Z12" i="3"/>
  <c r="J12" i="3"/>
  <c r="V23" i="20" l="1"/>
  <c r="L24" i="20"/>
  <c r="R24" i="20" s="1"/>
  <c r="N24" i="20"/>
  <c r="T24" i="20" s="1"/>
  <c r="M24" i="20"/>
  <c r="S24" i="20" s="1"/>
  <c r="K24" i="20"/>
  <c r="Q24" i="20" s="1"/>
  <c r="I25" i="20"/>
  <c r="J24" i="20"/>
  <c r="P24" i="20" s="1"/>
  <c r="N24" i="17"/>
  <c r="T24" i="17" s="1"/>
  <c r="J24" i="17"/>
  <c r="P24" i="17" s="1"/>
  <c r="L24" i="17"/>
  <c r="R24" i="17" s="1"/>
  <c r="M24" i="17"/>
  <c r="S24" i="17" s="1"/>
  <c r="I25" i="17"/>
  <c r="K24" i="17"/>
  <c r="Q24" i="17" s="1"/>
  <c r="V22" i="16"/>
  <c r="N23" i="16"/>
  <c r="T23" i="16" s="1"/>
  <c r="J23" i="16"/>
  <c r="P23" i="16" s="1"/>
  <c r="I24" i="16"/>
  <c r="K23" i="16"/>
  <c r="Q23" i="16" s="1"/>
  <c r="M23" i="16"/>
  <c r="S23" i="16" s="1"/>
  <c r="L23" i="16"/>
  <c r="R23" i="16" s="1"/>
  <c r="V21" i="14"/>
  <c r="K22" i="14"/>
  <c r="Q22" i="14" s="1"/>
  <c r="N22" i="14"/>
  <c r="T22" i="14" s="1"/>
  <c r="J22" i="14"/>
  <c r="P22" i="14" s="1"/>
  <c r="V22" i="14" s="1"/>
  <c r="I23" i="14"/>
  <c r="M22" i="14"/>
  <c r="S22" i="14" s="1"/>
  <c r="L22" i="14"/>
  <c r="R22" i="14" s="1"/>
  <c r="P13" i="3"/>
  <c r="Q13" i="3" s="1"/>
  <c r="I14" i="3"/>
  <c r="N13" i="3"/>
  <c r="O13" i="3" s="1"/>
  <c r="AB13" i="3"/>
  <c r="L13" i="3"/>
  <c r="R13" i="3"/>
  <c r="Z13" i="3"/>
  <c r="J13" i="3"/>
  <c r="X13" i="3"/>
  <c r="V13" i="3"/>
  <c r="T13" i="3"/>
  <c r="V24" i="20" l="1"/>
  <c r="L25" i="20"/>
  <c r="R25" i="20" s="1"/>
  <c r="M25" i="20"/>
  <c r="S25" i="20" s="1"/>
  <c r="K25" i="20"/>
  <c r="Q25" i="20" s="1"/>
  <c r="N25" i="20"/>
  <c r="T25" i="20" s="1"/>
  <c r="I26" i="20"/>
  <c r="J25" i="20"/>
  <c r="P25" i="20" s="1"/>
  <c r="N25" i="17"/>
  <c r="T25" i="17" s="1"/>
  <c r="J25" i="17"/>
  <c r="P25" i="17" s="1"/>
  <c r="I26" i="17"/>
  <c r="K25" i="17"/>
  <c r="Q25" i="17" s="1"/>
  <c r="M25" i="17"/>
  <c r="S25" i="17" s="1"/>
  <c r="L25" i="17"/>
  <c r="R25" i="17" s="1"/>
  <c r="N24" i="16"/>
  <c r="T24" i="16" s="1"/>
  <c r="J24" i="16"/>
  <c r="P24" i="16" s="1"/>
  <c r="M24" i="16"/>
  <c r="S24" i="16" s="1"/>
  <c r="L24" i="16"/>
  <c r="R24" i="16" s="1"/>
  <c r="I25" i="16"/>
  <c r="K24" i="16"/>
  <c r="Q24" i="16" s="1"/>
  <c r="V23" i="16"/>
  <c r="K23" i="14"/>
  <c r="Q23" i="14" s="1"/>
  <c r="N23" i="14"/>
  <c r="T23" i="14" s="1"/>
  <c r="J23" i="14"/>
  <c r="P23" i="14" s="1"/>
  <c r="L23" i="14"/>
  <c r="R23" i="14" s="1"/>
  <c r="I24" i="14"/>
  <c r="M23" i="14"/>
  <c r="S23" i="14" s="1"/>
  <c r="Z14" i="3"/>
  <c r="J14" i="3"/>
  <c r="X14" i="3"/>
  <c r="L14" i="3"/>
  <c r="V14" i="3"/>
  <c r="T14" i="3"/>
  <c r="R14" i="3"/>
  <c r="P14" i="3"/>
  <c r="Q14" i="3" s="1"/>
  <c r="I15" i="3"/>
  <c r="N14" i="3"/>
  <c r="O14" i="3" s="1"/>
  <c r="AB14" i="3"/>
  <c r="V25" i="20" l="1"/>
  <c r="L26" i="20"/>
  <c r="R26" i="20" s="1"/>
  <c r="K26" i="20"/>
  <c r="Q26" i="20" s="1"/>
  <c r="I27" i="20"/>
  <c r="J26" i="20"/>
  <c r="P26" i="20" s="1"/>
  <c r="V26" i="20" s="1"/>
  <c r="M26" i="20"/>
  <c r="S26" i="20" s="1"/>
  <c r="N26" i="20"/>
  <c r="T26" i="20" s="1"/>
  <c r="N26" i="17"/>
  <c r="T26" i="17" s="1"/>
  <c r="J26" i="17"/>
  <c r="P26" i="17" s="1"/>
  <c r="L26" i="17"/>
  <c r="R26" i="17" s="1"/>
  <c r="I27" i="17"/>
  <c r="K26" i="17"/>
  <c r="Q26" i="17" s="1"/>
  <c r="M26" i="17"/>
  <c r="S26" i="17" s="1"/>
  <c r="V24" i="16"/>
  <c r="N25" i="16"/>
  <c r="T25" i="16" s="1"/>
  <c r="J25" i="16"/>
  <c r="P25" i="16" s="1"/>
  <c r="M25" i="16"/>
  <c r="S25" i="16" s="1"/>
  <c r="L25" i="16"/>
  <c r="R25" i="16" s="1"/>
  <c r="I26" i="16"/>
  <c r="K25" i="16"/>
  <c r="Q25" i="16" s="1"/>
  <c r="V23" i="14"/>
  <c r="K24" i="14"/>
  <c r="Q24" i="14" s="1"/>
  <c r="N24" i="14"/>
  <c r="T24" i="14" s="1"/>
  <c r="J24" i="14"/>
  <c r="P24" i="14" s="1"/>
  <c r="V24" i="14" s="1"/>
  <c r="I25" i="14"/>
  <c r="M24" i="14"/>
  <c r="S24" i="14" s="1"/>
  <c r="L24" i="14"/>
  <c r="R24" i="14" s="1"/>
  <c r="T15" i="3"/>
  <c r="R15" i="3"/>
  <c r="P15" i="3"/>
  <c r="Q15" i="3" s="1"/>
  <c r="I16" i="3"/>
  <c r="N15" i="3"/>
  <c r="O15" i="3" s="1"/>
  <c r="AB15" i="3"/>
  <c r="L15" i="3"/>
  <c r="Z15" i="3"/>
  <c r="J15" i="3"/>
  <c r="V15" i="3"/>
  <c r="X15" i="3"/>
  <c r="L27" i="20" l="1"/>
  <c r="R27" i="20" s="1"/>
  <c r="I28" i="20"/>
  <c r="J27" i="20"/>
  <c r="P27" i="20" s="1"/>
  <c r="N27" i="20"/>
  <c r="T27" i="20" s="1"/>
  <c r="K27" i="20"/>
  <c r="Q27" i="20" s="1"/>
  <c r="M27" i="20"/>
  <c r="S27" i="20" s="1"/>
  <c r="N27" i="17"/>
  <c r="T27" i="17" s="1"/>
  <c r="J27" i="17"/>
  <c r="P27" i="17" s="1"/>
  <c r="M27" i="17"/>
  <c r="S27" i="17" s="1"/>
  <c r="I28" i="17"/>
  <c r="K27" i="17"/>
  <c r="Q27" i="17" s="1"/>
  <c r="L27" i="17"/>
  <c r="R27" i="17" s="1"/>
  <c r="N26" i="16"/>
  <c r="T26" i="16" s="1"/>
  <c r="J26" i="16"/>
  <c r="P26" i="16" s="1"/>
  <c r="V26" i="16" s="1"/>
  <c r="L26" i="16"/>
  <c r="R26" i="16" s="1"/>
  <c r="I27" i="16"/>
  <c r="K26" i="16"/>
  <c r="Q26" i="16" s="1"/>
  <c r="M26" i="16"/>
  <c r="S26" i="16" s="1"/>
  <c r="V25" i="16"/>
  <c r="K25" i="14"/>
  <c r="Q25" i="14" s="1"/>
  <c r="N25" i="14"/>
  <c r="T25" i="14" s="1"/>
  <c r="J25" i="14"/>
  <c r="P25" i="14" s="1"/>
  <c r="L25" i="14"/>
  <c r="R25" i="14" s="1"/>
  <c r="I26" i="14"/>
  <c r="M25" i="14"/>
  <c r="S25" i="14" s="1"/>
  <c r="I17" i="3"/>
  <c r="N16" i="3"/>
  <c r="O16" i="3" s="1"/>
  <c r="AB16" i="3"/>
  <c r="L16" i="3"/>
  <c r="Z16" i="3"/>
  <c r="J16" i="3"/>
  <c r="P16" i="3"/>
  <c r="Q16" i="3" s="1"/>
  <c r="X16" i="3"/>
  <c r="V16" i="3"/>
  <c r="T16" i="3"/>
  <c r="R16" i="3"/>
  <c r="V27" i="20" l="1"/>
  <c r="L28" i="20"/>
  <c r="R28" i="20" s="1"/>
  <c r="N28" i="20"/>
  <c r="T28" i="20" s="1"/>
  <c r="M28" i="20"/>
  <c r="S28" i="20" s="1"/>
  <c r="I29" i="20"/>
  <c r="J28" i="20"/>
  <c r="P28" i="20" s="1"/>
  <c r="K28" i="20"/>
  <c r="Q28" i="20" s="1"/>
  <c r="N28" i="17"/>
  <c r="T28" i="17" s="1"/>
  <c r="J28" i="17"/>
  <c r="P28" i="17" s="1"/>
  <c r="L28" i="17"/>
  <c r="R28" i="17" s="1"/>
  <c r="M28" i="17"/>
  <c r="S28" i="17" s="1"/>
  <c r="I29" i="17"/>
  <c r="K28" i="17"/>
  <c r="Q28" i="17" s="1"/>
  <c r="N27" i="16"/>
  <c r="T27" i="16" s="1"/>
  <c r="J27" i="16"/>
  <c r="P27" i="16" s="1"/>
  <c r="I28" i="16"/>
  <c r="K27" i="16"/>
  <c r="Q27" i="16" s="1"/>
  <c r="M27" i="16"/>
  <c r="S27" i="16" s="1"/>
  <c r="L27" i="16"/>
  <c r="R27" i="16" s="1"/>
  <c r="K26" i="14"/>
  <c r="Q26" i="14" s="1"/>
  <c r="N26" i="14"/>
  <c r="T26" i="14" s="1"/>
  <c r="J26" i="14"/>
  <c r="P26" i="14" s="1"/>
  <c r="I27" i="14"/>
  <c r="M26" i="14"/>
  <c r="S26" i="14" s="1"/>
  <c r="L26" i="14"/>
  <c r="R26" i="14" s="1"/>
  <c r="V25" i="14"/>
  <c r="X17" i="3"/>
  <c r="Z17" i="3"/>
  <c r="V17" i="3"/>
  <c r="T17" i="3"/>
  <c r="R17" i="3"/>
  <c r="J17" i="3"/>
  <c r="P17" i="3"/>
  <c r="Q17" i="3" s="1"/>
  <c r="I18" i="3"/>
  <c r="N17" i="3"/>
  <c r="O17" i="3" s="1"/>
  <c r="AB17" i="3"/>
  <c r="L17" i="3"/>
  <c r="L29" i="20" l="1"/>
  <c r="R29" i="20" s="1"/>
  <c r="M29" i="20"/>
  <c r="S29" i="20" s="1"/>
  <c r="K29" i="20"/>
  <c r="Q29" i="20" s="1"/>
  <c r="J29" i="20"/>
  <c r="P29" i="20" s="1"/>
  <c r="N29" i="20"/>
  <c r="T29" i="20" s="1"/>
  <c r="I30" i="20"/>
  <c r="V28" i="20"/>
  <c r="N29" i="17"/>
  <c r="T29" i="17" s="1"/>
  <c r="J29" i="17"/>
  <c r="P29" i="17" s="1"/>
  <c r="I30" i="17"/>
  <c r="K29" i="17"/>
  <c r="Q29" i="17" s="1"/>
  <c r="M29" i="17"/>
  <c r="S29" i="17" s="1"/>
  <c r="L29" i="17"/>
  <c r="R29" i="17" s="1"/>
  <c r="V27" i="16"/>
  <c r="N28" i="16"/>
  <c r="T28" i="16" s="1"/>
  <c r="J28" i="16"/>
  <c r="P28" i="16" s="1"/>
  <c r="M28" i="16"/>
  <c r="S28" i="16" s="1"/>
  <c r="L28" i="16"/>
  <c r="R28" i="16" s="1"/>
  <c r="I29" i="16"/>
  <c r="K28" i="16"/>
  <c r="Q28" i="16" s="1"/>
  <c r="K27" i="14"/>
  <c r="Q27" i="14" s="1"/>
  <c r="N27" i="14"/>
  <c r="T27" i="14" s="1"/>
  <c r="J27" i="14"/>
  <c r="P27" i="14" s="1"/>
  <c r="L27" i="14"/>
  <c r="R27" i="14" s="1"/>
  <c r="I28" i="14"/>
  <c r="M27" i="14"/>
  <c r="S27" i="14" s="1"/>
  <c r="V26" i="14"/>
  <c r="R18" i="3"/>
  <c r="P18" i="3"/>
  <c r="Q18" i="3" s="1"/>
  <c r="I19" i="3"/>
  <c r="N18" i="3"/>
  <c r="O18" i="3" s="1"/>
  <c r="AB18" i="3"/>
  <c r="L18" i="3"/>
  <c r="Z18" i="3"/>
  <c r="J18" i="3"/>
  <c r="X18" i="3"/>
  <c r="T18" i="3"/>
  <c r="V18" i="3"/>
  <c r="V29" i="20" l="1"/>
  <c r="L30" i="20"/>
  <c r="R30" i="20" s="1"/>
  <c r="K30" i="20"/>
  <c r="Q30" i="20" s="1"/>
  <c r="I31" i="20"/>
  <c r="J30" i="20"/>
  <c r="P30" i="20" s="1"/>
  <c r="V30" i="20" s="1"/>
  <c r="N30" i="20"/>
  <c r="T30" i="20" s="1"/>
  <c r="M30" i="20"/>
  <c r="S30" i="20" s="1"/>
  <c r="N30" i="17"/>
  <c r="T30" i="17" s="1"/>
  <c r="J30" i="17"/>
  <c r="P30" i="17" s="1"/>
  <c r="L30" i="17"/>
  <c r="R30" i="17" s="1"/>
  <c r="M30" i="17"/>
  <c r="S30" i="17" s="1"/>
  <c r="I31" i="17"/>
  <c r="K30" i="17"/>
  <c r="Q30" i="17" s="1"/>
  <c r="V28" i="16"/>
  <c r="N29" i="16"/>
  <c r="T29" i="16" s="1"/>
  <c r="J29" i="16"/>
  <c r="P29" i="16" s="1"/>
  <c r="M29" i="16"/>
  <c r="S29" i="16" s="1"/>
  <c r="L29" i="16"/>
  <c r="R29" i="16" s="1"/>
  <c r="I30" i="16"/>
  <c r="K29" i="16"/>
  <c r="Q29" i="16" s="1"/>
  <c r="V27" i="14"/>
  <c r="K28" i="14"/>
  <c r="Q28" i="14" s="1"/>
  <c r="N28" i="14"/>
  <c r="T28" i="14" s="1"/>
  <c r="J28" i="14"/>
  <c r="P28" i="14" s="1"/>
  <c r="V28" i="14" s="1"/>
  <c r="I29" i="14"/>
  <c r="M28" i="14"/>
  <c r="S28" i="14" s="1"/>
  <c r="L28" i="14"/>
  <c r="R28" i="14" s="1"/>
  <c r="AB19" i="3"/>
  <c r="L19" i="3"/>
  <c r="Z19" i="3"/>
  <c r="J19" i="3"/>
  <c r="X19" i="3"/>
  <c r="V19" i="3"/>
  <c r="T19" i="3"/>
  <c r="I20" i="3"/>
  <c r="R19" i="3"/>
  <c r="P19" i="3"/>
  <c r="Q19" i="3" s="1"/>
  <c r="N19" i="3"/>
  <c r="O19" i="3" s="1"/>
  <c r="L31" i="20" l="1"/>
  <c r="R31" i="20" s="1"/>
  <c r="I32" i="20"/>
  <c r="J31" i="20"/>
  <c r="P31" i="20" s="1"/>
  <c r="N31" i="20"/>
  <c r="T31" i="20" s="1"/>
  <c r="K31" i="20"/>
  <c r="Q31" i="20" s="1"/>
  <c r="M31" i="20"/>
  <c r="S31" i="20" s="1"/>
  <c r="N31" i="17"/>
  <c r="T31" i="17" s="1"/>
  <c r="J31" i="17"/>
  <c r="P31" i="17" s="1"/>
  <c r="M31" i="17"/>
  <c r="S31" i="17" s="1"/>
  <c r="I32" i="17"/>
  <c r="K31" i="17"/>
  <c r="Q31" i="17" s="1"/>
  <c r="L31" i="17"/>
  <c r="R31" i="17" s="1"/>
  <c r="V29" i="16"/>
  <c r="N30" i="16"/>
  <c r="T30" i="16" s="1"/>
  <c r="J30" i="16"/>
  <c r="P30" i="16" s="1"/>
  <c r="L30" i="16"/>
  <c r="R30" i="16" s="1"/>
  <c r="I31" i="16"/>
  <c r="K30" i="16"/>
  <c r="Q30" i="16" s="1"/>
  <c r="M30" i="16"/>
  <c r="S30" i="16" s="1"/>
  <c r="K29" i="14"/>
  <c r="Q29" i="14" s="1"/>
  <c r="N29" i="14"/>
  <c r="T29" i="14" s="1"/>
  <c r="J29" i="14"/>
  <c r="P29" i="14" s="1"/>
  <c r="L29" i="14"/>
  <c r="R29" i="14" s="1"/>
  <c r="I30" i="14"/>
  <c r="M29" i="14"/>
  <c r="S29" i="14" s="1"/>
  <c r="V20" i="3"/>
  <c r="T20" i="3"/>
  <c r="X20" i="3"/>
  <c r="R20" i="3"/>
  <c r="P20" i="3"/>
  <c r="Q20" i="3" s="1"/>
  <c r="I21" i="3"/>
  <c r="N20" i="3"/>
  <c r="O20" i="3" s="1"/>
  <c r="AB20" i="3"/>
  <c r="L20" i="3"/>
  <c r="Z20" i="3"/>
  <c r="J20" i="3"/>
  <c r="V31" i="20" l="1"/>
  <c r="L32" i="20"/>
  <c r="R32" i="20" s="1"/>
  <c r="N32" i="20"/>
  <c r="T32" i="20" s="1"/>
  <c r="M32" i="20"/>
  <c r="S32" i="20" s="1"/>
  <c r="K32" i="20"/>
  <c r="Q32" i="20" s="1"/>
  <c r="I33" i="20"/>
  <c r="J32" i="20"/>
  <c r="P32" i="20" s="1"/>
  <c r="N32" i="17"/>
  <c r="T32" i="17" s="1"/>
  <c r="J32" i="17"/>
  <c r="P32" i="17" s="1"/>
  <c r="L32" i="17"/>
  <c r="R32" i="17" s="1"/>
  <c r="M32" i="17"/>
  <c r="S32" i="17" s="1"/>
  <c r="I33" i="17"/>
  <c r="K32" i="17"/>
  <c r="Q32" i="17" s="1"/>
  <c r="N31" i="16"/>
  <c r="T31" i="16" s="1"/>
  <c r="J31" i="16"/>
  <c r="P31" i="16" s="1"/>
  <c r="I32" i="16"/>
  <c r="K31" i="16"/>
  <c r="Q31" i="16" s="1"/>
  <c r="M31" i="16"/>
  <c r="S31" i="16" s="1"/>
  <c r="L31" i="16"/>
  <c r="R31" i="16" s="1"/>
  <c r="V30" i="16"/>
  <c r="K30" i="14"/>
  <c r="Q30" i="14" s="1"/>
  <c r="N30" i="14"/>
  <c r="T30" i="14" s="1"/>
  <c r="J30" i="14"/>
  <c r="P30" i="14" s="1"/>
  <c r="I31" i="14"/>
  <c r="M30" i="14"/>
  <c r="S30" i="14" s="1"/>
  <c r="L30" i="14"/>
  <c r="R30" i="14" s="1"/>
  <c r="V29" i="14"/>
  <c r="P21" i="3"/>
  <c r="Q21" i="3" s="1"/>
  <c r="I22" i="3"/>
  <c r="N21" i="3"/>
  <c r="O21" i="3" s="1"/>
  <c r="AB21" i="3"/>
  <c r="L21" i="3"/>
  <c r="Z21" i="3"/>
  <c r="J21" i="3"/>
  <c r="R21" i="3"/>
  <c r="X21" i="3"/>
  <c r="V21" i="3"/>
  <c r="T21" i="3"/>
  <c r="V32" i="20" l="1"/>
  <c r="L33" i="20"/>
  <c r="R33" i="20" s="1"/>
  <c r="M33" i="20"/>
  <c r="S33" i="20" s="1"/>
  <c r="K33" i="20"/>
  <c r="Q33" i="20" s="1"/>
  <c r="N33" i="20"/>
  <c r="T33" i="20" s="1"/>
  <c r="I34" i="20"/>
  <c r="J33" i="20"/>
  <c r="P33" i="20" s="1"/>
  <c r="N33" i="17"/>
  <c r="T33" i="17" s="1"/>
  <c r="J33" i="17"/>
  <c r="P33" i="17" s="1"/>
  <c r="I34" i="17"/>
  <c r="K33" i="17"/>
  <c r="Q33" i="17" s="1"/>
  <c r="M33" i="17"/>
  <c r="S33" i="17" s="1"/>
  <c r="L33" i="17"/>
  <c r="R33" i="17" s="1"/>
  <c r="V31" i="16"/>
  <c r="N32" i="16"/>
  <c r="T32" i="16" s="1"/>
  <c r="J32" i="16"/>
  <c r="P32" i="16" s="1"/>
  <c r="M32" i="16"/>
  <c r="S32" i="16" s="1"/>
  <c r="L32" i="16"/>
  <c r="R32" i="16" s="1"/>
  <c r="K32" i="16"/>
  <c r="Q32" i="16" s="1"/>
  <c r="I33" i="16"/>
  <c r="K31" i="14"/>
  <c r="Q31" i="14" s="1"/>
  <c r="N31" i="14"/>
  <c r="T31" i="14" s="1"/>
  <c r="J31" i="14"/>
  <c r="P31" i="14" s="1"/>
  <c r="L31" i="14"/>
  <c r="R31" i="14" s="1"/>
  <c r="I32" i="14"/>
  <c r="M31" i="14"/>
  <c r="S31" i="14" s="1"/>
  <c r="V30" i="14"/>
  <c r="Z22" i="3"/>
  <c r="J22" i="3"/>
  <c r="X22" i="3"/>
  <c r="V22" i="3"/>
  <c r="L22" i="3"/>
  <c r="T22" i="3"/>
  <c r="R22" i="3"/>
  <c r="P22" i="3"/>
  <c r="Q22" i="3" s="1"/>
  <c r="AB22" i="3"/>
  <c r="I23" i="3"/>
  <c r="N22" i="3"/>
  <c r="O22" i="3" s="1"/>
  <c r="V33" i="20" l="1"/>
  <c r="L34" i="20"/>
  <c r="R34" i="20" s="1"/>
  <c r="K34" i="20"/>
  <c r="Q34" i="20" s="1"/>
  <c r="I35" i="20"/>
  <c r="J34" i="20"/>
  <c r="P34" i="20" s="1"/>
  <c r="V34" i="20" s="1"/>
  <c r="M34" i="20"/>
  <c r="S34" i="20" s="1"/>
  <c r="N34" i="20"/>
  <c r="T34" i="20" s="1"/>
  <c r="N34" i="17"/>
  <c r="T34" i="17" s="1"/>
  <c r="J34" i="17"/>
  <c r="P34" i="17" s="1"/>
  <c r="L34" i="17"/>
  <c r="R34" i="17" s="1"/>
  <c r="K34" i="17"/>
  <c r="Q34" i="17" s="1"/>
  <c r="I35" i="17"/>
  <c r="M34" i="17"/>
  <c r="S34" i="17" s="1"/>
  <c r="N33" i="16"/>
  <c r="T33" i="16" s="1"/>
  <c r="J33" i="16"/>
  <c r="P33" i="16" s="1"/>
  <c r="M33" i="16"/>
  <c r="S33" i="16" s="1"/>
  <c r="L33" i="16"/>
  <c r="R33" i="16" s="1"/>
  <c r="I34" i="16"/>
  <c r="K33" i="16"/>
  <c r="Q33" i="16" s="1"/>
  <c r="V32" i="16"/>
  <c r="V31" i="14"/>
  <c r="K32" i="14"/>
  <c r="Q32" i="14" s="1"/>
  <c r="N32" i="14"/>
  <c r="T32" i="14" s="1"/>
  <c r="J32" i="14"/>
  <c r="P32" i="14" s="1"/>
  <c r="V32" i="14" s="1"/>
  <c r="I33" i="14"/>
  <c r="M32" i="14"/>
  <c r="S32" i="14" s="1"/>
  <c r="L32" i="14"/>
  <c r="R32" i="14" s="1"/>
  <c r="T23" i="3"/>
  <c r="V23" i="3"/>
  <c r="R23" i="3"/>
  <c r="P23" i="3"/>
  <c r="Q23" i="3" s="1"/>
  <c r="I24" i="3"/>
  <c r="N23" i="3"/>
  <c r="O23" i="3" s="1"/>
  <c r="AB23" i="3"/>
  <c r="L23" i="3"/>
  <c r="Z23" i="3"/>
  <c r="J23" i="3"/>
  <c r="X23" i="3"/>
  <c r="L35" i="20" l="1"/>
  <c r="R35" i="20" s="1"/>
  <c r="I36" i="20"/>
  <c r="J35" i="20"/>
  <c r="P35" i="20" s="1"/>
  <c r="N35" i="20"/>
  <c r="T35" i="20" s="1"/>
  <c r="K35" i="20"/>
  <c r="Q35" i="20" s="1"/>
  <c r="M35" i="20"/>
  <c r="S35" i="20" s="1"/>
  <c r="K35" i="17"/>
  <c r="Q35" i="17" s="1"/>
  <c r="N35" i="17"/>
  <c r="T35" i="17" s="1"/>
  <c r="J35" i="17"/>
  <c r="P35" i="17" s="1"/>
  <c r="L35" i="17"/>
  <c r="R35" i="17" s="1"/>
  <c r="M35" i="17"/>
  <c r="S35" i="17" s="1"/>
  <c r="I36" i="17"/>
  <c r="V33" i="16"/>
  <c r="N34" i="16"/>
  <c r="T34" i="16" s="1"/>
  <c r="J34" i="16"/>
  <c r="P34" i="16" s="1"/>
  <c r="L34" i="16"/>
  <c r="R34" i="16" s="1"/>
  <c r="I35" i="16"/>
  <c r="K34" i="16"/>
  <c r="Q34" i="16" s="1"/>
  <c r="M34" i="16"/>
  <c r="S34" i="16" s="1"/>
  <c r="K33" i="14"/>
  <c r="Q33" i="14" s="1"/>
  <c r="N33" i="14"/>
  <c r="T33" i="14" s="1"/>
  <c r="J33" i="14"/>
  <c r="P33" i="14" s="1"/>
  <c r="L33" i="14"/>
  <c r="R33" i="14" s="1"/>
  <c r="I34" i="14"/>
  <c r="M33" i="14"/>
  <c r="S33" i="14" s="1"/>
  <c r="I25" i="3"/>
  <c r="N24" i="3"/>
  <c r="O24" i="3" s="1"/>
  <c r="AB24" i="3"/>
  <c r="L24" i="3"/>
  <c r="Z24" i="3"/>
  <c r="J24" i="3"/>
  <c r="X24" i="3"/>
  <c r="V24" i="3"/>
  <c r="T24" i="3"/>
  <c r="R24" i="3"/>
  <c r="P24" i="3"/>
  <c r="Q24" i="3" s="1"/>
  <c r="V35" i="20" l="1"/>
  <c r="L36" i="20"/>
  <c r="R36" i="20" s="1"/>
  <c r="N36" i="20"/>
  <c r="T36" i="20" s="1"/>
  <c r="M36" i="20"/>
  <c r="S36" i="20" s="1"/>
  <c r="I37" i="20"/>
  <c r="J36" i="20"/>
  <c r="P36" i="20" s="1"/>
  <c r="K36" i="20"/>
  <c r="Q36" i="20" s="1"/>
  <c r="K36" i="17"/>
  <c r="Q36" i="17" s="1"/>
  <c r="N36" i="17"/>
  <c r="T36" i="17" s="1"/>
  <c r="J36" i="17"/>
  <c r="P36" i="17" s="1"/>
  <c r="L36" i="17"/>
  <c r="R36" i="17" s="1"/>
  <c r="I37" i="17"/>
  <c r="M36" i="17"/>
  <c r="S36" i="17" s="1"/>
  <c r="V34" i="16"/>
  <c r="N35" i="16"/>
  <c r="T35" i="16" s="1"/>
  <c r="J35" i="16"/>
  <c r="P35" i="16" s="1"/>
  <c r="I36" i="16"/>
  <c r="K35" i="16"/>
  <c r="Q35" i="16" s="1"/>
  <c r="M35" i="16"/>
  <c r="S35" i="16" s="1"/>
  <c r="L35" i="16"/>
  <c r="R35" i="16" s="1"/>
  <c r="V33" i="14"/>
  <c r="K34" i="14"/>
  <c r="Q34" i="14" s="1"/>
  <c r="N34" i="14"/>
  <c r="T34" i="14" s="1"/>
  <c r="J34" i="14"/>
  <c r="P34" i="14" s="1"/>
  <c r="V34" i="14" s="1"/>
  <c r="I35" i="14"/>
  <c r="M34" i="14"/>
  <c r="S34" i="14" s="1"/>
  <c r="L34" i="14"/>
  <c r="R34" i="14" s="1"/>
  <c r="X25" i="3"/>
  <c r="V25" i="3"/>
  <c r="T25" i="3"/>
  <c r="R25" i="3"/>
  <c r="J25" i="3"/>
  <c r="P25" i="3"/>
  <c r="Q25" i="3" s="1"/>
  <c r="Z25" i="3"/>
  <c r="I26" i="3"/>
  <c r="N25" i="3"/>
  <c r="O25" i="3" s="1"/>
  <c r="AB25" i="3"/>
  <c r="L25" i="3"/>
  <c r="L37" i="20" l="1"/>
  <c r="R37" i="20" s="1"/>
  <c r="M37" i="20"/>
  <c r="S37" i="20" s="1"/>
  <c r="K37" i="20"/>
  <c r="Q37" i="20" s="1"/>
  <c r="N37" i="20"/>
  <c r="T37" i="20" s="1"/>
  <c r="I38" i="20"/>
  <c r="J37" i="20"/>
  <c r="P37" i="20" s="1"/>
  <c r="V37" i="20" s="1"/>
  <c r="V36" i="20"/>
  <c r="K37" i="17"/>
  <c r="Q37" i="17" s="1"/>
  <c r="N37" i="17"/>
  <c r="T37" i="17" s="1"/>
  <c r="J37" i="17"/>
  <c r="P37" i="17" s="1"/>
  <c r="L37" i="17"/>
  <c r="R37" i="17" s="1"/>
  <c r="I38" i="17"/>
  <c r="M37" i="17"/>
  <c r="S37" i="17" s="1"/>
  <c r="N36" i="16"/>
  <c r="T36" i="16" s="1"/>
  <c r="J36" i="16"/>
  <c r="P36" i="16" s="1"/>
  <c r="M36" i="16"/>
  <c r="S36" i="16" s="1"/>
  <c r="L36" i="16"/>
  <c r="R36" i="16" s="1"/>
  <c r="K36" i="16"/>
  <c r="Q36" i="16" s="1"/>
  <c r="I37" i="16"/>
  <c r="V35" i="16"/>
  <c r="K35" i="14"/>
  <c r="Q35" i="14" s="1"/>
  <c r="N35" i="14"/>
  <c r="T35" i="14" s="1"/>
  <c r="J35" i="14"/>
  <c r="P35" i="14" s="1"/>
  <c r="L35" i="14"/>
  <c r="R35" i="14" s="1"/>
  <c r="I36" i="14"/>
  <c r="M35" i="14"/>
  <c r="S35" i="14" s="1"/>
  <c r="R26" i="3"/>
  <c r="P26" i="3"/>
  <c r="Q26" i="3" s="1"/>
  <c r="I27" i="3"/>
  <c r="N26" i="3"/>
  <c r="O26" i="3" s="1"/>
  <c r="T26" i="3"/>
  <c r="AB26" i="3"/>
  <c r="L26" i="3"/>
  <c r="Z26" i="3"/>
  <c r="J26" i="3"/>
  <c r="X26" i="3"/>
  <c r="V26" i="3"/>
  <c r="L38" i="20" l="1"/>
  <c r="R38" i="20" s="1"/>
  <c r="K38" i="20"/>
  <c r="Q38" i="20" s="1"/>
  <c r="J38" i="20"/>
  <c r="P38" i="20" s="1"/>
  <c r="N38" i="20"/>
  <c r="T38" i="20" s="1"/>
  <c r="M38" i="20"/>
  <c r="S38" i="20" s="1"/>
  <c r="K38" i="17"/>
  <c r="Q38" i="17" s="1"/>
  <c r="N38" i="17"/>
  <c r="T38" i="17" s="1"/>
  <c r="J38" i="17"/>
  <c r="P38" i="17" s="1"/>
  <c r="L38" i="17"/>
  <c r="R38" i="17" s="1"/>
  <c r="M38" i="17"/>
  <c r="S38" i="17" s="1"/>
  <c r="N37" i="16"/>
  <c r="T37" i="16" s="1"/>
  <c r="J37" i="16"/>
  <c r="P37" i="16" s="1"/>
  <c r="M37" i="16"/>
  <c r="S37" i="16" s="1"/>
  <c r="L37" i="16"/>
  <c r="R37" i="16" s="1"/>
  <c r="I38" i="16"/>
  <c r="K37" i="16"/>
  <c r="Q37" i="16" s="1"/>
  <c r="V36" i="16"/>
  <c r="V35" i="14"/>
  <c r="K36" i="14"/>
  <c r="Q36" i="14" s="1"/>
  <c r="N36" i="14"/>
  <c r="T36" i="14" s="1"/>
  <c r="J36" i="14"/>
  <c r="P36" i="14" s="1"/>
  <c r="V36" i="14" s="1"/>
  <c r="I37" i="14"/>
  <c r="M36" i="14"/>
  <c r="S36" i="14" s="1"/>
  <c r="L36" i="14"/>
  <c r="R36" i="14" s="1"/>
  <c r="AB27" i="3"/>
  <c r="L27" i="3"/>
  <c r="N27" i="3"/>
  <c r="O27" i="3" s="1"/>
  <c r="Z27" i="3"/>
  <c r="J27" i="3"/>
  <c r="X27" i="3"/>
  <c r="V27" i="3"/>
  <c r="I28" i="3"/>
  <c r="T27" i="3"/>
  <c r="R27" i="3"/>
  <c r="P27" i="3"/>
  <c r="Q27" i="3" s="1"/>
  <c r="V38" i="20" l="1"/>
  <c r="V37" i="16"/>
  <c r="N38" i="16"/>
  <c r="T38" i="16" s="1"/>
  <c r="J38" i="16"/>
  <c r="P38" i="16" s="1"/>
  <c r="L38" i="16"/>
  <c r="R38" i="16" s="1"/>
  <c r="K38" i="16"/>
  <c r="Q38" i="16" s="1"/>
  <c r="M38" i="16"/>
  <c r="S38" i="16" s="1"/>
  <c r="K37" i="14"/>
  <c r="Q37" i="14" s="1"/>
  <c r="N37" i="14"/>
  <c r="T37" i="14" s="1"/>
  <c r="J37" i="14"/>
  <c r="P37" i="14" s="1"/>
  <c r="L37" i="14"/>
  <c r="R37" i="14" s="1"/>
  <c r="I38" i="14"/>
  <c r="M37" i="14"/>
  <c r="S37" i="14" s="1"/>
  <c r="V28" i="3"/>
  <c r="T28" i="3"/>
  <c r="R28" i="3"/>
  <c r="P28" i="3"/>
  <c r="Q28" i="3" s="1"/>
  <c r="I29" i="3"/>
  <c r="N28" i="3"/>
  <c r="O28" i="3" s="1"/>
  <c r="AB28" i="3"/>
  <c r="L28" i="3"/>
  <c r="X28" i="3"/>
  <c r="Z28" i="3"/>
  <c r="J28" i="3"/>
  <c r="V38" i="16" l="1"/>
  <c r="V37" i="14"/>
  <c r="K38" i="14"/>
  <c r="Q38" i="14" s="1"/>
  <c r="N38" i="14"/>
  <c r="T38" i="14" s="1"/>
  <c r="J38" i="14"/>
  <c r="P38" i="14" s="1"/>
  <c r="V38" i="14" s="1"/>
  <c r="M38" i="14"/>
  <c r="S38" i="14" s="1"/>
  <c r="L38" i="14"/>
  <c r="R38" i="14" s="1"/>
  <c r="P29" i="3"/>
  <c r="Q29" i="3" s="1"/>
  <c r="I30" i="3"/>
  <c r="N29" i="3"/>
  <c r="O29" i="3" s="1"/>
  <c r="R29" i="3"/>
  <c r="AB29" i="3"/>
  <c r="L29" i="3"/>
  <c r="Z29" i="3"/>
  <c r="J29" i="3"/>
  <c r="X29" i="3"/>
  <c r="V29" i="3"/>
  <c r="T29" i="3"/>
  <c r="Z30" i="3" l="1"/>
  <c r="J30" i="3"/>
  <c r="AB30" i="3"/>
  <c r="X30" i="3"/>
  <c r="V30" i="3"/>
  <c r="T30" i="3"/>
  <c r="R30" i="3"/>
  <c r="P30" i="3"/>
  <c r="Q30" i="3" s="1"/>
  <c r="I31" i="3"/>
  <c r="N30" i="3"/>
  <c r="O30" i="3" s="1"/>
  <c r="L30" i="3"/>
  <c r="T31" i="3" l="1"/>
  <c r="R31" i="3"/>
  <c r="P31" i="3"/>
  <c r="Q31" i="3" s="1"/>
  <c r="I32" i="3"/>
  <c r="N31" i="3"/>
  <c r="O31" i="3" s="1"/>
  <c r="AB31" i="3"/>
  <c r="L31" i="3"/>
  <c r="Z31" i="3"/>
  <c r="J31" i="3"/>
  <c r="X31" i="3"/>
  <c r="V31" i="3"/>
  <c r="I33" i="3" l="1"/>
  <c r="N32" i="3"/>
  <c r="O32" i="3" s="1"/>
  <c r="AB32" i="3"/>
  <c r="L32" i="3"/>
  <c r="Z32" i="3"/>
  <c r="J32" i="3"/>
  <c r="P32" i="3"/>
  <c r="Q32" i="3" s="1"/>
  <c r="X32" i="3"/>
  <c r="V32" i="3"/>
  <c r="T32" i="3"/>
  <c r="R32" i="3"/>
  <c r="X33" i="3" l="1"/>
  <c r="V33" i="3"/>
  <c r="T33" i="3"/>
  <c r="R33" i="3"/>
  <c r="Z33" i="3"/>
  <c r="P33" i="3"/>
  <c r="Q33" i="3" s="1"/>
  <c r="J33" i="3"/>
  <c r="I34" i="3"/>
  <c r="N33" i="3"/>
  <c r="O33" i="3" s="1"/>
  <c r="AB33" i="3"/>
  <c r="L33" i="3"/>
  <c r="R34" i="3" l="1"/>
  <c r="P34" i="3"/>
  <c r="Q34" i="3" s="1"/>
  <c r="I35" i="3"/>
  <c r="N34" i="3"/>
  <c r="O34" i="3" s="1"/>
  <c r="AB34" i="3"/>
  <c r="L34" i="3"/>
  <c r="Z34" i="3"/>
  <c r="J34" i="3"/>
  <c r="X34" i="3"/>
  <c r="T34" i="3"/>
  <c r="V34" i="3"/>
  <c r="AB35" i="3" l="1"/>
  <c r="L35" i="3"/>
  <c r="Z35" i="3"/>
  <c r="J35" i="3"/>
  <c r="X35" i="3"/>
  <c r="V35" i="3"/>
  <c r="T35" i="3"/>
  <c r="R35" i="3"/>
  <c r="P35" i="3"/>
  <c r="Q35" i="3" s="1"/>
  <c r="N35" i="3"/>
  <c r="O35" i="3" s="1"/>
  <c r="C4" i="13" l="1"/>
  <c r="G13" i="13"/>
  <c r="C6" i="13"/>
  <c r="O12" i="13" l="1"/>
  <c r="A4" i="13"/>
  <c r="G11" i="13"/>
  <c r="O13" i="13"/>
  <c r="O11" i="13"/>
  <c r="A6" i="13"/>
  <c r="G3" i="13"/>
  <c r="G4" i="13" s="1"/>
  <c r="E4" i="13"/>
  <c r="G15" i="13"/>
  <c r="G17" i="13"/>
  <c r="E6" i="13"/>
  <c r="B25" i="13" s="1"/>
  <c r="O14" i="13" l="1"/>
  <c r="G6" i="13"/>
  <c r="E8" i="13" s="1"/>
  <c r="Q12" i="13"/>
  <c r="T8" i="13" s="1"/>
  <c r="F8" i="13"/>
  <c r="D8" i="13"/>
  <c r="J15" i="13" l="1"/>
  <c r="B8" i="13"/>
  <c r="J16" i="13"/>
  <c r="Q14" i="13"/>
  <c r="L13" i="13"/>
  <c r="J11" i="13"/>
  <c r="J12" i="13"/>
  <c r="Q11" i="13"/>
  <c r="O15" i="13"/>
  <c r="L15" i="13"/>
  <c r="L14" i="13"/>
  <c r="A8" i="13"/>
  <c r="J13" i="13"/>
  <c r="L12" i="13"/>
  <c r="Q13" i="13"/>
  <c r="T10" i="13" s="1"/>
  <c r="C8" i="13"/>
  <c r="J14" i="13"/>
  <c r="L11" i="13"/>
  <c r="B26" i="13"/>
  <c r="Q15" i="13"/>
  <c r="T6" i="13"/>
  <c r="J17" i="13"/>
  <c r="G8" i="13" l="1"/>
  <c r="N23" i="13"/>
  <c r="T12" i="13"/>
  <c r="L17" i="13"/>
  <c r="N21" i="13"/>
</calcChain>
</file>

<file path=xl/sharedStrings.xml><?xml version="1.0" encoding="utf-8"?>
<sst xmlns="http://schemas.openxmlformats.org/spreadsheetml/2006/main" count="790" uniqueCount="120">
  <si>
    <t>CO</t>
  </si>
  <si>
    <t>H2</t>
  </si>
  <si>
    <t>CO2</t>
  </si>
  <si>
    <t>N2</t>
  </si>
  <si>
    <t>O2</t>
  </si>
  <si>
    <t>CH4</t>
  </si>
  <si>
    <t>total</t>
  </si>
  <si>
    <t>molar mass (g/mol)</t>
  </si>
  <si>
    <t>Weight %</t>
  </si>
  <si>
    <t>Ch4</t>
  </si>
  <si>
    <t>Total Molecular weight</t>
  </si>
  <si>
    <t>C</t>
  </si>
  <si>
    <t>O</t>
  </si>
  <si>
    <t>H</t>
  </si>
  <si>
    <t>mass fraction</t>
  </si>
  <si>
    <t>cp</t>
  </si>
  <si>
    <t>M</t>
  </si>
  <si>
    <t>kg/kmol</t>
  </si>
  <si>
    <t>kJ/kmol/K</t>
  </si>
  <si>
    <t>kJ/kmol.K</t>
  </si>
  <si>
    <t>density</t>
  </si>
  <si>
    <t>kg/m3</t>
  </si>
  <si>
    <t>kg</t>
  </si>
  <si>
    <t>rho_PG</t>
  </si>
  <si>
    <t>mass in 1 m3 syngas</t>
  </si>
  <si>
    <t>%</t>
  </si>
  <si>
    <t># of C atoms per fuel molecule</t>
  </si>
  <si>
    <t># of H atoms per fuel molecule</t>
  </si>
  <si>
    <t>T(K)</t>
  </si>
  <si>
    <t>cp (KJ/Kmol/K)</t>
  </si>
  <si>
    <t>cp (J/KG/K)</t>
  </si>
  <si>
    <t># of O atoms per fuel molecule</t>
  </si>
  <si>
    <t># of N atoms per fuel molecule</t>
  </si>
  <si>
    <t>Constituent gasses of PG</t>
  </si>
  <si>
    <t>H20</t>
  </si>
  <si>
    <t>a</t>
  </si>
  <si>
    <t>b</t>
  </si>
  <si>
    <t>c</t>
  </si>
  <si>
    <t>d</t>
  </si>
  <si>
    <t>cp CO (KJ/kmol/K)</t>
  </si>
  <si>
    <t>cp kj/kg/K</t>
  </si>
  <si>
    <t>cp H2 (KJ/kmol/K)</t>
  </si>
  <si>
    <t>cp CH4 (KJ/kmol/K)</t>
  </si>
  <si>
    <t>cp CO2 (KJ/kmol/K)</t>
  </si>
  <si>
    <t>cp N2 (KJ/kmol/K)</t>
  </si>
  <si>
    <t>cp H2o (KJ/kmol/K)</t>
  </si>
  <si>
    <t>volume percentages</t>
  </si>
  <si>
    <t>molair mass PG</t>
  </si>
  <si>
    <t>cp totaal KJ/Kmol/K</t>
  </si>
  <si>
    <t>cp totaal kJ/Kg/K</t>
  </si>
  <si>
    <t>Nasa Curve Fit Coefficients</t>
  </si>
  <si>
    <t>T (K)</t>
  </si>
  <si>
    <t>k CH4</t>
  </si>
  <si>
    <t>u CH4</t>
  </si>
  <si>
    <t>k CO2</t>
  </si>
  <si>
    <t>u CO2</t>
  </si>
  <si>
    <t>k H2</t>
  </si>
  <si>
    <t>u H2</t>
  </si>
  <si>
    <t>k N2</t>
  </si>
  <si>
    <t>u N2</t>
  </si>
  <si>
    <t>Coefficient</t>
  </si>
  <si>
    <t>Tlow (K)</t>
  </si>
  <si>
    <t>Thigh (K)</t>
  </si>
  <si>
    <t>A</t>
  </si>
  <si>
    <t>B</t>
  </si>
  <si>
    <t>D</t>
  </si>
  <si>
    <t>μ</t>
  </si>
  <si>
    <t>k</t>
  </si>
  <si>
    <t>phi</t>
  </si>
  <si>
    <t>Phi</t>
  </si>
  <si>
    <t>Mol fraction</t>
  </si>
  <si>
    <t>i=1</t>
  </si>
  <si>
    <t>i=2</t>
  </si>
  <si>
    <t>i=3</t>
  </si>
  <si>
    <t>i=4</t>
  </si>
  <si>
    <t>i=5</t>
  </si>
  <si>
    <t>u mix</t>
  </si>
  <si>
    <t>k mix</t>
  </si>
  <si>
    <t>Ls</t>
  </si>
  <si>
    <t>Db</t>
  </si>
  <si>
    <t>m/s</t>
  </si>
  <si>
    <t>m</t>
  </si>
  <si>
    <t>cm=Vc</t>
  </si>
  <si>
    <t>Lc</t>
  </si>
  <si>
    <t>rho</t>
  </si>
  <si>
    <t>hc</t>
  </si>
  <si>
    <t>hc 2</t>
  </si>
  <si>
    <t>coefficients polynomial function</t>
  </si>
  <si>
    <t>a1</t>
  </si>
  <si>
    <t>a2</t>
  </si>
  <si>
    <t>a3</t>
  </si>
  <si>
    <t>a4</t>
  </si>
  <si>
    <t>a5</t>
  </si>
  <si>
    <t>a6</t>
  </si>
  <si>
    <t>T(K) normalized</t>
  </si>
  <si>
    <t>Tlow &lt;1000 (K)</t>
  </si>
  <si>
    <t>Thigh &gt; 1000 (K)</t>
  </si>
  <si>
    <t>Cp CH4</t>
  </si>
  <si>
    <t>Cp CO2</t>
  </si>
  <si>
    <t>Cp H2</t>
  </si>
  <si>
    <t>Cp N2</t>
  </si>
  <si>
    <t>R (universal) (j/mol.K.)</t>
  </si>
  <si>
    <t>kj/kmolK</t>
  </si>
  <si>
    <t>kj/kg K</t>
  </si>
  <si>
    <t>Cp total</t>
  </si>
  <si>
    <t>Volume % fuel = kmol fractions Y.j</t>
  </si>
  <si>
    <t>Fuel</t>
  </si>
  <si>
    <t>Mj*Yj (kg/kmol)</t>
  </si>
  <si>
    <t>Total M</t>
  </si>
  <si>
    <t>Weight combustibles(g)</t>
  </si>
  <si>
    <t>mass fraction combustibles c,h</t>
  </si>
  <si>
    <t>C2H6</t>
  </si>
  <si>
    <t>k C2H6</t>
  </si>
  <si>
    <t>u C2H6</t>
  </si>
  <si>
    <t>Cp C2H6</t>
  </si>
  <si>
    <t>NG</t>
  </si>
  <si>
    <t>NG_H10</t>
  </si>
  <si>
    <t>NG90_H10</t>
  </si>
  <si>
    <t>NG80_H10</t>
  </si>
  <si>
    <t>NG_5CO2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</si>
</sst>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"/>
    <numFmt numFmtId="165" formatCode="0.0000"/>
    <numFmt numFmtId="166" formatCode="0.0"/>
    <numFmt numFmtId="167" formatCode="0.000000"/>
    <numFmt numFmtId="168" formatCode="0.00000000"/>
    <numFmt numFmtId="169" formatCode="0.00000000E+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2" fontId="0" fillId="0" borderId="0" xfId="0" applyNumberFormat="1"/>
    <xf numFmtId="164" fontId="0" fillId="0" borderId="0" xfId="0" applyNumberFormat="1"/>
    <xf numFmtId="2" fontId="1" fillId="0" borderId="0" xfId="0" applyNumberFormat="1" applyFont="1"/>
    <xf numFmtId="165" fontId="0" fillId="0" borderId="0" xfId="0" applyNumberFormat="1"/>
    <xf numFmtId="11" fontId="0" fillId="0" borderId="0" xfId="0" applyNumberFormat="1"/>
    <xf numFmtId="0" fontId="0" fillId="0" borderId="0" xfId="0" applyNumberFormat="1"/>
    <xf numFmtId="2" fontId="0" fillId="2" borderId="0" xfId="0" applyNumberFormat="1" applyFill="1"/>
    <xf numFmtId="1" fontId="0" fillId="0" borderId="0" xfId="0" applyNumberFormat="1"/>
    <xf numFmtId="0" fontId="2" fillId="0" borderId="0" xfId="0" applyFont="1"/>
    <xf numFmtId="0" fontId="1" fillId="2" borderId="0" xfId="0" applyFont="1" applyFill="1"/>
    <xf numFmtId="166" fontId="0" fillId="0" borderId="0" xfId="0" applyNumberFormat="1"/>
    <xf numFmtId="0" fontId="3" fillId="0" borderId="0" xfId="0" applyFont="1"/>
    <xf numFmtId="0" fontId="4" fillId="0" borderId="0" xfId="0" applyFont="1"/>
    <xf numFmtId="0" fontId="2" fillId="3" borderId="0" xfId="0" applyFont="1" applyFill="1"/>
    <xf numFmtId="0" fontId="4" fillId="3" borderId="0" xfId="0" applyFont="1" applyFill="1"/>
    <xf numFmtId="0" fontId="0" fillId="3" borderId="0" xfId="0" applyFill="1"/>
    <xf numFmtId="0" fontId="2" fillId="4" borderId="0" xfId="0" applyFont="1" applyFill="1"/>
    <xf numFmtId="0" fontId="0" fillId="4" borderId="0" xfId="0" applyFill="1"/>
    <xf numFmtId="2" fontId="0" fillId="4" borderId="0" xfId="0" applyNumberFormat="1" applyFill="1"/>
    <xf numFmtId="0" fontId="1" fillId="3" borderId="0" xfId="0" applyFont="1" applyFill="1"/>
    <xf numFmtId="0" fontId="1" fillId="3" borderId="0" xfId="0" applyFont="1" applyFill="1" applyAlignment="1">
      <alignment horizontal="right"/>
    </xf>
    <xf numFmtId="2" fontId="1" fillId="3" borderId="0" xfId="0" applyNumberFormat="1" applyFont="1" applyFill="1"/>
    <xf numFmtId="1" fontId="1" fillId="3" borderId="0" xfId="0" applyNumberFormat="1" applyFont="1" applyFill="1" applyAlignment="1">
      <alignment horizontal="right"/>
    </xf>
    <xf numFmtId="164" fontId="1" fillId="3" borderId="0" xfId="0" applyNumberFormat="1" applyFont="1" applyFill="1"/>
    <xf numFmtId="1" fontId="0" fillId="4" borderId="0" xfId="0" applyNumberFormat="1" applyFill="1"/>
    <xf numFmtId="0" fontId="4" fillId="4" borderId="0" xfId="0" applyFont="1" applyFill="1"/>
    <xf numFmtId="0" fontId="1" fillId="4" borderId="0" xfId="0" applyFont="1" applyFill="1"/>
    <xf numFmtId="0" fontId="2" fillId="5" borderId="0" xfId="0" applyFont="1" applyFill="1"/>
    <xf numFmtId="0" fontId="0" fillId="5" borderId="0" xfId="0" applyFill="1"/>
    <xf numFmtId="0" fontId="0" fillId="0" borderId="0" xfId="0" applyFont="1"/>
    <xf numFmtId="0" fontId="0" fillId="0" borderId="0" xfId="0" applyFont="1" applyFill="1"/>
    <xf numFmtId="2" fontId="0" fillId="0" borderId="0" xfId="0" applyNumberFormat="1" applyFont="1" applyFill="1"/>
    <xf numFmtId="0" fontId="2" fillId="2" borderId="0" xfId="0" applyFont="1" applyFill="1"/>
    <xf numFmtId="167" fontId="0" fillId="0" borderId="0" xfId="0" applyNumberFormat="1"/>
    <xf numFmtId="165" fontId="0" fillId="5" borderId="0" xfId="0" applyNumberFormat="1" applyFill="1"/>
    <xf numFmtId="168" fontId="0" fillId="4" borderId="0" xfId="0" applyNumberFormat="1" applyFill="1"/>
    <xf numFmtId="168" fontId="0" fillId="5" borderId="0" xfId="0" applyNumberFormat="1" applyFill="1"/>
    <xf numFmtId="0" fontId="1" fillId="0" borderId="0" xfId="0" applyFont="1" applyFill="1"/>
    <xf numFmtId="169" fontId="0" fillId="0" borderId="0" xfId="0" applyNumberFormat="1"/>
    <xf numFmtId="0" fontId="5" fillId="0" borderId="0" xfId="0" applyFont="1"/>
    <xf numFmtId="0" fontId="5" fillId="3" borderId="0" xfId="0" applyFont="1" applyFill="1"/>
    <xf numFmtId="0" fontId="6" fillId="3" borderId="0" xfId="0" applyFont="1" applyFill="1"/>
    <xf numFmtId="2" fontId="0" fillId="3" borderId="0" xfId="0" applyNumberFormat="1" applyFill="1"/>
    <xf numFmtId="1" fontId="0" fillId="3" borderId="0" xfId="0" applyNumberFormat="1" applyFill="1"/>
    <xf numFmtId="165" fontId="0" fillId="3" borderId="0" xfId="0" applyNumberFormat="1" applyFill="1"/>
    <xf numFmtId="164" fontId="0" fillId="3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Grafiek paper waardes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4"/>
            <c:dispRSqr val="0"/>
            <c:dispEq val="1"/>
            <c:trendlineLbl>
              <c:layout>
                <c:manualLayout>
                  <c:x val="-4.061023622047257E-3"/>
                  <c:y val="-5.682669874599010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cp!$A$2:$A$18</c:f>
              <c:numCache>
                <c:formatCode>0.00</c:formatCode>
                <c:ptCount val="17"/>
                <c:pt idx="0">
                  <c:v>264.57012969648298</c:v>
                </c:pt>
                <c:pt idx="1">
                  <c:v>298.85813611445298</c:v>
                </c:pt>
                <c:pt idx="2">
                  <c:v>394.50193876186597</c:v>
                </c:pt>
                <c:pt idx="3">
                  <c:v>499.17636047599899</c:v>
                </c:pt>
                <c:pt idx="4">
                  <c:v>596.62254312073799</c:v>
                </c:pt>
                <c:pt idx="5">
                  <c:v>699.49725899184295</c:v>
                </c:pt>
                <c:pt idx="6">
                  <c:v>795.14640994785395</c:v>
                </c:pt>
                <c:pt idx="7">
                  <c:v>892.59259259259204</c:v>
                </c:pt>
                <c:pt idx="8">
                  <c:v>997.26434015242603</c:v>
                </c:pt>
                <c:pt idx="9">
                  <c:v>1094.72656772295</c:v>
                </c:pt>
                <c:pt idx="10">
                  <c:v>1197.6012835940601</c:v>
                </c:pt>
                <c:pt idx="11">
                  <c:v>1296.85519454472</c:v>
                </c:pt>
                <c:pt idx="12">
                  <c:v>1392.5123679636299</c:v>
                </c:pt>
                <c:pt idx="13">
                  <c:v>1495.38708383473</c:v>
                </c:pt>
                <c:pt idx="14">
                  <c:v>1594.66506217408</c:v>
                </c:pt>
                <c:pt idx="15">
                  <c:v>1699.35018050541</c:v>
                </c:pt>
                <c:pt idx="16">
                  <c:v>1796.81775638454</c:v>
                </c:pt>
              </c:numCache>
            </c:numRef>
          </c:xVal>
          <c:yVal>
            <c:numRef>
              <c:f>cp!$D$2:$D$18</c:f>
              <c:numCache>
                <c:formatCode>0.000</c:formatCode>
                <c:ptCount val="17"/>
                <c:pt idx="0">
                  <c:v>1613.728780217119</c:v>
                </c:pt>
                <c:pt idx="1">
                  <c:v>1630.4225262193643</c:v>
                </c:pt>
                <c:pt idx="2">
                  <c:v>1680.5037642261061</c:v>
                </c:pt>
                <c:pt idx="3">
                  <c:v>1719.4558382313458</c:v>
                </c:pt>
                <c:pt idx="4">
                  <c:v>1775.1016582388306</c:v>
                </c:pt>
                <c:pt idx="5">
                  <c:v>1802.9245682425787</c:v>
                </c:pt>
                <c:pt idx="6">
                  <c:v>1841.8766422478182</c:v>
                </c:pt>
                <c:pt idx="7">
                  <c:v>1897.5224622553028</c:v>
                </c:pt>
                <c:pt idx="8">
                  <c:v>1942.0391182612962</c:v>
                </c:pt>
                <c:pt idx="9">
                  <c:v>1964.2974462642903</c:v>
                </c:pt>
                <c:pt idx="10">
                  <c:v>1992.1203562680328</c:v>
                </c:pt>
                <c:pt idx="11">
                  <c:v>2042.2015942747694</c:v>
                </c:pt>
                <c:pt idx="12">
                  <c:v>2064.4599222777633</c:v>
                </c:pt>
                <c:pt idx="13">
                  <c:v>2092.2828322815112</c:v>
                </c:pt>
                <c:pt idx="14">
                  <c:v>2092.2828322815112</c:v>
                </c:pt>
                <c:pt idx="15">
                  <c:v>2108.9765782837567</c:v>
                </c:pt>
                <c:pt idx="16">
                  <c:v>2120.1057422852537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8A8-4592-8082-57FBD23943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535424"/>
        <c:axId val="92733824"/>
      </c:scatterChart>
      <c:valAx>
        <c:axId val="92535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733824"/>
        <c:crosses val="autoZero"/>
        <c:crossBetween val="midCat"/>
      </c:valAx>
      <c:valAx>
        <c:axId val="92733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535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Grafiek berekende waardes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5"/>
            <c:dispRSqr val="0"/>
            <c:dispEq val="1"/>
            <c:trendlineLbl>
              <c:layout>
                <c:manualLayout>
                  <c:x val="-4.061023622047257E-3"/>
                  <c:y val="-5.682669874599010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yVal>
            <c:numRef>
              <c:f>cp!$U$23:$U$39</c:f>
              <c:numCache>
                <c:formatCode>0.00</c:formatCode>
                <c:ptCount val="17"/>
                <c:pt idx="0">
                  <c:v>1174.3804991594518</c:v>
                </c:pt>
                <c:pt idx="1">
                  <c:v>1185.1086492161894</c:v>
                </c:pt>
                <c:pt idx="2">
                  <c:v>1215.2805528665338</c:v>
                </c:pt>
                <c:pt idx="3">
                  <c:v>1248.4668683145087</c:v>
                </c:pt>
                <c:pt idx="4">
                  <c:v>1279.2185704513033</c:v>
                </c:pt>
                <c:pt idx="5">
                  <c:v>1311.2139094058925</c:v>
                </c:pt>
                <c:pt idx="6">
                  <c:v>1340.2433670513353</c:v>
                </c:pt>
                <c:pt idx="7">
                  <c:v>1368.8226464264878</c:v>
                </c:pt>
                <c:pt idx="8">
                  <c:v>1398.081057178485</c:v>
                </c:pt>
                <c:pt idx="9">
                  <c:v>1423.6829068286843</c:v>
                </c:pt>
                <c:pt idx="10">
                  <c:v>1448.6695204983</c:v>
                </c:pt>
                <c:pt idx="11">
                  <c:v>1470.487885380348</c:v>
                </c:pt>
                <c:pt idx="12">
                  <c:v>1489.1059052869125</c:v>
                </c:pt>
                <c:pt idx="13">
                  <c:v>1506.1794810386248</c:v>
                </c:pt>
                <c:pt idx="14">
                  <c:v>1519.4539061666726</c:v>
                </c:pt>
                <c:pt idx="15">
                  <c:v>1529.7109899458246</c:v>
                </c:pt>
                <c:pt idx="16">
                  <c:v>1535.5070640667775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121-4703-A3D3-7FAD830E70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767360"/>
        <c:axId val="92768896"/>
      </c:scatterChart>
      <c:valAx>
        <c:axId val="92767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768896"/>
        <c:crosses val="autoZero"/>
        <c:crossBetween val="midCat"/>
      </c:valAx>
      <c:valAx>
        <c:axId val="92768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767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ly"/>
            <c:order val="5"/>
            <c:dispRSqr val="0"/>
            <c:dispEq val="1"/>
            <c:trendlineLbl>
              <c:layout>
                <c:manualLayout>
                  <c:x val="-0.304901243319326"/>
                  <c:y val="-4.105331863239684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cat>
            <c:numRef>
              <c:f>cp!$E$56:$E$72</c:f>
              <c:numCache>
                <c:formatCode>General</c:formatCode>
                <c:ptCount val="17"/>
                <c:pt idx="0">
                  <c:v>0.26457012969648297</c:v>
                </c:pt>
                <c:pt idx="1">
                  <c:v>0.298858136114453</c:v>
                </c:pt>
                <c:pt idx="2">
                  <c:v>0.39450193876186596</c:v>
                </c:pt>
                <c:pt idx="3">
                  <c:v>0.499176360475999</c:v>
                </c:pt>
                <c:pt idx="4">
                  <c:v>0.59662254312073804</c:v>
                </c:pt>
                <c:pt idx="5">
                  <c:v>0.69949725899184301</c:v>
                </c:pt>
                <c:pt idx="6">
                  <c:v>0.7951464099478539</c:v>
                </c:pt>
                <c:pt idx="7">
                  <c:v>0.89259259259259205</c:v>
                </c:pt>
                <c:pt idx="8">
                  <c:v>0.99726434015242604</c:v>
                </c:pt>
                <c:pt idx="9">
                  <c:v>1.0947265677229501</c:v>
                </c:pt>
                <c:pt idx="10">
                  <c:v>1.1976012835940602</c:v>
                </c:pt>
                <c:pt idx="11">
                  <c:v>1.29685519454472</c:v>
                </c:pt>
                <c:pt idx="12">
                  <c:v>1.39251236796363</c:v>
                </c:pt>
                <c:pt idx="13">
                  <c:v>1.4953870838347301</c:v>
                </c:pt>
                <c:pt idx="14">
                  <c:v>1.5946650621740801</c:v>
                </c:pt>
                <c:pt idx="15">
                  <c:v>1.6993501805054101</c:v>
                </c:pt>
                <c:pt idx="16">
                  <c:v>1.79681775638454</c:v>
                </c:pt>
              </c:numCache>
            </c:numRef>
          </c:cat>
          <c:val>
            <c:numRef>
              <c:f>cp!$U$23:$U$39</c:f>
              <c:numCache>
                <c:formatCode>0.00</c:formatCode>
                <c:ptCount val="17"/>
                <c:pt idx="0">
                  <c:v>1174.3804991594518</c:v>
                </c:pt>
                <c:pt idx="1">
                  <c:v>1185.1086492161894</c:v>
                </c:pt>
                <c:pt idx="2">
                  <c:v>1215.2805528665338</c:v>
                </c:pt>
                <c:pt idx="3">
                  <c:v>1248.4668683145087</c:v>
                </c:pt>
                <c:pt idx="4">
                  <c:v>1279.2185704513033</c:v>
                </c:pt>
                <c:pt idx="5">
                  <c:v>1311.2139094058925</c:v>
                </c:pt>
                <c:pt idx="6">
                  <c:v>1340.2433670513353</c:v>
                </c:pt>
                <c:pt idx="7">
                  <c:v>1368.8226464264878</c:v>
                </c:pt>
                <c:pt idx="8">
                  <c:v>1398.081057178485</c:v>
                </c:pt>
                <c:pt idx="9">
                  <c:v>1423.6829068286843</c:v>
                </c:pt>
                <c:pt idx="10">
                  <c:v>1448.6695204983</c:v>
                </c:pt>
                <c:pt idx="11">
                  <c:v>1470.487885380348</c:v>
                </c:pt>
                <c:pt idx="12">
                  <c:v>1489.1059052869125</c:v>
                </c:pt>
                <c:pt idx="13">
                  <c:v>1506.1794810386248</c:v>
                </c:pt>
                <c:pt idx="14">
                  <c:v>1519.4539061666726</c:v>
                </c:pt>
                <c:pt idx="15">
                  <c:v>1529.7109899458246</c:v>
                </c:pt>
                <c:pt idx="16">
                  <c:v>1535.5070640667775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D5F-493B-AE5A-1DCD7742FA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466624"/>
        <c:axId val="93468160"/>
        <c:extLst xmlns:c16r2="http://schemas.microsoft.com/office/drawing/2015/06/chart"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cp!$E$56:$E$72</c15:sqref>
                        </c15:formulaRef>
                      </c:ext>
                    </c:extLst>
                    <c:numCache>
                      <c:formatCode>General</c:formatCode>
                      <c:ptCount val="17"/>
                      <c:pt idx="0">
                        <c:v>0.26457012969648297</c:v>
                      </c:pt>
                      <c:pt idx="1">
                        <c:v>0.298858136114453</c:v>
                      </c:pt>
                      <c:pt idx="2">
                        <c:v>0.39450193876186596</c:v>
                      </c:pt>
                      <c:pt idx="3">
                        <c:v>0.499176360475999</c:v>
                      </c:pt>
                      <c:pt idx="4">
                        <c:v>0.59662254312073804</c:v>
                      </c:pt>
                      <c:pt idx="5">
                        <c:v>0.69949725899184301</c:v>
                      </c:pt>
                      <c:pt idx="6">
                        <c:v>0.7951464099478539</c:v>
                      </c:pt>
                      <c:pt idx="7">
                        <c:v>0.89259259259259205</c:v>
                      </c:pt>
                      <c:pt idx="8">
                        <c:v>0.99726434015242604</c:v>
                      </c:pt>
                      <c:pt idx="9">
                        <c:v>1.0947265677229501</c:v>
                      </c:pt>
                      <c:pt idx="10">
                        <c:v>1.1976012835940602</c:v>
                      </c:pt>
                      <c:pt idx="11">
                        <c:v>1.29685519454472</c:v>
                      </c:pt>
                      <c:pt idx="12">
                        <c:v>1.39251236796363</c:v>
                      </c:pt>
                      <c:pt idx="13">
                        <c:v>1.4953870838347301</c:v>
                      </c:pt>
                      <c:pt idx="14">
                        <c:v>1.5946650621740801</c:v>
                      </c:pt>
                      <c:pt idx="15">
                        <c:v>1.6993501805054101</c:v>
                      </c:pt>
                      <c:pt idx="16">
                        <c:v>1.79681775638454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cp!$E$56:$E$72</c15:sqref>
                        </c15:formulaRef>
                      </c:ext>
                    </c:extLst>
                    <c:numCache>
                      <c:formatCode>General</c:formatCode>
                      <c:ptCount val="17"/>
                      <c:pt idx="0">
                        <c:v>0.26457012969648297</c:v>
                      </c:pt>
                      <c:pt idx="1">
                        <c:v>0.298858136114453</c:v>
                      </c:pt>
                      <c:pt idx="2">
                        <c:v>0.39450193876186596</c:v>
                      </c:pt>
                      <c:pt idx="3">
                        <c:v>0.499176360475999</c:v>
                      </c:pt>
                      <c:pt idx="4">
                        <c:v>0.59662254312073804</c:v>
                      </c:pt>
                      <c:pt idx="5">
                        <c:v>0.69949725899184301</c:v>
                      </c:pt>
                      <c:pt idx="6">
                        <c:v>0.7951464099478539</c:v>
                      </c:pt>
                      <c:pt idx="7">
                        <c:v>0.89259259259259205</c:v>
                      </c:pt>
                      <c:pt idx="8">
                        <c:v>0.99726434015242604</c:v>
                      </c:pt>
                      <c:pt idx="9">
                        <c:v>1.0947265677229501</c:v>
                      </c:pt>
                      <c:pt idx="10">
                        <c:v>1.1976012835940602</c:v>
                      </c:pt>
                      <c:pt idx="11">
                        <c:v>1.29685519454472</c:v>
                      </c:pt>
                      <c:pt idx="12">
                        <c:v>1.39251236796363</c:v>
                      </c:pt>
                      <c:pt idx="13">
                        <c:v>1.4953870838347301</c:v>
                      </c:pt>
                      <c:pt idx="14">
                        <c:v>1.5946650621740801</c:v>
                      </c:pt>
                      <c:pt idx="15">
                        <c:v>1.6993501805054101</c:v>
                      </c:pt>
                      <c:pt idx="16">
                        <c:v>1.79681775638454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DD5F-493B-AE5A-1DCD7742FAD0}"/>
                  </c:ext>
                </c:extLst>
              </c15:ser>
            </c15:filteredLineSeries>
          </c:ext>
        </c:extLst>
      </c:lineChart>
      <c:catAx>
        <c:axId val="93466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468160"/>
        <c:crosses val="autoZero"/>
        <c:auto val="1"/>
        <c:lblAlgn val="ctr"/>
        <c:lblOffset val="100"/>
        <c:noMultiLvlLbl val="0"/>
      </c:catAx>
      <c:valAx>
        <c:axId val="93468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466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ly"/>
            <c:order val="4"/>
            <c:dispRSqr val="0"/>
            <c:dispEq val="1"/>
            <c:trendlineLbl>
              <c:layout>
                <c:manualLayout>
                  <c:x val="-0.46016863695852733"/>
                  <c:y val="3.5415175375805297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cat>
            <c:numRef>
              <c:f>'phi, u mix'!$A$50:$A$82</c:f>
              <c:numCache>
                <c:formatCode>General</c:formatCode>
                <c:ptCount val="33"/>
                <c:pt idx="0">
                  <c:v>300</c:v>
                </c:pt>
                <c:pt idx="1">
                  <c:v>350</c:v>
                </c:pt>
                <c:pt idx="2">
                  <c:v>400</c:v>
                </c:pt>
                <c:pt idx="3">
                  <c:v>450</c:v>
                </c:pt>
                <c:pt idx="4">
                  <c:v>500</c:v>
                </c:pt>
                <c:pt idx="5">
                  <c:v>550</c:v>
                </c:pt>
                <c:pt idx="6">
                  <c:v>600</c:v>
                </c:pt>
                <c:pt idx="7">
                  <c:v>650</c:v>
                </c:pt>
                <c:pt idx="8">
                  <c:v>700</c:v>
                </c:pt>
                <c:pt idx="9">
                  <c:v>750</c:v>
                </c:pt>
                <c:pt idx="10">
                  <c:v>800</c:v>
                </c:pt>
                <c:pt idx="11">
                  <c:v>850</c:v>
                </c:pt>
                <c:pt idx="12">
                  <c:v>900</c:v>
                </c:pt>
                <c:pt idx="13">
                  <c:v>950</c:v>
                </c:pt>
                <c:pt idx="14">
                  <c:v>1000</c:v>
                </c:pt>
                <c:pt idx="15">
                  <c:v>1050</c:v>
                </c:pt>
                <c:pt idx="16">
                  <c:v>1100</c:v>
                </c:pt>
                <c:pt idx="17">
                  <c:v>1150</c:v>
                </c:pt>
                <c:pt idx="18">
                  <c:v>1200</c:v>
                </c:pt>
                <c:pt idx="19">
                  <c:v>1250</c:v>
                </c:pt>
                <c:pt idx="20">
                  <c:v>1300</c:v>
                </c:pt>
                <c:pt idx="21">
                  <c:v>1350</c:v>
                </c:pt>
                <c:pt idx="22">
                  <c:v>1400</c:v>
                </c:pt>
                <c:pt idx="23">
                  <c:v>1450</c:v>
                </c:pt>
                <c:pt idx="24">
                  <c:v>1500</c:v>
                </c:pt>
                <c:pt idx="25">
                  <c:v>1550</c:v>
                </c:pt>
                <c:pt idx="26">
                  <c:v>1600</c:v>
                </c:pt>
                <c:pt idx="27">
                  <c:v>1650</c:v>
                </c:pt>
                <c:pt idx="28">
                  <c:v>1700</c:v>
                </c:pt>
                <c:pt idx="29">
                  <c:v>1750</c:v>
                </c:pt>
                <c:pt idx="30">
                  <c:v>1800</c:v>
                </c:pt>
                <c:pt idx="31">
                  <c:v>1850</c:v>
                </c:pt>
                <c:pt idx="32">
                  <c:v>1900</c:v>
                </c:pt>
              </c:numCache>
            </c:numRef>
          </c:cat>
          <c:val>
            <c:numRef>
              <c:f>'phi, u mix'!$T$50:$T$82</c:f>
              <c:numCache>
                <c:formatCode>General</c:formatCode>
                <c:ptCount val="33"/>
                <c:pt idx="0">
                  <c:v>137.05134077812389</c:v>
                </c:pt>
                <c:pt idx="1">
                  <c:v>151.7838256426044</c:v>
                </c:pt>
                <c:pt idx="2">
                  <c:v>166.83732404311965</c:v>
                </c:pt>
                <c:pt idx="3">
                  <c:v>181.73291666044148</c:v>
                </c:pt>
                <c:pt idx="4">
                  <c:v>196.32179472185808</c:v>
                </c:pt>
                <c:pt idx="5">
                  <c:v>210.54235608694771</c:v>
                </c:pt>
                <c:pt idx="6">
                  <c:v>224.3753356816693</c:v>
                </c:pt>
                <c:pt idx="7">
                  <c:v>237.82258394141505</c:v>
                </c:pt>
                <c:pt idx="8">
                  <c:v>250.89640845436011</c:v>
                </c:pt>
                <c:pt idx="9">
                  <c:v>263.61400836398025</c:v>
                </c:pt>
                <c:pt idx="10">
                  <c:v>275.99450345573825</c:v>
                </c:pt>
                <c:pt idx="11">
                  <c:v>288.05733958854336</c:v>
                </c:pt>
                <c:pt idx="12">
                  <c:v>299.82144561258644</c:v>
                </c:pt>
                <c:pt idx="13">
                  <c:v>311.30480852414667</c:v>
                </c:pt>
                <c:pt idx="14">
                  <c:v>322.52428363099392</c:v>
                </c:pt>
                <c:pt idx="15">
                  <c:v>333.36579641246215</c:v>
                </c:pt>
                <c:pt idx="16">
                  <c:v>343.73518803149148</c:v>
                </c:pt>
                <c:pt idx="17">
                  <c:v>353.71792005930178</c:v>
                </c:pt>
                <c:pt idx="18">
                  <c:v>363.2835738878465</c:v>
                </c:pt>
                <c:pt idx="19">
                  <c:v>372.48448547757897</c:v>
                </c:pt>
                <c:pt idx="20">
                  <c:v>381.34684254959615</c:v>
                </c:pt>
                <c:pt idx="21">
                  <c:v>389.89426074016325</c:v>
                </c:pt>
                <c:pt idx="22">
                  <c:v>398.14809066789064</c:v>
                </c:pt>
                <c:pt idx="23">
                  <c:v>406.12768379229874</c:v>
                </c:pt>
                <c:pt idx="24">
                  <c:v>413.85062277353364</c:v>
                </c:pt>
                <c:pt idx="25">
                  <c:v>421.33292136012267</c:v>
                </c:pt>
                <c:pt idx="26">
                  <c:v>428.58919815939049</c:v>
                </c:pt>
                <c:pt idx="27">
                  <c:v>435.63282802682073</c:v>
                </c:pt>
                <c:pt idx="28">
                  <c:v>442.47607426228456</c:v>
                </c:pt>
                <c:pt idx="29">
                  <c:v>449.13020432512656</c:v>
                </c:pt>
                <c:pt idx="30">
                  <c:v>455.60559137225897</c:v>
                </c:pt>
                <c:pt idx="31">
                  <c:v>461.91180357673795</c:v>
                </c:pt>
                <c:pt idx="32">
                  <c:v>468.05768289090463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8083-4B6E-BD4E-EF2779CE59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045888"/>
        <c:axId val="97051776"/>
      </c:lineChart>
      <c:catAx>
        <c:axId val="97045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051776"/>
        <c:crosses val="autoZero"/>
        <c:auto val="1"/>
        <c:lblAlgn val="ctr"/>
        <c:lblOffset val="100"/>
        <c:noMultiLvlLbl val="0"/>
      </c:catAx>
      <c:valAx>
        <c:axId val="97051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045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ly"/>
            <c:order val="3"/>
            <c:dispRSqr val="0"/>
            <c:dispEq val="1"/>
            <c:trendlineLbl>
              <c:layout>
                <c:manualLayout>
                  <c:x val="-0.19028677338647662"/>
                  <c:y val="-3.8245863043943541E-2"/>
                </c:manualLayout>
              </c:layout>
              <c:numFmt formatCode="#,##0.00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cat>
            <c:numRef>
              <c:f>'phi, u mix'!$A$50:$A$82</c:f>
              <c:numCache>
                <c:formatCode>General</c:formatCode>
                <c:ptCount val="33"/>
                <c:pt idx="0">
                  <c:v>300</c:v>
                </c:pt>
                <c:pt idx="1">
                  <c:v>350</c:v>
                </c:pt>
                <c:pt idx="2">
                  <c:v>400</c:v>
                </c:pt>
                <c:pt idx="3">
                  <c:v>450</c:v>
                </c:pt>
                <c:pt idx="4">
                  <c:v>500</c:v>
                </c:pt>
                <c:pt idx="5">
                  <c:v>550</c:v>
                </c:pt>
                <c:pt idx="6">
                  <c:v>600</c:v>
                </c:pt>
                <c:pt idx="7">
                  <c:v>650</c:v>
                </c:pt>
                <c:pt idx="8">
                  <c:v>700</c:v>
                </c:pt>
                <c:pt idx="9">
                  <c:v>750</c:v>
                </c:pt>
                <c:pt idx="10">
                  <c:v>800</c:v>
                </c:pt>
                <c:pt idx="11">
                  <c:v>850</c:v>
                </c:pt>
                <c:pt idx="12">
                  <c:v>900</c:v>
                </c:pt>
                <c:pt idx="13">
                  <c:v>950</c:v>
                </c:pt>
                <c:pt idx="14">
                  <c:v>1000</c:v>
                </c:pt>
                <c:pt idx="15">
                  <c:v>1050</c:v>
                </c:pt>
                <c:pt idx="16">
                  <c:v>1100</c:v>
                </c:pt>
                <c:pt idx="17">
                  <c:v>1150</c:v>
                </c:pt>
                <c:pt idx="18">
                  <c:v>1200</c:v>
                </c:pt>
                <c:pt idx="19">
                  <c:v>1250</c:v>
                </c:pt>
                <c:pt idx="20">
                  <c:v>1300</c:v>
                </c:pt>
                <c:pt idx="21">
                  <c:v>1350</c:v>
                </c:pt>
                <c:pt idx="22">
                  <c:v>1400</c:v>
                </c:pt>
                <c:pt idx="23">
                  <c:v>1450</c:v>
                </c:pt>
                <c:pt idx="24">
                  <c:v>1500</c:v>
                </c:pt>
                <c:pt idx="25">
                  <c:v>1550</c:v>
                </c:pt>
                <c:pt idx="26">
                  <c:v>1600</c:v>
                </c:pt>
                <c:pt idx="27">
                  <c:v>1650</c:v>
                </c:pt>
                <c:pt idx="28">
                  <c:v>1700</c:v>
                </c:pt>
                <c:pt idx="29">
                  <c:v>1750</c:v>
                </c:pt>
                <c:pt idx="30">
                  <c:v>1800</c:v>
                </c:pt>
                <c:pt idx="31">
                  <c:v>1850</c:v>
                </c:pt>
                <c:pt idx="32">
                  <c:v>1900</c:v>
                </c:pt>
              </c:numCache>
            </c:numRef>
          </c:cat>
          <c:val>
            <c:numRef>
              <c:f>'phi, u mix'!$I$50:$I$82</c:f>
              <c:numCache>
                <c:formatCode>0.00000000</c:formatCode>
                <c:ptCount val="33"/>
                <c:pt idx="0">
                  <c:v>6.222560776865594E-5</c:v>
                </c:pt>
                <c:pt idx="1">
                  <c:v>7.0680363626934438E-5</c:v>
                </c:pt>
                <c:pt idx="2">
                  <c:v>7.8519155114865246E-5</c:v>
                </c:pt>
                <c:pt idx="3">
                  <c:v>8.5922272605823584E-5</c:v>
                </c:pt>
                <c:pt idx="4">
                  <c:v>9.2958307909117772E-5</c:v>
                </c:pt>
                <c:pt idx="5">
                  <c:v>9.968003505600818E-5</c:v>
                </c:pt>
                <c:pt idx="6">
                  <c:v>1.0612893422886393E-4</c:v>
                </c:pt>
                <c:pt idx="7">
                  <c:v>1.1233822956096818E-4</c:v>
                </c:pt>
                <c:pt idx="8">
                  <c:v>1.1833497648950533E-4</c:v>
                </c:pt>
                <c:pt idx="9">
                  <c:v>1.2414152937878736E-4</c:v>
                </c:pt>
                <c:pt idx="10">
                  <c:v>1.2977659596920624E-4</c:v>
                </c:pt>
                <c:pt idx="11">
                  <c:v>1.352560101729456E-4</c:v>
                </c:pt>
                <c:pt idx="12">
                  <c:v>1.4059330877717153E-4</c:v>
                </c:pt>
                <c:pt idx="13">
                  <c:v>1.4580016892088999E-4</c:v>
                </c:pt>
                <c:pt idx="14">
                  <c:v>1.5088674492172254E-4</c:v>
                </c:pt>
                <c:pt idx="15">
                  <c:v>1.5586846021709621E-4</c:v>
                </c:pt>
                <c:pt idx="16">
                  <c:v>1.607597536388595E-4</c:v>
                </c:pt>
                <c:pt idx="17">
                  <c:v>1.6553832792835977E-4</c:v>
                </c:pt>
                <c:pt idx="18">
                  <c:v>1.7025406201948091E-4</c:v>
                </c:pt>
                <c:pt idx="19">
                  <c:v>1.7489879802132881E-4</c:v>
                </c:pt>
                <c:pt idx="20">
                  <c:v>1.7947860505454984E-4</c:v>
                </c:pt>
                <c:pt idx="21">
                  <c:v>1.8399868735135289E-4</c:v>
                </c:pt>
                <c:pt idx="22">
                  <c:v>1.8846354227598715E-4</c:v>
                </c:pt>
                <c:pt idx="23">
                  <c:v>1.9287708447304579E-4</c:v>
                </c:pt>
                <c:pt idx="24">
                  <c:v>1.9724274432279468E-4</c:v>
                </c:pt>
                <c:pt idx="25">
                  <c:v>2.0156354670916937E-4</c:v>
                </c:pt>
                <c:pt idx="26">
                  <c:v>2.0584217455836356E-4</c:v>
                </c:pt>
                <c:pt idx="27">
                  <c:v>2.1008102049101081E-4</c:v>
                </c:pt>
                <c:pt idx="28">
                  <c:v>2.1428222911902637E-4</c:v>
                </c:pt>
                <c:pt idx="29">
                  <c:v>2.1844773192080373E-4</c:v>
                </c:pt>
                <c:pt idx="30">
                  <c:v>2.2257927618469963E-4</c:v>
                </c:pt>
                <c:pt idx="31">
                  <c:v>2.2667844917807325E-4</c:v>
                </c:pt>
                <c:pt idx="32">
                  <c:v>2.3074669844761186E-4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425-4AFE-9BE8-3190216630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814784"/>
        <c:axId val="93816320"/>
      </c:lineChart>
      <c:catAx>
        <c:axId val="9381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816320"/>
        <c:crosses val="autoZero"/>
        <c:auto val="1"/>
        <c:lblAlgn val="ctr"/>
        <c:lblOffset val="100"/>
        <c:noMultiLvlLbl val="0"/>
      </c:catAx>
      <c:valAx>
        <c:axId val="93816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814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ly"/>
            <c:order val="3"/>
            <c:dispRSqr val="0"/>
            <c:dispEq val="1"/>
            <c:trendlineLbl>
              <c:layout>
                <c:manualLayout>
                  <c:x val="-0.31171043225855366"/>
                  <c:y val="-3.7634190575963414E-2"/>
                </c:manualLayout>
              </c:layout>
              <c:numFmt formatCode="#,##0.00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cat>
            <c:numRef>
              <c:f>'phi, u mix'!$A$50:$A$82</c:f>
              <c:numCache>
                <c:formatCode>General</c:formatCode>
                <c:ptCount val="33"/>
                <c:pt idx="0">
                  <c:v>300</c:v>
                </c:pt>
                <c:pt idx="1">
                  <c:v>350</c:v>
                </c:pt>
                <c:pt idx="2">
                  <c:v>400</c:v>
                </c:pt>
                <c:pt idx="3">
                  <c:v>450</c:v>
                </c:pt>
                <c:pt idx="4">
                  <c:v>500</c:v>
                </c:pt>
                <c:pt idx="5">
                  <c:v>550</c:v>
                </c:pt>
                <c:pt idx="6">
                  <c:v>600</c:v>
                </c:pt>
                <c:pt idx="7">
                  <c:v>650</c:v>
                </c:pt>
                <c:pt idx="8">
                  <c:v>700</c:v>
                </c:pt>
                <c:pt idx="9">
                  <c:v>750</c:v>
                </c:pt>
                <c:pt idx="10">
                  <c:v>800</c:v>
                </c:pt>
                <c:pt idx="11">
                  <c:v>850</c:v>
                </c:pt>
                <c:pt idx="12">
                  <c:v>900</c:v>
                </c:pt>
                <c:pt idx="13">
                  <c:v>950</c:v>
                </c:pt>
                <c:pt idx="14">
                  <c:v>1000</c:v>
                </c:pt>
                <c:pt idx="15">
                  <c:v>1050</c:v>
                </c:pt>
                <c:pt idx="16">
                  <c:v>1100</c:v>
                </c:pt>
                <c:pt idx="17">
                  <c:v>1150</c:v>
                </c:pt>
                <c:pt idx="18">
                  <c:v>1200</c:v>
                </c:pt>
                <c:pt idx="19">
                  <c:v>1250</c:v>
                </c:pt>
                <c:pt idx="20">
                  <c:v>1300</c:v>
                </c:pt>
                <c:pt idx="21">
                  <c:v>1350</c:v>
                </c:pt>
                <c:pt idx="22">
                  <c:v>1400</c:v>
                </c:pt>
                <c:pt idx="23">
                  <c:v>1450</c:v>
                </c:pt>
                <c:pt idx="24">
                  <c:v>1500</c:v>
                </c:pt>
                <c:pt idx="25">
                  <c:v>1550</c:v>
                </c:pt>
                <c:pt idx="26">
                  <c:v>1600</c:v>
                </c:pt>
                <c:pt idx="27">
                  <c:v>1650</c:v>
                </c:pt>
                <c:pt idx="28">
                  <c:v>1700</c:v>
                </c:pt>
                <c:pt idx="29">
                  <c:v>1750</c:v>
                </c:pt>
                <c:pt idx="30">
                  <c:v>1800</c:v>
                </c:pt>
                <c:pt idx="31">
                  <c:v>1850</c:v>
                </c:pt>
                <c:pt idx="32">
                  <c:v>1900</c:v>
                </c:pt>
              </c:numCache>
            </c:numRef>
          </c:cat>
          <c:val>
            <c:numRef>
              <c:f>'phi, u mix'!$R$50:$R$82</c:f>
              <c:numCache>
                <c:formatCode>0.0000</c:formatCode>
                <c:ptCount val="33"/>
                <c:pt idx="0">
                  <c:v>3.2586681780850807E-2</c:v>
                </c:pt>
                <c:pt idx="1">
                  <c:v>3.9506302217915901E-2</c:v>
                </c:pt>
                <c:pt idx="2">
                  <c:v>4.6791251441351656E-2</c:v>
                </c:pt>
                <c:pt idx="3">
                  <c:v>5.4335971892575788E-2</c:v>
                </c:pt>
                <c:pt idx="4">
                  <c:v>6.2071451485128527E-2</c:v>
                </c:pt>
                <c:pt idx="5">
                  <c:v>6.995037457317646E-2</c:v>
                </c:pt>
                <c:pt idx="6">
                  <c:v>7.7939187185440267E-2</c:v>
                </c:pt>
                <c:pt idx="7">
                  <c:v>8.6013462028299792E-2</c:v>
                </c:pt>
                <c:pt idx="8">
                  <c:v>9.4155029222995401E-2</c:v>
                </c:pt>
                <c:pt idx="9">
                  <c:v>0.10235012472958374</c:v>
                </c:pt>
                <c:pt idx="10">
                  <c:v>0.11058815644525624</c:v>
                </c:pt>
                <c:pt idx="11">
                  <c:v>0.11886086000707996</c:v>
                </c:pt>
                <c:pt idx="12">
                  <c:v>0.12716170817516328</c:v>
                </c:pt>
                <c:pt idx="13">
                  <c:v>0.13548548951784339</c:v>
                </c:pt>
                <c:pt idx="14">
                  <c:v>0.14382800265643697</c:v>
                </c:pt>
                <c:pt idx="15">
                  <c:v>0.1521311504161364</c:v>
                </c:pt>
                <c:pt idx="16">
                  <c:v>0.16034250167047506</c:v>
                </c:pt>
                <c:pt idx="17">
                  <c:v>0.16846659561001448</c:v>
                </c:pt>
                <c:pt idx="18">
                  <c:v>0.17650773028851025</c:v>
                </c:pt>
                <c:pt idx="19">
                  <c:v>0.18446993325401262</c:v>
                </c:pt>
                <c:pt idx="20">
                  <c:v>0.19235696585013545</c:v>
                </c:pt>
                <c:pt idx="21">
                  <c:v>0.20017233421037983</c:v>
                </c:pt>
                <c:pt idx="22">
                  <c:v>0.20791930374673528</c:v>
                </c:pt>
                <c:pt idx="23">
                  <c:v>0.21560091517065361</c:v>
                </c:pt>
                <c:pt idx="24">
                  <c:v>0.22322000085811006</c:v>
                </c:pt>
                <c:pt idx="25">
                  <c:v>0.23077920085643711</c:v>
                </c:pt>
                <c:pt idx="26">
                  <c:v>0.23828097813617588</c:v>
                </c:pt>
                <c:pt idx="27">
                  <c:v>0.24572763288276081</c:v>
                </c:pt>
                <c:pt idx="28">
                  <c:v>0.25312131574191887</c:v>
                </c:pt>
                <c:pt idx="29">
                  <c:v>0.26046404000544765</c:v>
                </c:pt>
                <c:pt idx="30">
                  <c:v>0.26775769276725525</c:v>
                </c:pt>
                <c:pt idx="31">
                  <c:v>0.27500404510387827</c:v>
                </c:pt>
                <c:pt idx="32">
                  <c:v>0.2822047613460813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06E-42CC-8C70-8008D4B6B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204864"/>
        <c:axId val="97210752"/>
      </c:lineChart>
      <c:catAx>
        <c:axId val="97204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210752"/>
        <c:crosses val="autoZero"/>
        <c:auto val="1"/>
        <c:lblAlgn val="ctr"/>
        <c:lblOffset val="100"/>
        <c:noMultiLvlLbl val="0"/>
      </c:catAx>
      <c:valAx>
        <c:axId val="97210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204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ly"/>
            <c:order val="5"/>
            <c:dispRSqr val="0"/>
            <c:dispEq val="1"/>
            <c:trendlineLbl>
              <c:layout>
                <c:manualLayout>
                  <c:x val="-0.18956099820377545"/>
                  <c:y val="-2.971711869349664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cat>
            <c:numRef>
              <c:f>'cp normalized T'!$B$13:$B$29</c:f>
              <c:numCache>
                <c:formatCode>0.00</c:formatCode>
                <c:ptCount val="17"/>
                <c:pt idx="0">
                  <c:v>0.26457012969648297</c:v>
                </c:pt>
                <c:pt idx="1">
                  <c:v>0.298858136114453</c:v>
                </c:pt>
                <c:pt idx="2">
                  <c:v>0.39450193876186596</c:v>
                </c:pt>
                <c:pt idx="3">
                  <c:v>0.499176360475999</c:v>
                </c:pt>
                <c:pt idx="4">
                  <c:v>0.59662254312073804</c:v>
                </c:pt>
                <c:pt idx="5">
                  <c:v>0.69949725899184301</c:v>
                </c:pt>
                <c:pt idx="6">
                  <c:v>0.7951464099478539</c:v>
                </c:pt>
                <c:pt idx="7">
                  <c:v>0.89259259259259205</c:v>
                </c:pt>
                <c:pt idx="8">
                  <c:v>0.99726434015242604</c:v>
                </c:pt>
                <c:pt idx="9">
                  <c:v>1.0947265677229501</c:v>
                </c:pt>
                <c:pt idx="10">
                  <c:v>1.1976012835940602</c:v>
                </c:pt>
                <c:pt idx="11">
                  <c:v>1.29685519454472</c:v>
                </c:pt>
                <c:pt idx="12">
                  <c:v>1.39251236796363</c:v>
                </c:pt>
                <c:pt idx="13">
                  <c:v>1.4953870838347301</c:v>
                </c:pt>
                <c:pt idx="14">
                  <c:v>1.5946650621740801</c:v>
                </c:pt>
                <c:pt idx="15">
                  <c:v>1.6993501805054101</c:v>
                </c:pt>
                <c:pt idx="16">
                  <c:v>1.79681775638454</c:v>
                </c:pt>
              </c:numCache>
            </c:numRef>
          </c:cat>
          <c:val>
            <c:numRef>
              <c:f>'cp normalized T'!$D$13:$D$29</c:f>
              <c:numCache>
                <c:formatCode>General</c:formatCode>
                <c:ptCount val="17"/>
                <c:pt idx="0">
                  <c:v>3.7570654360002207</c:v>
                </c:pt>
                <c:pt idx="1">
                  <c:v>3.7878836149513626</c:v>
                </c:pt>
                <c:pt idx="2">
                  <c:v>3.8793827740282696</c:v>
                </c:pt>
                <c:pt idx="3">
                  <c:v>3.9886727622369209</c:v>
                </c:pt>
                <c:pt idx="4">
                  <c:v>4.0989146362480104</c:v>
                </c:pt>
                <c:pt idx="5">
                  <c:v>4.224234672587821</c:v>
                </c:pt>
                <c:pt idx="6">
                  <c:v>4.3491473771523612</c:v>
                </c:pt>
                <c:pt idx="7">
                  <c:v>4.4849890761422895</c:v>
                </c:pt>
                <c:pt idx="8">
                  <c:v>4.6409574807315765</c:v>
                </c:pt>
                <c:pt idx="9">
                  <c:v>4.7960103964211322</c:v>
                </c:pt>
                <c:pt idx="10">
                  <c:v>4.9705284612317424</c:v>
                </c:pt>
                <c:pt idx="11">
                  <c:v>5.1500804167103231</c:v>
                </c:pt>
                <c:pt idx="12">
                  <c:v>5.3341195834138295</c:v>
                </c:pt>
                <c:pt idx="13">
                  <c:v>5.5447873984801319</c:v>
                </c:pt>
                <c:pt idx="14">
                  <c:v>5.761318796499026</c:v>
                </c:pt>
                <c:pt idx="15">
                  <c:v>6.004501398788066</c:v>
                </c:pt>
                <c:pt idx="16">
                  <c:v>6.2453320793468148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5FA-4498-9BCB-61FB7F6E05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132544"/>
        <c:axId val="97134080"/>
        <c:extLst xmlns:c16r2="http://schemas.microsoft.com/office/drawing/2015/06/chart"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'cp normalized T'!$B$13:$B$29</c15:sqref>
                        </c15:formulaRef>
                      </c:ext>
                    </c:extLst>
                    <c:numCache>
                      <c:formatCode>0.00</c:formatCode>
                      <c:ptCount val="17"/>
                      <c:pt idx="0">
                        <c:v>0.26457012969648297</c:v>
                      </c:pt>
                      <c:pt idx="1">
                        <c:v>0.298858136114453</c:v>
                      </c:pt>
                      <c:pt idx="2">
                        <c:v>0.39450193876186596</c:v>
                      </c:pt>
                      <c:pt idx="3">
                        <c:v>0.499176360475999</c:v>
                      </c:pt>
                      <c:pt idx="4">
                        <c:v>0.59662254312073804</c:v>
                      </c:pt>
                      <c:pt idx="5">
                        <c:v>0.69949725899184301</c:v>
                      </c:pt>
                      <c:pt idx="6">
                        <c:v>0.7951464099478539</c:v>
                      </c:pt>
                      <c:pt idx="7">
                        <c:v>0.89259259259259205</c:v>
                      </c:pt>
                      <c:pt idx="8">
                        <c:v>0.99726434015242604</c:v>
                      </c:pt>
                      <c:pt idx="9">
                        <c:v>1.0947265677229501</c:v>
                      </c:pt>
                      <c:pt idx="10">
                        <c:v>1.1976012835940602</c:v>
                      </c:pt>
                      <c:pt idx="11">
                        <c:v>1.29685519454472</c:v>
                      </c:pt>
                      <c:pt idx="12">
                        <c:v>1.39251236796363</c:v>
                      </c:pt>
                      <c:pt idx="13">
                        <c:v>1.4953870838347301</c:v>
                      </c:pt>
                      <c:pt idx="14">
                        <c:v>1.5946650621740801</c:v>
                      </c:pt>
                      <c:pt idx="15">
                        <c:v>1.6993501805054101</c:v>
                      </c:pt>
                      <c:pt idx="16">
                        <c:v>1.79681775638454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'cp normalized T'!$B$13:$B$29</c15:sqref>
                        </c15:formulaRef>
                      </c:ext>
                    </c:extLst>
                    <c:numCache>
                      <c:formatCode>0.00</c:formatCode>
                      <c:ptCount val="17"/>
                      <c:pt idx="0">
                        <c:v>0.26457012969648297</c:v>
                      </c:pt>
                      <c:pt idx="1">
                        <c:v>0.298858136114453</c:v>
                      </c:pt>
                      <c:pt idx="2">
                        <c:v>0.39450193876186596</c:v>
                      </c:pt>
                      <c:pt idx="3">
                        <c:v>0.499176360475999</c:v>
                      </c:pt>
                      <c:pt idx="4">
                        <c:v>0.59662254312073804</c:v>
                      </c:pt>
                      <c:pt idx="5">
                        <c:v>0.69949725899184301</c:v>
                      </c:pt>
                      <c:pt idx="6">
                        <c:v>0.7951464099478539</c:v>
                      </c:pt>
                      <c:pt idx="7">
                        <c:v>0.89259259259259205</c:v>
                      </c:pt>
                      <c:pt idx="8">
                        <c:v>0.99726434015242604</c:v>
                      </c:pt>
                      <c:pt idx="9">
                        <c:v>1.0947265677229501</c:v>
                      </c:pt>
                      <c:pt idx="10">
                        <c:v>1.1976012835940602</c:v>
                      </c:pt>
                      <c:pt idx="11">
                        <c:v>1.29685519454472</c:v>
                      </c:pt>
                      <c:pt idx="12">
                        <c:v>1.39251236796363</c:v>
                      </c:pt>
                      <c:pt idx="13">
                        <c:v>1.4953870838347301</c:v>
                      </c:pt>
                      <c:pt idx="14">
                        <c:v>1.5946650621740801</c:v>
                      </c:pt>
                      <c:pt idx="15">
                        <c:v>1.6993501805054101</c:v>
                      </c:pt>
                      <c:pt idx="16">
                        <c:v>1.79681775638454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C5FA-4498-9BCB-61FB7F6E05CE}"/>
                  </c:ext>
                </c:extLst>
              </c15:ser>
            </c15:filteredLineSeries>
          </c:ext>
        </c:extLst>
      </c:lineChart>
      <c:catAx>
        <c:axId val="97132544"/>
        <c:scaling>
          <c:orientation val="minMax"/>
        </c:scaling>
        <c:delete val="0"/>
        <c:axPos val="b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134080"/>
        <c:crosses val="autoZero"/>
        <c:auto val="1"/>
        <c:lblAlgn val="ctr"/>
        <c:lblOffset val="100"/>
        <c:noMultiLvlLbl val="0"/>
      </c:catAx>
      <c:valAx>
        <c:axId val="97134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132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19</xdr:row>
      <xdr:rowOff>121920</xdr:rowOff>
    </xdr:from>
    <xdr:to>
      <xdr:col>7</xdr:col>
      <xdr:colOff>213360</xdr:colOff>
      <xdr:row>40</xdr:row>
      <xdr:rowOff>91440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xmlns="" id="{B31E9A1B-89C0-4482-969F-C24DE995C7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31</xdr:row>
      <xdr:rowOff>0</xdr:rowOff>
    </xdr:from>
    <xdr:to>
      <xdr:col>16</xdr:col>
      <xdr:colOff>30480</xdr:colOff>
      <xdr:row>51</xdr:row>
      <xdr:rowOff>152400</xdr:rowOff>
    </xdr:to>
    <xdr:graphicFrame macro="">
      <xdr:nvGraphicFramePr>
        <xdr:cNvPr id="5" name="Grafiek 4">
          <a:extLst>
            <a:ext uri="{FF2B5EF4-FFF2-40B4-BE49-F238E27FC236}">
              <a16:creationId xmlns:a16="http://schemas.microsoft.com/office/drawing/2014/main" xmlns="" id="{B1283CFE-BEB2-4B7B-9296-B23091D928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101600</xdr:colOff>
      <xdr:row>55</xdr:row>
      <xdr:rowOff>66040</xdr:rowOff>
    </xdr:from>
    <xdr:to>
      <xdr:col>17</xdr:col>
      <xdr:colOff>81280</xdr:colOff>
      <xdr:row>76</xdr:row>
      <xdr:rowOff>71120</xdr:rowOff>
    </xdr:to>
    <xdr:graphicFrame macro="">
      <xdr:nvGraphicFramePr>
        <xdr:cNvPr id="3" name="Grafiek 2">
          <a:extLst>
            <a:ext uri="{FF2B5EF4-FFF2-40B4-BE49-F238E27FC236}">
              <a16:creationId xmlns:a16="http://schemas.microsoft.com/office/drawing/2014/main" xmlns="" id="{75B1B9E1-D04C-4A1D-8987-024CD0999B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508000</xdr:colOff>
      <xdr:row>48</xdr:row>
      <xdr:rowOff>91440</xdr:rowOff>
    </xdr:from>
    <xdr:to>
      <xdr:col>36</xdr:col>
      <xdr:colOff>40640</xdr:colOff>
      <xdr:row>69</xdr:row>
      <xdr:rowOff>111760</xdr:rowOff>
    </xdr:to>
    <xdr:graphicFrame macro="">
      <xdr:nvGraphicFramePr>
        <xdr:cNvPr id="4" name="Grafiek 3">
          <a:extLst>
            <a:ext uri="{FF2B5EF4-FFF2-40B4-BE49-F238E27FC236}">
              <a16:creationId xmlns:a16="http://schemas.microsoft.com/office/drawing/2014/main" xmlns="" id="{0EBB0F67-4B3C-4707-815A-971DCBA29D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304800</xdr:colOff>
      <xdr:row>87</xdr:row>
      <xdr:rowOff>66040</xdr:rowOff>
    </xdr:from>
    <xdr:to>
      <xdr:col>9</xdr:col>
      <xdr:colOff>497840</xdr:colOff>
      <xdr:row>106</xdr:row>
      <xdr:rowOff>142240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xmlns="" id="{7766F688-0AB7-4A41-A31C-85EFBDBEA6B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87</xdr:row>
      <xdr:rowOff>0</xdr:rowOff>
    </xdr:from>
    <xdr:to>
      <xdr:col>23</xdr:col>
      <xdr:colOff>487680</xdr:colOff>
      <xdr:row>106</xdr:row>
      <xdr:rowOff>76200</xdr:rowOff>
    </xdr:to>
    <xdr:graphicFrame macro="">
      <xdr:nvGraphicFramePr>
        <xdr:cNvPr id="5" name="Grafiek 4">
          <a:extLst>
            <a:ext uri="{FF2B5EF4-FFF2-40B4-BE49-F238E27FC236}">
              <a16:creationId xmlns:a16="http://schemas.microsoft.com/office/drawing/2014/main" xmlns="" id="{8E62E896-71ED-4BB1-8CF9-AAC4B5D1AA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83820</xdr:colOff>
      <xdr:row>12</xdr:row>
      <xdr:rowOff>60960</xdr:rowOff>
    </xdr:from>
    <xdr:to>
      <xdr:col>13</xdr:col>
      <xdr:colOff>518160</xdr:colOff>
      <xdr:row>27</xdr:row>
      <xdr:rowOff>60960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xmlns="" id="{D20DDAA9-A44E-4CCE-93B5-6B1F561034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workbookViewId="0">
      <selection activeCell="B3" sqref="B3"/>
    </sheetView>
  </sheetViews>
  <sheetFormatPr defaultRowHeight="14.4" x14ac:dyDescent="0.3"/>
  <cols>
    <col min="2" max="2" width="19.44140625" customWidth="1"/>
  </cols>
  <sheetData>
    <row r="1" spans="1:22" x14ac:dyDescent="0.3">
      <c r="A1" s="21" t="s">
        <v>105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</row>
    <row r="2" spans="1:22" x14ac:dyDescent="0.3">
      <c r="A2" s="42" t="s">
        <v>111</v>
      </c>
      <c r="B2" s="42" t="s">
        <v>1</v>
      </c>
      <c r="C2" s="42" t="s">
        <v>5</v>
      </c>
      <c r="D2" s="42" t="s">
        <v>2</v>
      </c>
      <c r="E2" s="42" t="s">
        <v>3</v>
      </c>
      <c r="F2" s="42" t="s">
        <v>4</v>
      </c>
      <c r="G2" s="17" t="s">
        <v>6</v>
      </c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</row>
    <row r="3" spans="1:22" ht="25.8" x14ac:dyDescent="0.5">
      <c r="A3" s="17">
        <v>4.4000000000000004</v>
      </c>
      <c r="B3" s="17">
        <v>0.01</v>
      </c>
      <c r="C3" s="17">
        <v>81</v>
      </c>
      <c r="D3" s="17">
        <v>1.46</v>
      </c>
      <c r="E3" s="17">
        <v>13.13</v>
      </c>
      <c r="F3" s="17">
        <v>0</v>
      </c>
      <c r="G3" s="17">
        <f>SUM(A3:F3)</f>
        <v>99.999999999999986</v>
      </c>
      <c r="H3" s="17"/>
      <c r="I3" s="17"/>
      <c r="J3" s="17"/>
      <c r="K3" s="17"/>
      <c r="L3" s="43" t="s">
        <v>106</v>
      </c>
      <c r="M3" s="17"/>
      <c r="N3" s="17"/>
      <c r="O3" s="17"/>
      <c r="P3" s="17"/>
      <c r="Q3" s="17"/>
      <c r="R3" s="17"/>
      <c r="S3" s="17"/>
    </row>
    <row r="4" spans="1:22" x14ac:dyDescent="0.3">
      <c r="A4" s="17">
        <f>A3/100</f>
        <v>4.4000000000000004E-2</v>
      </c>
      <c r="B4" s="17">
        <f t="shared" ref="B4:G4" si="0">B3/100</f>
        <v>1E-4</v>
      </c>
      <c r="C4" s="17">
        <f t="shared" si="0"/>
        <v>0.81</v>
      </c>
      <c r="D4" s="17">
        <f t="shared" si="0"/>
        <v>1.46E-2</v>
      </c>
      <c r="E4" s="17">
        <f t="shared" si="0"/>
        <v>0.1313</v>
      </c>
      <c r="F4" s="17">
        <f t="shared" si="0"/>
        <v>0</v>
      </c>
      <c r="G4" s="17">
        <f t="shared" si="0"/>
        <v>0.99999999999999989</v>
      </c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</row>
    <row r="5" spans="1:22" x14ac:dyDescent="0.3">
      <c r="A5" s="21" t="s">
        <v>107</v>
      </c>
      <c r="B5" s="17"/>
      <c r="C5" s="17"/>
      <c r="D5" s="17"/>
      <c r="E5" s="17"/>
      <c r="F5" s="17"/>
      <c r="G5" s="21" t="s">
        <v>108</v>
      </c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 t="s">
        <v>26</v>
      </c>
      <c r="U5" s="17"/>
      <c r="V5" s="17"/>
    </row>
    <row r="6" spans="1:22" x14ac:dyDescent="0.3">
      <c r="A6" s="44">
        <f>A3/100*B11</f>
        <v>1.32308</v>
      </c>
      <c r="B6" s="44">
        <f>B3/100*B12</f>
        <v>2.0158800000000002E-4</v>
      </c>
      <c r="C6" s="44">
        <f>C3/100*B13</f>
        <v>12.9924</v>
      </c>
      <c r="D6" s="44">
        <f>D3/100*B14</f>
        <v>0.64254599999999995</v>
      </c>
      <c r="E6" s="44">
        <f>E3/100*B15</f>
        <v>3.6781594200000001</v>
      </c>
      <c r="F6" s="44">
        <f>F3/100*B16</f>
        <v>0</v>
      </c>
      <c r="G6" s="23">
        <f t="shared" ref="G6:G8" si="1">SUM(A6:F6)</f>
        <v>18.636387008</v>
      </c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>
        <f>Q11*G6/B17</f>
        <v>0.85399999999999987</v>
      </c>
      <c r="U6" s="17"/>
      <c r="V6" s="17"/>
    </row>
    <row r="7" spans="1:22" x14ac:dyDescent="0.3">
      <c r="A7" s="21" t="s">
        <v>8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 t="s">
        <v>27</v>
      </c>
      <c r="U7" s="17"/>
      <c r="V7" s="17"/>
    </row>
    <row r="8" spans="1:22" x14ac:dyDescent="0.3">
      <c r="A8" s="44">
        <f>A6/$G6</f>
        <v>7.0994447552094969E-2</v>
      </c>
      <c r="B8" s="44">
        <f t="shared" ref="B8:E8" si="2">B6/$G6</f>
        <v>1.0816903507823958E-5</v>
      </c>
      <c r="C8" s="44">
        <f t="shared" si="2"/>
        <v>0.69715229644151422</v>
      </c>
      <c r="D8" s="44">
        <f t="shared" si="2"/>
        <v>3.4478034810297493E-2</v>
      </c>
      <c r="E8" s="44">
        <f t="shared" si="2"/>
        <v>0.1973644042925855</v>
      </c>
      <c r="F8" s="44">
        <f>F6/$G6</f>
        <v>0</v>
      </c>
      <c r="G8" s="44">
        <f t="shared" si="1"/>
        <v>1</v>
      </c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>
        <f>Q12*G6/B19</f>
        <v>0.81010000000000004</v>
      </c>
      <c r="U8" s="17"/>
      <c r="V8" s="17"/>
    </row>
    <row r="9" spans="1:22" x14ac:dyDescent="0.3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 t="s">
        <v>31</v>
      </c>
      <c r="U9" s="17"/>
      <c r="V9" s="17"/>
    </row>
    <row r="10" spans="1:22" x14ac:dyDescent="0.3">
      <c r="A10" s="17"/>
      <c r="B10" s="21" t="s">
        <v>7</v>
      </c>
      <c r="C10" s="21"/>
      <c r="D10" s="21" t="s">
        <v>20</v>
      </c>
      <c r="E10" s="21"/>
      <c r="F10" s="21"/>
      <c r="G10" s="21" t="s">
        <v>24</v>
      </c>
      <c r="H10" s="21"/>
      <c r="I10" s="17"/>
      <c r="J10" s="21" t="s">
        <v>14</v>
      </c>
      <c r="K10" s="17"/>
      <c r="L10" s="17"/>
      <c r="M10" s="17"/>
      <c r="N10" s="17" t="s">
        <v>109</v>
      </c>
      <c r="O10" s="17"/>
      <c r="P10" s="17"/>
      <c r="Q10" s="17" t="s">
        <v>110</v>
      </c>
      <c r="R10" s="17"/>
      <c r="S10" s="17"/>
      <c r="T10" s="17">
        <f>Q13*G6/B18</f>
        <v>7.3200000000000001E-2</v>
      </c>
      <c r="U10" s="17"/>
      <c r="V10" s="17"/>
    </row>
    <row r="11" spans="1:22" x14ac:dyDescent="0.3">
      <c r="A11" s="42" t="s">
        <v>111</v>
      </c>
      <c r="B11" s="45">
        <v>30.07</v>
      </c>
      <c r="C11" s="17"/>
      <c r="D11" s="17">
        <v>1.1399999999999999</v>
      </c>
      <c r="E11" s="17" t="s">
        <v>21</v>
      </c>
      <c r="F11" s="17"/>
      <c r="G11" s="17">
        <f>A3/100*D11</f>
        <v>5.0160000000000003E-2</v>
      </c>
      <c r="H11" s="17" t="s">
        <v>22</v>
      </c>
      <c r="I11" s="17"/>
      <c r="J11" s="46">
        <f>B11/G6*A4</f>
        <v>7.0994447552094983E-2</v>
      </c>
      <c r="K11" s="17" t="s">
        <v>25</v>
      </c>
      <c r="L11" s="17">
        <f>B11/G$6*A3</f>
        <v>7.0994447552094977</v>
      </c>
      <c r="M11" s="17"/>
      <c r="N11" s="17" t="s">
        <v>11</v>
      </c>
      <c r="O11" s="17">
        <f>A6/(B11)*B17+C6/B13*B17</f>
        <v>10.257137799999999</v>
      </c>
      <c r="P11" s="17"/>
      <c r="Q11" s="17">
        <f>O11/G6</f>
        <v>0.55038231367469137</v>
      </c>
      <c r="R11" s="17"/>
      <c r="S11" s="17"/>
      <c r="T11" s="17" t="s">
        <v>32</v>
      </c>
      <c r="U11" s="17"/>
      <c r="V11" s="17"/>
    </row>
    <row r="12" spans="1:22" x14ac:dyDescent="0.3">
      <c r="A12" s="42" t="s">
        <v>1</v>
      </c>
      <c r="B12" s="45">
        <v>2.0158800000000001</v>
      </c>
      <c r="C12" s="17"/>
      <c r="D12" s="17">
        <v>8.2000000000000003E-2</v>
      </c>
      <c r="E12" s="17" t="s">
        <v>21</v>
      </c>
      <c r="F12" s="17"/>
      <c r="G12" s="17">
        <f>B3/100*D12</f>
        <v>8.2000000000000011E-6</v>
      </c>
      <c r="H12" s="17" t="s">
        <v>22</v>
      </c>
      <c r="I12" s="17"/>
      <c r="J12" s="46">
        <f>B12/G6*B4</f>
        <v>1.0816903507823956E-5</v>
      </c>
      <c r="K12" s="17" t="s">
        <v>25</v>
      </c>
      <c r="L12" s="17">
        <f>B12/G6*B3</f>
        <v>1.0816903507823957E-3</v>
      </c>
      <c r="M12" s="17"/>
      <c r="N12" s="17" t="s">
        <v>13</v>
      </c>
      <c r="O12" s="17">
        <f>B6/B12*B19+C6/B13*B19</f>
        <v>0.8165321940000001</v>
      </c>
      <c r="P12" s="17"/>
      <c r="Q12" s="17">
        <f>O12/G$6</f>
        <v>4.381386765844094E-2</v>
      </c>
      <c r="R12" s="17"/>
      <c r="S12" s="17"/>
      <c r="T12" s="17">
        <f>Q14*G6/B15*2</f>
        <v>0.2626</v>
      </c>
      <c r="U12" s="17"/>
      <c r="V12" s="17"/>
    </row>
    <row r="13" spans="1:22" x14ac:dyDescent="0.3">
      <c r="A13" s="42" t="s">
        <v>9</v>
      </c>
      <c r="B13" s="45">
        <v>16.04</v>
      </c>
      <c r="C13" s="17"/>
      <c r="D13" s="17">
        <v>0.65600000000000003</v>
      </c>
      <c r="E13" s="17" t="s">
        <v>21</v>
      </c>
      <c r="F13" s="17"/>
      <c r="G13" s="17">
        <f>C3/100*D13</f>
        <v>0.53136000000000005</v>
      </c>
      <c r="H13" s="17" t="s">
        <v>22</v>
      </c>
      <c r="I13" s="17"/>
      <c r="J13" s="46">
        <f>B13/G6*C4</f>
        <v>0.69715229644151422</v>
      </c>
      <c r="K13" s="17" t="s">
        <v>25</v>
      </c>
      <c r="L13" s="17">
        <f>B13/G6*C3</f>
        <v>69.715229644151421</v>
      </c>
      <c r="M13" s="17"/>
      <c r="N13" s="17" t="s">
        <v>12</v>
      </c>
      <c r="O13" s="17">
        <f>A6/B11*B18+D6/B14*B16</f>
        <v>1.1711268000000001</v>
      </c>
      <c r="P13" s="17"/>
      <c r="Q13" s="17">
        <f t="shared" ref="Q13:Q14" si="3">O13/G$6</f>
        <v>6.2840871435931936E-2</v>
      </c>
      <c r="R13" s="17"/>
      <c r="S13" s="17"/>
    </row>
    <row r="14" spans="1:22" x14ac:dyDescent="0.3">
      <c r="A14" s="42" t="s">
        <v>2</v>
      </c>
      <c r="B14" s="45">
        <v>44.01</v>
      </c>
      <c r="C14" s="17"/>
      <c r="D14" s="17">
        <v>1.98</v>
      </c>
      <c r="E14" s="17" t="s">
        <v>21</v>
      </c>
      <c r="F14" s="17"/>
      <c r="G14" s="17">
        <f>D3/100*D14</f>
        <v>2.8908E-2</v>
      </c>
      <c r="H14" s="17" t="s">
        <v>22</v>
      </c>
      <c r="I14" s="17"/>
      <c r="J14" s="46">
        <f>B14/G6*D4</f>
        <v>3.4478034810297493E-2</v>
      </c>
      <c r="K14" s="17" t="s">
        <v>25</v>
      </c>
      <c r="L14" s="17">
        <f>B14/G6*D3</f>
        <v>3.4478034810297493</v>
      </c>
      <c r="M14" s="17"/>
      <c r="N14" s="17" t="s">
        <v>3</v>
      </c>
      <c r="O14" s="44">
        <f>E6</f>
        <v>3.6781594200000001</v>
      </c>
      <c r="P14" s="17"/>
      <c r="Q14" s="17">
        <f t="shared" si="3"/>
        <v>0.1973644042925855</v>
      </c>
      <c r="R14" s="17"/>
      <c r="S14" s="17"/>
    </row>
    <row r="15" spans="1:22" x14ac:dyDescent="0.3">
      <c r="A15" s="42" t="s">
        <v>3</v>
      </c>
      <c r="B15" s="45">
        <v>28.013400000000001</v>
      </c>
      <c r="C15" s="17"/>
      <c r="D15" s="17">
        <v>1.165</v>
      </c>
      <c r="E15" s="17" t="s">
        <v>21</v>
      </c>
      <c r="F15" s="17"/>
      <c r="G15" s="17">
        <f>E3/100*D15</f>
        <v>0.1529645</v>
      </c>
      <c r="H15" s="17" t="s">
        <v>22</v>
      </c>
      <c r="I15" s="17"/>
      <c r="J15" s="46">
        <f>B15/G6*E4</f>
        <v>0.1973644042925855</v>
      </c>
      <c r="K15" s="17" t="s">
        <v>25</v>
      </c>
      <c r="L15" s="17">
        <f>B15/G6*E3</f>
        <v>19.73644042925855</v>
      </c>
      <c r="M15" s="17"/>
      <c r="N15" s="17"/>
      <c r="O15" s="21">
        <f>SUM(O11:O14)</f>
        <v>15.922956213999999</v>
      </c>
      <c r="P15" s="17"/>
      <c r="Q15" s="21">
        <f>SUM(Q11:Q14)</f>
        <v>0.85440145706164983</v>
      </c>
      <c r="R15" s="17"/>
      <c r="S15" s="17"/>
    </row>
    <row r="16" spans="1:22" x14ac:dyDescent="0.3">
      <c r="A16" s="42" t="s">
        <v>4</v>
      </c>
      <c r="B16" s="45">
        <f>15.999*2</f>
        <v>31.998000000000001</v>
      </c>
      <c r="C16" s="17"/>
      <c r="D16" s="17">
        <v>1.331</v>
      </c>
      <c r="E16" s="17" t="s">
        <v>21</v>
      </c>
      <c r="F16" s="17"/>
      <c r="G16" s="17"/>
      <c r="H16" s="17"/>
      <c r="I16" s="17"/>
      <c r="J16" s="17">
        <f>B16/G6*F4</f>
        <v>0</v>
      </c>
      <c r="K16" s="17"/>
      <c r="L16" s="17"/>
      <c r="M16" s="17"/>
      <c r="N16" s="17"/>
      <c r="O16" s="17"/>
      <c r="P16" s="17"/>
      <c r="Q16" s="17"/>
      <c r="R16" s="17"/>
      <c r="S16" s="17"/>
    </row>
    <row r="17" spans="1:19" x14ac:dyDescent="0.3">
      <c r="A17" s="42" t="s">
        <v>11</v>
      </c>
      <c r="B17" s="45">
        <v>12.0107</v>
      </c>
      <c r="C17" s="17"/>
      <c r="D17" s="17"/>
      <c r="E17" s="17"/>
      <c r="F17" s="17" t="s">
        <v>23</v>
      </c>
      <c r="G17" s="47">
        <f>SUM(G11:G15)</f>
        <v>0.76340070000000004</v>
      </c>
      <c r="H17" s="17" t="s">
        <v>21</v>
      </c>
      <c r="I17" s="17"/>
      <c r="J17" s="23">
        <f>SUM(J11:J15)</f>
        <v>1</v>
      </c>
      <c r="K17" s="17"/>
      <c r="L17" s="21">
        <f>SUM(L11:L15)</f>
        <v>100</v>
      </c>
      <c r="M17" s="17"/>
      <c r="N17" s="17"/>
      <c r="O17" s="17"/>
      <c r="P17" s="17"/>
      <c r="Q17" s="17"/>
      <c r="R17" s="17"/>
      <c r="S17" s="17"/>
    </row>
    <row r="18" spans="1:19" x14ac:dyDescent="0.3">
      <c r="A18" s="42" t="s">
        <v>12</v>
      </c>
      <c r="B18" s="45">
        <v>15.999000000000001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</row>
    <row r="19" spans="1:19" x14ac:dyDescent="0.3">
      <c r="A19" s="42" t="s">
        <v>13</v>
      </c>
      <c r="B19" s="45">
        <v>1.0079400000000001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</row>
    <row r="20" spans="1:19" x14ac:dyDescent="0.3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</row>
    <row r="21" spans="1:19" x14ac:dyDescent="0.3">
      <c r="N21">
        <f>Q13*G6/B18</f>
        <v>7.3200000000000001E-2</v>
      </c>
    </row>
    <row r="22" spans="1:19" x14ac:dyDescent="0.3">
      <c r="N22" t="s">
        <v>32</v>
      </c>
    </row>
    <row r="23" spans="1:19" x14ac:dyDescent="0.3">
      <c r="N23">
        <f>Q14*G6/B15*2</f>
        <v>0.2626</v>
      </c>
    </row>
    <row r="24" spans="1:19" x14ac:dyDescent="0.3">
      <c r="A24" s="1" t="s">
        <v>10</v>
      </c>
    </row>
    <row r="25" spans="1:19" x14ac:dyDescent="0.3">
      <c r="B25">
        <f>A6*B11+B6*B12+C6*B13+D6*B14+E6*B15</f>
        <v>379.49971853344545</v>
      </c>
    </row>
    <row r="26" spans="1:19" x14ac:dyDescent="0.3">
      <c r="B26">
        <f>B25/G6</f>
        <v>20.363373993603936</v>
      </c>
    </row>
    <row r="28" spans="1:19" x14ac:dyDescent="0.3">
      <c r="A28" t="s">
        <v>15</v>
      </c>
      <c r="B28">
        <v>30.36</v>
      </c>
      <c r="C28" t="s">
        <v>19</v>
      </c>
    </row>
    <row r="29" spans="1:19" x14ac:dyDescent="0.3">
      <c r="A29" t="s">
        <v>16</v>
      </c>
      <c r="B29">
        <v>25.02</v>
      </c>
      <c r="C29" t="s">
        <v>17</v>
      </c>
    </row>
    <row r="30" spans="1:19" x14ac:dyDescent="0.3">
      <c r="A30" t="s">
        <v>15</v>
      </c>
      <c r="B30" s="3">
        <f>B28/B29</f>
        <v>1.2134292565947242</v>
      </c>
      <c r="C30" t="s">
        <v>18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workbookViewId="0">
      <selection activeCell="E22" sqref="E22"/>
    </sheetView>
  </sheetViews>
  <sheetFormatPr defaultRowHeight="14.4" x14ac:dyDescent="0.3"/>
  <cols>
    <col min="2" max="2" width="11.33203125" customWidth="1"/>
  </cols>
  <sheetData>
    <row r="1" spans="1:2" x14ac:dyDescent="0.3">
      <c r="A1" s="19">
        <v>350</v>
      </c>
      <c r="B1" s="36">
        <f>'phi, u mix'!R51</f>
        <v>3.9506302217915901E-2</v>
      </c>
    </row>
    <row r="2" spans="1:2" x14ac:dyDescent="0.3">
      <c r="A2" s="19">
        <v>400</v>
      </c>
      <c r="B2" s="36">
        <f>'phi, u mix'!R52</f>
        <v>4.6791251441351656E-2</v>
      </c>
    </row>
    <row r="3" spans="1:2" x14ac:dyDescent="0.3">
      <c r="A3" s="19">
        <v>450</v>
      </c>
      <c r="B3" s="36">
        <f>'phi, u mix'!R53</f>
        <v>5.4335971892575788E-2</v>
      </c>
    </row>
    <row r="4" spans="1:2" x14ac:dyDescent="0.3">
      <c r="A4" s="19">
        <v>500</v>
      </c>
      <c r="B4" s="36">
        <f>'phi, u mix'!R54</f>
        <v>6.2071451485128527E-2</v>
      </c>
    </row>
    <row r="5" spans="1:2" x14ac:dyDescent="0.3">
      <c r="A5" s="19">
        <v>550</v>
      </c>
      <c r="B5" s="36">
        <f>'phi, u mix'!R55</f>
        <v>6.995037457317646E-2</v>
      </c>
    </row>
    <row r="6" spans="1:2" x14ac:dyDescent="0.3">
      <c r="A6" s="19">
        <v>600</v>
      </c>
      <c r="B6" s="36">
        <f>'phi, u mix'!R56</f>
        <v>7.7939187185440267E-2</v>
      </c>
    </row>
    <row r="7" spans="1:2" x14ac:dyDescent="0.3">
      <c r="A7" s="19">
        <v>650</v>
      </c>
      <c r="B7" s="36">
        <f>'phi, u mix'!R57</f>
        <v>8.6013462028299792E-2</v>
      </c>
    </row>
    <row r="8" spans="1:2" x14ac:dyDescent="0.3">
      <c r="A8" s="19">
        <v>700</v>
      </c>
      <c r="B8" s="36">
        <f>'phi, u mix'!R58</f>
        <v>9.4155029222995401E-2</v>
      </c>
    </row>
    <row r="9" spans="1:2" x14ac:dyDescent="0.3">
      <c r="A9" s="19">
        <v>750</v>
      </c>
      <c r="B9" s="36">
        <f>'phi, u mix'!R59</f>
        <v>0.10235012472958374</v>
      </c>
    </row>
    <row r="10" spans="1:2" x14ac:dyDescent="0.3">
      <c r="A10" s="19">
        <v>800</v>
      </c>
      <c r="B10" s="36">
        <f>'phi, u mix'!R60</f>
        <v>0.11058815644525624</v>
      </c>
    </row>
    <row r="11" spans="1:2" x14ac:dyDescent="0.3">
      <c r="A11" s="19">
        <v>850</v>
      </c>
      <c r="B11" s="36">
        <f>'phi, u mix'!R61</f>
        <v>0.11886086000707996</v>
      </c>
    </row>
    <row r="12" spans="1:2" x14ac:dyDescent="0.3">
      <c r="A12" s="19">
        <v>900</v>
      </c>
      <c r="B12" s="36">
        <f>'phi, u mix'!R62</f>
        <v>0.12716170817516328</v>
      </c>
    </row>
    <row r="13" spans="1:2" x14ac:dyDescent="0.3">
      <c r="A13" s="19">
        <v>950</v>
      </c>
      <c r="B13" s="36">
        <f>'phi, u mix'!R63</f>
        <v>0.13548548951784339</v>
      </c>
    </row>
    <row r="14" spans="1:2" x14ac:dyDescent="0.3">
      <c r="A14" s="19">
        <v>1000</v>
      </c>
      <c r="B14" s="36">
        <f>'phi, u mix'!R64</f>
        <v>0.14382800265643697</v>
      </c>
    </row>
    <row r="15" spans="1:2" x14ac:dyDescent="0.3">
      <c r="A15" s="19">
        <v>1050</v>
      </c>
      <c r="B15" s="36">
        <f>'phi, u mix'!R65</f>
        <v>0.1521311504161364</v>
      </c>
    </row>
    <row r="16" spans="1:2" x14ac:dyDescent="0.3">
      <c r="A16" s="19">
        <v>1100</v>
      </c>
      <c r="B16" s="36">
        <f>'phi, u mix'!R66</f>
        <v>0.16034250167047506</v>
      </c>
    </row>
    <row r="17" spans="1:2" x14ac:dyDescent="0.3">
      <c r="A17" s="19">
        <v>1150</v>
      </c>
      <c r="B17" s="36">
        <f>'phi, u mix'!R67</f>
        <v>0.16846659561001448</v>
      </c>
    </row>
    <row r="18" spans="1:2" x14ac:dyDescent="0.3">
      <c r="A18" s="19">
        <v>1200</v>
      </c>
      <c r="B18" s="36">
        <f>'phi, u mix'!R68</f>
        <v>0.17650773028851025</v>
      </c>
    </row>
    <row r="19" spans="1:2" x14ac:dyDescent="0.3">
      <c r="A19" s="19">
        <v>1250</v>
      </c>
      <c r="B19" s="36">
        <f>'phi, u mix'!R69</f>
        <v>0.18446993325401262</v>
      </c>
    </row>
    <row r="20" spans="1:2" x14ac:dyDescent="0.3">
      <c r="A20" s="19">
        <v>1300</v>
      </c>
      <c r="B20" s="36">
        <f>'phi, u mix'!R70</f>
        <v>0.19235696585013545</v>
      </c>
    </row>
    <row r="21" spans="1:2" x14ac:dyDescent="0.3">
      <c r="A21" s="19">
        <v>1350</v>
      </c>
      <c r="B21" s="36">
        <f>'phi, u mix'!R71</f>
        <v>0.20017233421037983</v>
      </c>
    </row>
    <row r="22" spans="1:2" x14ac:dyDescent="0.3">
      <c r="A22" s="19">
        <v>1400</v>
      </c>
      <c r="B22" s="36">
        <f>'phi, u mix'!R72</f>
        <v>0.20791930374673528</v>
      </c>
    </row>
    <row r="23" spans="1:2" x14ac:dyDescent="0.3">
      <c r="A23" s="19">
        <v>1450</v>
      </c>
      <c r="B23" s="36">
        <f>'phi, u mix'!R73</f>
        <v>0.21560091517065361</v>
      </c>
    </row>
    <row r="24" spans="1:2" x14ac:dyDescent="0.3">
      <c r="A24" s="19">
        <v>1500</v>
      </c>
      <c r="B24" s="36">
        <f>'phi, u mix'!R74</f>
        <v>0.22322000085811006</v>
      </c>
    </row>
    <row r="25" spans="1:2" x14ac:dyDescent="0.3">
      <c r="A25" s="19">
        <v>1550</v>
      </c>
      <c r="B25" s="36">
        <f>'phi, u mix'!R75</f>
        <v>0.23077920085643711</v>
      </c>
    </row>
    <row r="26" spans="1:2" x14ac:dyDescent="0.3">
      <c r="A26" s="19">
        <v>1600</v>
      </c>
      <c r="B26" s="36">
        <f>'phi, u mix'!R76</f>
        <v>0.23828097813617588</v>
      </c>
    </row>
    <row r="27" spans="1:2" x14ac:dyDescent="0.3">
      <c r="A27" s="19">
        <v>1650</v>
      </c>
      <c r="B27" s="36">
        <f>'phi, u mix'!R77</f>
        <v>0.24572763288276081</v>
      </c>
    </row>
    <row r="28" spans="1:2" x14ac:dyDescent="0.3">
      <c r="A28" s="19">
        <v>1700</v>
      </c>
      <c r="B28" s="36">
        <f>'phi, u mix'!R78</f>
        <v>0.25312131574191887</v>
      </c>
    </row>
    <row r="29" spans="1:2" x14ac:dyDescent="0.3">
      <c r="A29" s="19">
        <v>1750</v>
      </c>
      <c r="B29" s="36">
        <f>'phi, u mix'!R79</f>
        <v>0.26046404000544765</v>
      </c>
    </row>
    <row r="30" spans="1:2" x14ac:dyDescent="0.3">
      <c r="A30" s="19">
        <v>1800</v>
      </c>
      <c r="B30" s="36">
        <f>'phi, u mix'!R80</f>
        <v>0.26775769276725525</v>
      </c>
    </row>
    <row r="31" spans="1:2" x14ac:dyDescent="0.3">
      <c r="A31" s="19">
        <v>1850</v>
      </c>
      <c r="B31" s="36">
        <f>'phi, u mix'!R81</f>
        <v>0.27500404510387827</v>
      </c>
    </row>
    <row r="32" spans="1:2" x14ac:dyDescent="0.3">
      <c r="A32" s="19">
        <v>1900</v>
      </c>
      <c r="B32" s="36">
        <f>'phi, u mix'!R82</f>
        <v>0.2822047613460813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"/>
  <sheetViews>
    <sheetView zoomScale="75" zoomScaleNormal="75" workbookViewId="0">
      <selection activeCell="D40" sqref="D40"/>
    </sheetView>
  </sheetViews>
  <sheetFormatPr defaultRowHeight="14.4" x14ac:dyDescent="0.3"/>
  <cols>
    <col min="2" max="2" width="18.109375" customWidth="1"/>
    <col min="3" max="3" width="18.44140625" customWidth="1"/>
    <col min="4" max="4" width="17.33203125" customWidth="1"/>
    <col min="5" max="5" width="18.109375" customWidth="1"/>
    <col min="6" max="6" width="20.77734375" customWidth="1"/>
    <col min="7" max="7" width="18.21875" customWidth="1"/>
  </cols>
  <sheetData>
    <row r="1" spans="1:22" ht="18" x14ac:dyDescent="0.35">
      <c r="A1" s="10" t="s">
        <v>50</v>
      </c>
      <c r="F1" s="1" t="s">
        <v>101</v>
      </c>
      <c r="G1" s="1">
        <v>8.3145100000000003</v>
      </c>
      <c r="I1" s="1" t="s">
        <v>28</v>
      </c>
      <c r="J1" s="1" t="s">
        <v>97</v>
      </c>
      <c r="K1" s="1" t="s">
        <v>114</v>
      </c>
      <c r="L1" s="1" t="s">
        <v>98</v>
      </c>
      <c r="M1" s="1" t="s">
        <v>99</v>
      </c>
      <c r="N1" s="1" t="s">
        <v>100</v>
      </c>
      <c r="P1" s="1" t="s">
        <v>97</v>
      </c>
      <c r="Q1" s="1" t="s">
        <v>114</v>
      </c>
      <c r="R1" s="1" t="s">
        <v>98</v>
      </c>
      <c r="S1" s="1" t="s">
        <v>99</v>
      </c>
      <c r="T1" s="1" t="s">
        <v>100</v>
      </c>
      <c r="V1" s="1" t="s">
        <v>104</v>
      </c>
    </row>
    <row r="2" spans="1:22" x14ac:dyDescent="0.3">
      <c r="J2" s="41" t="s">
        <v>102</v>
      </c>
      <c r="K2" s="41" t="s">
        <v>102</v>
      </c>
      <c r="L2" s="41" t="s">
        <v>102</v>
      </c>
      <c r="M2" s="41" t="s">
        <v>102</v>
      </c>
      <c r="N2" s="41" t="s">
        <v>102</v>
      </c>
      <c r="P2" s="41" t="s">
        <v>103</v>
      </c>
      <c r="Q2" s="41" t="s">
        <v>103</v>
      </c>
      <c r="R2" s="41" t="s">
        <v>103</v>
      </c>
      <c r="S2" s="41" t="s">
        <v>103</v>
      </c>
      <c r="T2" s="41" t="s">
        <v>103</v>
      </c>
      <c r="V2" s="41" t="s">
        <v>103</v>
      </c>
    </row>
    <row r="3" spans="1:22" x14ac:dyDescent="0.3">
      <c r="A3" s="11" t="s">
        <v>5</v>
      </c>
      <c r="I3">
        <v>300</v>
      </c>
      <c r="J3">
        <f>($C$5+$D$5*$I3+$E$5*$I3^2+$F$5*$I3^3+$G$5*$I3^4)*$G$1</f>
        <v>35.76073923118598</v>
      </c>
      <c r="K3">
        <f>($C$12+$D$12*$I3+$E$12*$I3^2+$F$12*$I3^3+$G$12*$I3^4)*$G$1</f>
        <v>52.719673931516716</v>
      </c>
      <c r="L3">
        <f>($C$19+$D$19*$I3+$E$19*$I3^2+$F$19*$I3^3+$G$19*$I3^4)*$G$1</f>
        <v>37.217959072359022</v>
      </c>
      <c r="M3">
        <f>($C$26+$D$26*$I3+$E$26*$I3^2+$F$26*$I3^3+$G$26*$I3^4)*$G$1</f>
        <v>28.850949407552562</v>
      </c>
      <c r="N3">
        <f>($C$33+$D$33*$I3+$E$33*$I3^2+$F$33*$I3^3+$G$33*$I3^4)*$G$1</f>
        <v>29.125553258258435</v>
      </c>
      <c r="P3">
        <f>J3/$C$42</f>
        <v>2.229472520647505</v>
      </c>
      <c r="Q3">
        <f>K3/$C$40</f>
        <v>1.7532315906723217</v>
      </c>
      <c r="R3">
        <f>L3/$C$43</f>
        <v>0.84567050834717161</v>
      </c>
      <c r="S3">
        <f>M3/$C$41</f>
        <v>14.311838704462845</v>
      </c>
      <c r="T3">
        <f>N3/$C$44</f>
        <v>1.0397007595742906</v>
      </c>
      <c r="V3">
        <f>D$42*P3+D$40*Q3+D$43*R3+D$41*S3+D$44*T3</f>
        <v>1.9132633838923718</v>
      </c>
    </row>
    <row r="4" spans="1:22" x14ac:dyDescent="0.3">
      <c r="A4" s="1" t="s">
        <v>60</v>
      </c>
      <c r="C4" s="1" t="s">
        <v>88</v>
      </c>
      <c r="D4" s="1" t="s">
        <v>89</v>
      </c>
      <c r="E4" s="1" t="s">
        <v>90</v>
      </c>
      <c r="F4" s="1" t="s">
        <v>91</v>
      </c>
      <c r="G4" s="1" t="s">
        <v>92</v>
      </c>
      <c r="I4">
        <f>I3+50</f>
        <v>350</v>
      </c>
      <c r="J4">
        <f t="shared" ref="J4:J17" si="0">($C$5+$D$5*$I4+$E$5*$I4^2+$F$5*$I4^3+$G$5*$I4^4)*$G$1</f>
        <v>37.925808254513782</v>
      </c>
      <c r="K4">
        <f t="shared" ref="K4:K17" si="1">($C$12+$D$12*$I4+$E$12*$I4^2+$F$12*$I4^3+$G$12*$I4^4)*$G$1</f>
        <v>58.822259738391693</v>
      </c>
      <c r="L4">
        <f t="shared" ref="L4:L17" si="2">($C$19+$D$19*$I4+$E$19*$I4^2+$F$19*$I4^3+$G$19*$I4^4)*$G$1</f>
        <v>39.344488716155759</v>
      </c>
      <c r="M4">
        <f t="shared" ref="M4:M17" si="3">($C$26+$D$26*$I4+$E$26*$I4^2+$F$26*$I4^3+$G$26*$I4^4)*$G$1</f>
        <v>29.142294136395741</v>
      </c>
      <c r="N4">
        <f t="shared" ref="N4:N17" si="4">($C$33+$D$33*$I4+$E$33*$I4^2+$F$33*$I4^3+$G$33*$I4^4)*$G$1</f>
        <v>29.178768976715464</v>
      </c>
      <c r="P4">
        <f t="shared" ref="P4:P38" si="5">J4/C$42</f>
        <v>2.3644518861916324</v>
      </c>
      <c r="Q4">
        <f t="shared" ref="Q4:Q38" si="6">K4/$C$40</f>
        <v>1.9561775769335448</v>
      </c>
      <c r="R4">
        <f t="shared" ref="R4:R38" si="7">L4/$C$43</f>
        <v>0.89398974587947655</v>
      </c>
      <c r="S4">
        <f t="shared" ref="S4:S38" si="8">M4/$C$41</f>
        <v>14.456363541676954</v>
      </c>
      <c r="T4">
        <f t="shared" ref="T4:T38" si="9">N4/$C$44</f>
        <v>1.041600411828463</v>
      </c>
      <c r="V4">
        <f t="shared" ref="V4:V38" si="10">D$42*P4+D$40*Q4+D$43*R4+D$41*S4+D$44*T4</f>
        <v>2.0238150361315816</v>
      </c>
    </row>
    <row r="5" spans="1:22" x14ac:dyDescent="0.3">
      <c r="A5" s="13"/>
      <c r="B5" s="1" t="s">
        <v>95</v>
      </c>
      <c r="C5" s="40">
        <v>5.14987613</v>
      </c>
      <c r="D5" s="40">
        <v>-1.3670978800000001E-2</v>
      </c>
      <c r="E5" s="40">
        <v>4.9180059899999999E-5</v>
      </c>
      <c r="F5" s="40">
        <v>-4.8474302600000002E-8</v>
      </c>
      <c r="G5" s="40">
        <v>1.6669395599999999E-11</v>
      </c>
      <c r="I5">
        <f t="shared" ref="I5:I37" si="11">I4+50</f>
        <v>400</v>
      </c>
      <c r="J5">
        <f t="shared" si="0"/>
        <v>40.530536985568467</v>
      </c>
      <c r="K5">
        <f t="shared" si="1"/>
        <v>65.1481086171935</v>
      </c>
      <c r="L5">
        <f t="shared" si="2"/>
        <v>41.277814449618745</v>
      </c>
      <c r="M5">
        <f t="shared" si="3"/>
        <v>29.277618420924082</v>
      </c>
      <c r="N5">
        <f t="shared" si="4"/>
        <v>29.274183863266309</v>
      </c>
      <c r="P5">
        <f t="shared" si="5"/>
        <v>2.5268414579531466</v>
      </c>
      <c r="Q5">
        <f t="shared" si="6"/>
        <v>2.1665483411105253</v>
      </c>
      <c r="R5">
        <f t="shared" si="7"/>
        <v>0.93791898317697675</v>
      </c>
      <c r="S5">
        <f t="shared" si="8"/>
        <v>14.523492678594003</v>
      </c>
      <c r="T5">
        <f t="shared" si="9"/>
        <v>1.0450064563125614</v>
      </c>
      <c r="V5">
        <f t="shared" si="10"/>
        <v>2.1541480070298595</v>
      </c>
    </row>
    <row r="6" spans="1:22" x14ac:dyDescent="0.3">
      <c r="A6" s="13"/>
      <c r="B6" s="1" t="s">
        <v>96</v>
      </c>
      <c r="C6" s="40">
        <v>1.6355264300000001</v>
      </c>
      <c r="D6" s="40">
        <v>1.00842795E-2</v>
      </c>
      <c r="E6" s="40">
        <v>-3.3691625399999999E-6</v>
      </c>
      <c r="F6" s="40">
        <v>5.3495866700000002E-10</v>
      </c>
      <c r="G6" s="40">
        <v>-3.15518833E-14</v>
      </c>
      <c r="I6">
        <f t="shared" si="11"/>
        <v>450</v>
      </c>
      <c r="J6">
        <f t="shared" si="0"/>
        <v>43.428567957528422</v>
      </c>
      <c r="K6">
        <f t="shared" si="1"/>
        <v>71.506753251681715</v>
      </c>
      <c r="L6">
        <f t="shared" si="2"/>
        <v>43.031927353760047</v>
      </c>
      <c r="M6">
        <f t="shared" si="3"/>
        <v>29.313625346400649</v>
      </c>
      <c r="N6">
        <f t="shared" si="4"/>
        <v>29.413806418308102</v>
      </c>
      <c r="P6">
        <f t="shared" si="5"/>
        <v>2.7075167055815728</v>
      </c>
      <c r="Q6">
        <f t="shared" si="6"/>
        <v>2.3780097523006889</v>
      </c>
      <c r="R6">
        <f t="shared" si="7"/>
        <v>0.97777612710202333</v>
      </c>
      <c r="S6">
        <f t="shared" si="8"/>
        <v>14.541354319900314</v>
      </c>
      <c r="T6">
        <f t="shared" si="9"/>
        <v>1.0499905908710867</v>
      </c>
      <c r="V6">
        <f t="shared" si="10"/>
        <v>2.2974768368415832</v>
      </c>
    </row>
    <row r="7" spans="1:22" x14ac:dyDescent="0.3">
      <c r="A7" s="13"/>
      <c r="I7">
        <f t="shared" si="11"/>
        <v>500</v>
      </c>
      <c r="J7">
        <f t="shared" si="0"/>
        <v>46.494333382033552</v>
      </c>
      <c r="K7">
        <f t="shared" si="1"/>
        <v>77.741236183563402</v>
      </c>
      <c r="L7">
        <f t="shared" si="2"/>
        <v>44.620639290892512</v>
      </c>
      <c r="M7">
        <f t="shared" si="3"/>
        <v>29.297818677544136</v>
      </c>
      <c r="N7">
        <f t="shared" si="4"/>
        <v>29.597888104582143</v>
      </c>
      <c r="P7">
        <f t="shared" si="5"/>
        <v>2.898649213343738</v>
      </c>
      <c r="Q7">
        <f t="shared" si="6"/>
        <v>2.5853420746113533</v>
      </c>
      <c r="R7">
        <f t="shared" si="7"/>
        <v>1.0138750122902185</v>
      </c>
      <c r="S7">
        <f t="shared" si="8"/>
        <v>14.533513243617742</v>
      </c>
      <c r="T7">
        <f t="shared" si="9"/>
        <v>1.0565617920203239</v>
      </c>
      <c r="V7">
        <f t="shared" si="10"/>
        <v>2.447986202239012</v>
      </c>
    </row>
    <row r="8" spans="1:22" x14ac:dyDescent="0.3">
      <c r="A8" s="13"/>
      <c r="I8">
        <f t="shared" si="11"/>
        <v>550</v>
      </c>
      <c r="J8">
        <f t="shared" si="0"/>
        <v>49.623055149185269</v>
      </c>
      <c r="K8">
        <f t="shared" si="1"/>
        <v>83.728109812493202</v>
      </c>
      <c r="L8">
        <f t="shared" si="2"/>
        <v>46.057582904629584</v>
      </c>
      <c r="M8">
        <f t="shared" si="3"/>
        <v>29.268502858528741</v>
      </c>
      <c r="N8">
        <f t="shared" si="4"/>
        <v>29.824923347173897</v>
      </c>
      <c r="P8">
        <f t="shared" si="5"/>
        <v>3.0937066801237703</v>
      </c>
      <c r="Q8">
        <f t="shared" si="6"/>
        <v>2.784439967159734</v>
      </c>
      <c r="R8">
        <f t="shared" si="7"/>
        <v>1.046525401150411</v>
      </c>
      <c r="S8">
        <f t="shared" si="8"/>
        <v>14.518970801103608</v>
      </c>
      <c r="T8">
        <f t="shared" si="9"/>
        <v>1.0646663149483424</v>
      </c>
      <c r="V8">
        <f t="shared" si="10"/>
        <v>2.6008309163122925</v>
      </c>
    </row>
    <row r="9" spans="1:22" x14ac:dyDescent="0.3">
      <c r="I9">
        <f t="shared" si="11"/>
        <v>600</v>
      </c>
      <c r="J9">
        <f t="shared" si="0"/>
        <v>52.730744827546538</v>
      </c>
      <c r="K9">
        <f t="shared" si="1"/>
        <v>89.37743639607335</v>
      </c>
      <c r="L9">
        <f t="shared" si="2"/>
        <v>47.3562116198854</v>
      </c>
      <c r="M9">
        <f t="shared" si="3"/>
        <v>29.254783012984266</v>
      </c>
      <c r="N9">
        <f t="shared" si="4"/>
        <v>30.091649533512999</v>
      </c>
      <c r="P9">
        <f t="shared" si="5"/>
        <v>3.2874529194231008</v>
      </c>
      <c r="Q9">
        <f t="shared" si="6"/>
        <v>2.9723124840729414</v>
      </c>
      <c r="R9">
        <f t="shared" si="7"/>
        <v>1.0760329838646989</v>
      </c>
      <c r="S9">
        <f t="shared" si="8"/>
        <v>14.512164917050749</v>
      </c>
      <c r="T9">
        <f t="shared" si="9"/>
        <v>1.0741876935149963</v>
      </c>
      <c r="V9">
        <f t="shared" si="10"/>
        <v>2.7521359285694551</v>
      </c>
    </row>
    <row r="10" spans="1:22" x14ac:dyDescent="0.3">
      <c r="A10" s="11" t="s">
        <v>111</v>
      </c>
      <c r="I10">
        <f t="shared" si="11"/>
        <v>650</v>
      </c>
      <c r="J10">
        <f t="shared" si="0"/>
        <v>55.754203664141819</v>
      </c>
      <c r="K10">
        <f t="shared" si="1"/>
        <v>94.632788049853616</v>
      </c>
      <c r="L10">
        <f t="shared" si="2"/>
        <v>48.529799642874792</v>
      </c>
      <c r="M10">
        <f t="shared" si="3"/>
        <v>29.276564943996107</v>
      </c>
      <c r="N10">
        <f t="shared" si="4"/>
        <v>30.393047013373266</v>
      </c>
      <c r="P10">
        <f t="shared" si="5"/>
        <v>3.4759478593604629</v>
      </c>
      <c r="Q10">
        <f t="shared" si="6"/>
        <v>3.1470830744879819</v>
      </c>
      <c r="R10">
        <f t="shared" si="7"/>
        <v>1.1026993783884298</v>
      </c>
      <c r="S10">
        <f t="shared" si="8"/>
        <v>14.522970089487522</v>
      </c>
      <c r="T10">
        <f t="shared" si="9"/>
        <v>1.0849467402519246</v>
      </c>
      <c r="V10">
        <f t="shared" si="10"/>
        <v>2.8989963249364132</v>
      </c>
    </row>
    <row r="11" spans="1:22" x14ac:dyDescent="0.3">
      <c r="A11" s="1" t="s">
        <v>60</v>
      </c>
      <c r="C11" s="1" t="s">
        <v>88</v>
      </c>
      <c r="D11" s="1" t="s">
        <v>89</v>
      </c>
      <c r="E11" s="1" t="s">
        <v>90</v>
      </c>
      <c r="F11" s="1" t="s">
        <v>91</v>
      </c>
      <c r="G11" s="1" t="s">
        <v>92</v>
      </c>
      <c r="H11" s="1"/>
      <c r="I11">
        <f t="shared" si="11"/>
        <v>700</v>
      </c>
      <c r="J11">
        <f t="shared" si="0"/>
        <v>58.651022584457152</v>
      </c>
      <c r="K11">
        <f t="shared" si="1"/>
        <v>99.47124674733135</v>
      </c>
      <c r="L11">
        <f t="shared" si="2"/>
        <v>49.591441961113254</v>
      </c>
      <c r="M11">
        <f t="shared" si="3"/>
        <v>29.344555134105182</v>
      </c>
      <c r="N11">
        <f t="shared" si="4"/>
        <v>30.72233909887267</v>
      </c>
      <c r="P11">
        <f t="shared" si="5"/>
        <v>3.6565475426718925</v>
      </c>
      <c r="Q11">
        <f t="shared" si="6"/>
        <v>3.3079895825517576</v>
      </c>
      <c r="R11">
        <f t="shared" si="7"/>
        <v>1.1268221304501991</v>
      </c>
      <c r="S11">
        <f t="shared" si="8"/>
        <v>14.556697389777755</v>
      </c>
      <c r="T11">
        <f t="shared" si="9"/>
        <v>1.0967015463625505</v>
      </c>
      <c r="V11">
        <f t="shared" si="10"/>
        <v>3.039477327756968</v>
      </c>
    </row>
    <row r="12" spans="1:22" x14ac:dyDescent="0.3">
      <c r="A12" s="13"/>
      <c r="B12" s="1" t="s">
        <v>95</v>
      </c>
      <c r="C12" s="40">
        <v>4.2914249199999999</v>
      </c>
      <c r="D12" s="40">
        <v>-5.5015426999999997E-3</v>
      </c>
      <c r="E12" s="40">
        <v>5.9943828800000003E-5</v>
      </c>
      <c r="F12" s="40">
        <v>-7.0846628500000001E-8</v>
      </c>
      <c r="G12" s="40">
        <v>2.6868577099999999E-11</v>
      </c>
      <c r="I12">
        <f t="shared" si="11"/>
        <v>750</v>
      </c>
      <c r="J12">
        <f t="shared" si="0"/>
        <v>61.399582192439986</v>
      </c>
      <c r="K12">
        <f t="shared" si="1"/>
        <v>103.90340431995136</v>
      </c>
      <c r="L12">
        <f t="shared" si="2"/>
        <v>50.554054343416944</v>
      </c>
      <c r="M12">
        <f t="shared" si="3"/>
        <v>29.460260745308002</v>
      </c>
      <c r="N12">
        <f t="shared" si="4"/>
        <v>31.070992064473359</v>
      </c>
      <c r="P12">
        <f t="shared" si="5"/>
        <v>3.8279041267107226</v>
      </c>
      <c r="Q12">
        <f t="shared" si="6"/>
        <v>3.4553842474210628</v>
      </c>
      <c r="R12">
        <f t="shared" si="7"/>
        <v>1.1486947135518506</v>
      </c>
      <c r="S12">
        <f t="shared" si="8"/>
        <v>14.614094462620791</v>
      </c>
      <c r="T12">
        <f t="shared" si="9"/>
        <v>1.1091474817220814</v>
      </c>
      <c r="V12">
        <f t="shared" si="10"/>
        <v>3.1726142957928012</v>
      </c>
    </row>
    <row r="13" spans="1:22" x14ac:dyDescent="0.3">
      <c r="A13" s="13"/>
      <c r="B13" s="1" t="s">
        <v>96</v>
      </c>
      <c r="C13" s="40">
        <v>4.04666674</v>
      </c>
      <c r="D13" s="40">
        <v>1.53538766E-2</v>
      </c>
      <c r="E13" s="40">
        <v>-5.4703932099999999E-6</v>
      </c>
      <c r="F13" s="40">
        <v>8.7782622800000003E-10</v>
      </c>
      <c r="G13" s="40">
        <v>-5.2316730500000003E-14</v>
      </c>
      <c r="I13">
        <f t="shared" si="11"/>
        <v>800</v>
      </c>
      <c r="J13">
        <f t="shared" si="0"/>
        <v>63.999052770499432</v>
      </c>
      <c r="K13">
        <f t="shared" si="1"/>
        <v>107.97336245710616</v>
      </c>
      <c r="L13">
        <f t="shared" si="2"/>
        <v>51.43037333990268</v>
      </c>
      <c r="M13">
        <f t="shared" si="3"/>
        <v>29.615989619056688</v>
      </c>
      <c r="N13">
        <f t="shared" si="4"/>
        <v>31.428715146981656</v>
      </c>
      <c r="P13">
        <f t="shared" si="5"/>
        <v>3.9899658834475957</v>
      </c>
      <c r="Q13">
        <f t="shared" si="6"/>
        <v>3.5907337032625928</v>
      </c>
      <c r="R13">
        <f t="shared" si="7"/>
        <v>1.1686065289684773</v>
      </c>
      <c r="S13">
        <f t="shared" si="8"/>
        <v>14.691345526051494</v>
      </c>
      <c r="T13">
        <f t="shared" si="9"/>
        <v>1.1219171948775106</v>
      </c>
      <c r="V13">
        <f t="shared" si="10"/>
        <v>3.298412724223482</v>
      </c>
    </row>
    <row r="14" spans="1:22" x14ac:dyDescent="0.3">
      <c r="A14" s="13"/>
      <c r="I14">
        <f t="shared" si="11"/>
        <v>850</v>
      </c>
      <c r="J14">
        <f t="shared" si="0"/>
        <v>66.469394279506062</v>
      </c>
      <c r="K14">
        <f t="shared" si="1"/>
        <v>111.75873270613567</v>
      </c>
      <c r="L14">
        <f t="shared" si="2"/>
        <v>52.23295628198801</v>
      </c>
      <c r="M14">
        <f t="shared" si="3"/>
        <v>29.794850276258888</v>
      </c>
      <c r="N14">
        <f t="shared" si="4"/>
        <v>31.783460545548053</v>
      </c>
      <c r="P14">
        <f t="shared" si="5"/>
        <v>4.1439771994704531</v>
      </c>
      <c r="Q14">
        <f t="shared" si="6"/>
        <v>3.7166189792529321</v>
      </c>
      <c r="R14">
        <f t="shared" si="7"/>
        <v>1.1868429057484211</v>
      </c>
      <c r="S14">
        <f t="shared" si="8"/>
        <v>14.780071371440208</v>
      </c>
      <c r="T14">
        <f t="shared" si="9"/>
        <v>1.1345806130476148</v>
      </c>
      <c r="V14">
        <f t="shared" si="10"/>
        <v>3.417848244646466</v>
      </c>
    </row>
    <row r="15" spans="1:22" x14ac:dyDescent="0.3">
      <c r="A15" s="13"/>
      <c r="I15">
        <f t="shared" si="11"/>
        <v>900</v>
      </c>
      <c r="J15">
        <f t="shared" si="0"/>
        <v>68.851356358791904</v>
      </c>
      <c r="K15">
        <f t="shared" si="1"/>
        <v>115.37063647232755</v>
      </c>
      <c r="L15">
        <f t="shared" si="2"/>
        <v>52.974181282391108</v>
      </c>
      <c r="M15">
        <f t="shared" si="3"/>
        <v>29.97075191727777</v>
      </c>
      <c r="N15">
        <f t="shared" si="4"/>
        <v>32.121423421667195</v>
      </c>
      <c r="P15">
        <f t="shared" si="5"/>
        <v>4.292478575984533</v>
      </c>
      <c r="Q15">
        <f t="shared" si="6"/>
        <v>3.8367354995785683</v>
      </c>
      <c r="R15">
        <f t="shared" si="7"/>
        <v>1.2036851007132723</v>
      </c>
      <c r="S15">
        <f t="shared" si="8"/>
        <v>14.867329363492752</v>
      </c>
      <c r="T15">
        <f t="shared" si="9"/>
        <v>1.1466449421229552</v>
      </c>
      <c r="V15">
        <f t="shared" si="10"/>
        <v>3.5328666250770855</v>
      </c>
    </row>
    <row r="16" spans="1:22" x14ac:dyDescent="0.3">
      <c r="I16">
        <f t="shared" si="11"/>
        <v>950</v>
      </c>
      <c r="J16">
        <f t="shared" si="0"/>
        <v>71.206478326150545</v>
      </c>
      <c r="K16">
        <f t="shared" si="1"/>
        <v>118.95370501891684</v>
      </c>
      <c r="L16">
        <f t="shared" si="2"/>
        <v>53.666247235130847</v>
      </c>
      <c r="M16">
        <f t="shared" si="3"/>
        <v>30.108404421932232</v>
      </c>
      <c r="N16">
        <f t="shared" si="4"/>
        <v>32.427041899177937</v>
      </c>
      <c r="P16">
        <f t="shared" si="5"/>
        <v>4.4393066288123784</v>
      </c>
      <c r="Q16">
        <f t="shared" si="6"/>
        <v>3.9558930834358774</v>
      </c>
      <c r="R16">
        <f t="shared" si="7"/>
        <v>1.2194102984578699</v>
      </c>
      <c r="S16">
        <f t="shared" si="8"/>
        <v>14.935613440250526</v>
      </c>
      <c r="T16">
        <f t="shared" si="9"/>
        <v>1.1575546666658791</v>
      </c>
      <c r="V16">
        <f t="shared" si="10"/>
        <v>3.6463837699485628</v>
      </c>
    </row>
    <row r="17" spans="1:22" x14ac:dyDescent="0.3">
      <c r="A17" s="11" t="s">
        <v>2</v>
      </c>
      <c r="I17">
        <f t="shared" si="11"/>
        <v>1000</v>
      </c>
      <c r="J17">
        <f t="shared" si="0"/>
        <v>73.617089177837258</v>
      </c>
      <c r="K17">
        <f t="shared" si="1"/>
        <v>122.6860794670862</v>
      </c>
      <c r="L17">
        <f t="shared" si="2"/>
        <v>54.321173815526727</v>
      </c>
      <c r="M17">
        <f t="shared" si="3"/>
        <v>30.163318349496613</v>
      </c>
      <c r="N17">
        <f t="shared" si="4"/>
        <v>32.682997064263262</v>
      </c>
      <c r="P17">
        <f t="shared" si="5"/>
        <v>4.5895940883938442</v>
      </c>
      <c r="Q17">
        <f t="shared" si="6"/>
        <v>4.0800159450311337</v>
      </c>
      <c r="R17">
        <f t="shared" si="7"/>
        <v>1.2342916113503006</v>
      </c>
      <c r="S17">
        <f t="shared" si="8"/>
        <v>14.962854113090367</v>
      </c>
      <c r="T17">
        <f t="shared" si="9"/>
        <v>1.1666915499105164</v>
      </c>
      <c r="V17">
        <f t="shared" si="10"/>
        <v>3.7622857201120099</v>
      </c>
    </row>
    <row r="18" spans="1:22" x14ac:dyDescent="0.3">
      <c r="A18" s="1" t="s">
        <v>60</v>
      </c>
      <c r="C18" s="1" t="s">
        <v>88</v>
      </c>
      <c r="D18" s="1" t="s">
        <v>89</v>
      </c>
      <c r="E18" s="1" t="s">
        <v>90</v>
      </c>
      <c r="F18" s="1" t="s">
        <v>91</v>
      </c>
      <c r="G18" s="1" t="s">
        <v>92</v>
      </c>
      <c r="H18" s="1"/>
      <c r="I18">
        <f t="shared" si="11"/>
        <v>1050</v>
      </c>
      <c r="J18">
        <f>($C$6+$D$6*$I18+$E$6*$I18^2+$F$6*$I18^3+$G$6*$I18^4)*$G$1</f>
        <v>75.582622631214164</v>
      </c>
      <c r="K18">
        <f>($C$13+$D$13*$I18+$E$13*$I18^2+$F$13*$I18^3+$G$13*$I18^4)*$G$1</f>
        <v>125.4637187169659</v>
      </c>
      <c r="L18">
        <f>($C$20+$D$20*$I18+$E$20*$I18^2+$F$20*$I18^3+$G$20*$I18^4)*$G$1</f>
        <v>54.805894117425588</v>
      </c>
      <c r="M18">
        <f>($C$27+$D$27*$I18+$E$27*$I18^2+$F$27*$I18^3+$G$27*$I18^4)*$G$1</f>
        <v>30.401152561102496</v>
      </c>
      <c r="N18">
        <f>($C$34+$D$34*$I18+$E$34*$I18^2+$F$34*$I18^3+$G$34*$I18^4)*$G$1</f>
        <v>32.938641711489957</v>
      </c>
      <c r="P18">
        <f t="shared" si="5"/>
        <v>4.7121335804996365</v>
      </c>
      <c r="Q18">
        <f t="shared" si="6"/>
        <v>4.1723883843354139</v>
      </c>
      <c r="R18">
        <f t="shared" si="7"/>
        <v>1.2453054786963325</v>
      </c>
      <c r="S18">
        <f t="shared" si="8"/>
        <v>15.080834454978715</v>
      </c>
      <c r="T18">
        <f t="shared" si="9"/>
        <v>1.1758173485364132</v>
      </c>
      <c r="V18">
        <f t="shared" si="10"/>
        <v>3.8564544592290071</v>
      </c>
    </row>
    <row r="19" spans="1:22" x14ac:dyDescent="0.3">
      <c r="A19" s="13"/>
      <c r="B19" s="1" t="s">
        <v>95</v>
      </c>
      <c r="C19" s="40">
        <v>2.35677352</v>
      </c>
      <c r="D19" s="40">
        <v>8.9845967700000005E-3</v>
      </c>
      <c r="E19" s="40">
        <v>-7.1235626899999998E-6</v>
      </c>
      <c r="F19" s="40">
        <v>2.4591902199999998E-9</v>
      </c>
      <c r="G19" s="40">
        <v>-1.4369954799999999E-13</v>
      </c>
      <c r="I19">
        <f t="shared" si="11"/>
        <v>1100</v>
      </c>
      <c r="J19">
        <f t="shared" ref="J19:J38" si="12">($C$6+$D$6*$I19+$E$6*$I19^2+$F$6*$I19^3+$G$6*$I19^4)*$G$1</f>
        <v>77.469466478292347</v>
      </c>
      <c r="K19">
        <f t="shared" ref="K19:K38" si="13">($C$13+$D$13*$I19+$E$13*$I19^2+$F$13*$I19^3+$G$13*$I19^4)*$G$1</f>
        <v>128.11450148997</v>
      </c>
      <c r="L19">
        <f t="shared" ref="L19:L38" si="14">($C$20+$D$20*$I19+$E$20*$I19^2+$F$20*$I19^3+$G$20*$I19^4)*$G$1</f>
        <v>55.267696330677268</v>
      </c>
      <c r="M19">
        <f t="shared" ref="M19:M38" si="15">($C$27+$D$27*$I19+$E$27*$I19^2+$F$27*$I19^3+$G$27*$I19^4)*$G$1</f>
        <v>30.634729012791027</v>
      </c>
      <c r="N19">
        <f t="shared" ref="N19:N38" si="16">($C$34+$D$34*$I19+$E$34*$I19^2+$F$34*$I19^3+$G$34*$I19^4)*$G$1</f>
        <v>33.182831948564612</v>
      </c>
      <c r="P19">
        <f t="shared" si="5"/>
        <v>4.8297672368012687</v>
      </c>
      <c r="Q19">
        <f t="shared" si="6"/>
        <v>4.2605421180568674</v>
      </c>
      <c r="R19">
        <f t="shared" si="7"/>
        <v>1.255798598742951</v>
      </c>
      <c r="S19">
        <f t="shared" si="8"/>
        <v>15.196702687060254</v>
      </c>
      <c r="T19">
        <f t="shared" si="9"/>
        <v>1.1845342567687112</v>
      </c>
      <c r="V19">
        <f t="shared" si="10"/>
        <v>3.9468049013779734</v>
      </c>
    </row>
    <row r="20" spans="1:22" x14ac:dyDescent="0.3">
      <c r="A20" s="13"/>
      <c r="B20" s="1" t="s">
        <v>96</v>
      </c>
      <c r="C20" s="40">
        <v>4.6365949300000002</v>
      </c>
      <c r="D20" s="40">
        <v>2.7413199100000001E-3</v>
      </c>
      <c r="E20" s="40">
        <v>-9.958285309999999E-7</v>
      </c>
      <c r="F20" s="40">
        <v>1.60373011E-10</v>
      </c>
      <c r="G20" s="40">
        <v>-9.1610346800000004E-15</v>
      </c>
      <c r="I20">
        <f t="shared" si="11"/>
        <v>1150</v>
      </c>
      <c r="J20">
        <f t="shared" si="12"/>
        <v>79.280110148855982</v>
      </c>
      <c r="K20">
        <f t="shared" si="13"/>
        <v>130.64249903343853</v>
      </c>
      <c r="L20">
        <f t="shared" si="14"/>
        <v>55.707334986599676</v>
      </c>
      <c r="M20">
        <f t="shared" si="15"/>
        <v>30.864125275619951</v>
      </c>
      <c r="N20">
        <f t="shared" si="16"/>
        <v>33.415934344842718</v>
      </c>
      <c r="P20">
        <f t="shared" si="5"/>
        <v>4.9426502586568573</v>
      </c>
      <c r="Q20">
        <f t="shared" si="6"/>
        <v>4.3446125385247267</v>
      </c>
      <c r="R20">
        <f t="shared" si="7"/>
        <v>1.2657881160327125</v>
      </c>
      <c r="S20">
        <f t="shared" si="8"/>
        <v>15.310497289332673</v>
      </c>
      <c r="T20">
        <f t="shared" si="9"/>
        <v>1.1928553601077598</v>
      </c>
      <c r="V20">
        <f t="shared" si="10"/>
        <v>4.0334580317840976</v>
      </c>
    </row>
    <row r="21" spans="1:22" x14ac:dyDescent="0.3">
      <c r="A21" s="13"/>
      <c r="I21">
        <f t="shared" si="11"/>
        <v>1200</v>
      </c>
      <c r="J21">
        <f t="shared" si="12"/>
        <v>81.017004190028743</v>
      </c>
      <c r="K21">
        <f t="shared" si="13"/>
        <v>133.0517172841559</v>
      </c>
      <c r="L21">
        <f t="shared" si="14"/>
        <v>56.125553080334278</v>
      </c>
      <c r="M21">
        <f t="shared" si="15"/>
        <v>31.089418115896684</v>
      </c>
      <c r="N21">
        <f t="shared" si="16"/>
        <v>33.638309752431539</v>
      </c>
      <c r="P21">
        <f t="shared" si="5"/>
        <v>5.0509354233185002</v>
      </c>
      <c r="Q21">
        <f t="shared" si="6"/>
        <v>4.4247328661175889</v>
      </c>
      <c r="R21">
        <f t="shared" si="7"/>
        <v>1.2752909129819197</v>
      </c>
      <c r="S21">
        <f t="shared" si="8"/>
        <v>15.422256342588192</v>
      </c>
      <c r="T21">
        <f t="shared" si="9"/>
        <v>1.2007935399641436</v>
      </c>
      <c r="V21">
        <f t="shared" si="10"/>
        <v>4.1165329421830856</v>
      </c>
    </row>
    <row r="22" spans="1:22" x14ac:dyDescent="0.3">
      <c r="A22" s="13"/>
      <c r="I22">
        <f t="shared" si="11"/>
        <v>1250</v>
      </c>
      <c r="J22">
        <f t="shared" si="12"/>
        <v>82.682559798166864</v>
      </c>
      <c r="K22">
        <f t="shared" si="13"/>
        <v>135.34609693070971</v>
      </c>
      <c r="L22">
        <f t="shared" si="14"/>
        <v>56.523082181595392</v>
      </c>
      <c r="M22">
        <f t="shared" si="15"/>
        <v>31.310683440867965</v>
      </c>
      <c r="N22">
        <f t="shared" si="16"/>
        <v>33.850313277006322</v>
      </c>
      <c r="P22">
        <f t="shared" si="5"/>
        <v>5.1547730547485582</v>
      </c>
      <c r="Q22">
        <f t="shared" si="6"/>
        <v>4.501034151337203</v>
      </c>
      <c r="R22">
        <f t="shared" si="7"/>
        <v>1.2843236123970778</v>
      </c>
      <c r="S22">
        <f t="shared" si="8"/>
        <v>15.532017501472291</v>
      </c>
      <c r="T22">
        <f t="shared" si="9"/>
        <v>1.2083614726169019</v>
      </c>
      <c r="V22">
        <f t="shared" si="10"/>
        <v>4.1961468105037492</v>
      </c>
    </row>
    <row r="23" spans="1:22" x14ac:dyDescent="0.3">
      <c r="I23">
        <f t="shared" si="11"/>
        <v>1300</v>
      </c>
      <c r="J23">
        <f t="shared" si="12"/>
        <v>84.279148818859298</v>
      </c>
      <c r="K23">
        <f t="shared" si="13"/>
        <v>137.52951341349063</v>
      </c>
      <c r="L23">
        <f t="shared" si="14"/>
        <v>56.900642434670154</v>
      </c>
      <c r="M23">
        <f t="shared" si="15"/>
        <v>31.527996298719813</v>
      </c>
      <c r="N23">
        <f t="shared" si="16"/>
        <v>34.052294277810169</v>
      </c>
      <c r="P23">
        <f t="shared" si="5"/>
        <v>5.2543110236196569</v>
      </c>
      <c r="Q23">
        <f t="shared" si="6"/>
        <v>4.5736452748084684</v>
      </c>
      <c r="R23">
        <f t="shared" si="7"/>
        <v>1.2929025774748957</v>
      </c>
      <c r="S23">
        <f t="shared" si="8"/>
        <v>15.639817994483705</v>
      </c>
      <c r="T23">
        <f t="shared" si="9"/>
        <v>1.2155716292135252</v>
      </c>
      <c r="V23">
        <f t="shared" si="10"/>
        <v>4.2724149008680081</v>
      </c>
    </row>
    <row r="24" spans="1:22" x14ac:dyDescent="0.3">
      <c r="A24" s="11" t="s">
        <v>1</v>
      </c>
      <c r="I24">
        <f t="shared" si="11"/>
        <v>1350</v>
      </c>
      <c r="J24">
        <f t="shared" si="12"/>
        <v>85.809103746927548</v>
      </c>
      <c r="K24">
        <f t="shared" si="13"/>
        <v>139.60577692469258</v>
      </c>
      <c r="L24">
        <f t="shared" si="14"/>
        <v>57.258942558418511</v>
      </c>
      <c r="M24">
        <f t="shared" si="15"/>
        <v>31.741430878577557</v>
      </c>
      <c r="N24">
        <f t="shared" si="16"/>
        <v>34.244596367654154</v>
      </c>
      <c r="P24">
        <f t="shared" si="5"/>
        <v>5.3496947473146852</v>
      </c>
      <c r="Q24">
        <f t="shared" si="6"/>
        <v>4.6426929472794338</v>
      </c>
      <c r="R24">
        <f t="shared" si="7"/>
        <v>1.3010439118022838</v>
      </c>
      <c r="S24">
        <f t="shared" si="8"/>
        <v>15.745694623974421</v>
      </c>
      <c r="T24">
        <f t="shared" si="9"/>
        <v>1.2224362757699585</v>
      </c>
      <c r="V24">
        <f t="shared" si="10"/>
        <v>4.3454505635908909</v>
      </c>
    </row>
    <row r="25" spans="1:22" x14ac:dyDescent="0.3">
      <c r="A25" s="1" t="s">
        <v>60</v>
      </c>
      <c r="C25" s="1" t="s">
        <v>88</v>
      </c>
      <c r="D25" s="1" t="s">
        <v>89</v>
      </c>
      <c r="E25" s="1" t="s">
        <v>90</v>
      </c>
      <c r="F25" s="1" t="s">
        <v>91</v>
      </c>
      <c r="G25" s="1" t="s">
        <v>92</v>
      </c>
      <c r="H25" s="1"/>
      <c r="I25">
        <f t="shared" si="11"/>
        <v>1400</v>
      </c>
      <c r="J25">
        <f t="shared" si="12"/>
        <v>87.274717726425735</v>
      </c>
      <c r="K25">
        <f t="shared" si="13"/>
        <v>141.5786324083127</v>
      </c>
      <c r="L25">
        <f t="shared" si="14"/>
        <v>57.598679846273306</v>
      </c>
      <c r="M25">
        <f t="shared" si="15"/>
        <v>31.951060510505819</v>
      </c>
      <c r="N25">
        <f t="shared" si="16"/>
        <v>34.427557412917238</v>
      </c>
      <c r="P25">
        <f t="shared" si="5"/>
        <v>5.4410671899267919</v>
      </c>
      <c r="Q25">
        <f t="shared" si="6"/>
        <v>4.7083017096213071</v>
      </c>
      <c r="R25">
        <f t="shared" si="7"/>
        <v>1.3087634593563577</v>
      </c>
      <c r="S25">
        <f t="shared" si="8"/>
        <v>15.849683766149679</v>
      </c>
      <c r="T25">
        <f t="shared" si="9"/>
        <v>1.2289674731705982</v>
      </c>
      <c r="V25">
        <f t="shared" si="10"/>
        <v>4.4153652351805297</v>
      </c>
    </row>
    <row r="26" spans="1:22" x14ac:dyDescent="0.3">
      <c r="A26" s="13"/>
      <c r="B26" s="1" t="s">
        <v>95</v>
      </c>
      <c r="C26" s="40">
        <v>2.3443311200000001</v>
      </c>
      <c r="D26" s="40">
        <v>7.9805207499999992E-3</v>
      </c>
      <c r="E26" s="40">
        <v>-1.9478150999999999E-5</v>
      </c>
      <c r="F26" s="40">
        <v>2.01572094E-8</v>
      </c>
      <c r="G26" s="40">
        <v>-7.3761176100000006E-12</v>
      </c>
      <c r="I26">
        <f t="shared" si="11"/>
        <v>1450</v>
      </c>
      <c r="J26">
        <f t="shared" si="12"/>
        <v>88.678244550640571</v>
      </c>
      <c r="K26">
        <f t="shared" si="13"/>
        <v>143.45175956015112</v>
      </c>
      <c r="L26">
        <f t="shared" si="14"/>
        <v>57.920540166240137</v>
      </c>
      <c r="M26">
        <f t="shared" si="15"/>
        <v>32.156957665508529</v>
      </c>
      <c r="N26">
        <f t="shared" si="16"/>
        <v>34.601509533546277</v>
      </c>
      <c r="P26">
        <f t="shared" si="5"/>
        <v>5.5285688622593874</v>
      </c>
      <c r="Q26">
        <f t="shared" si="6"/>
        <v>4.7705939328284375</v>
      </c>
      <c r="R26">
        <f t="shared" si="7"/>
        <v>1.316076804504434</v>
      </c>
      <c r="S26">
        <f t="shared" si="8"/>
        <v>15.951821371067984</v>
      </c>
      <c r="T26">
        <f t="shared" si="9"/>
        <v>1.2351770771682937</v>
      </c>
      <c r="V26">
        <f t="shared" si="10"/>
        <v>4.4822684383381635</v>
      </c>
    </row>
    <row r="27" spans="1:22" x14ac:dyDescent="0.3">
      <c r="A27" s="13"/>
      <c r="B27" s="1" t="s">
        <v>96</v>
      </c>
      <c r="C27" s="40">
        <v>2.9328657900000001</v>
      </c>
      <c r="D27" s="40">
        <v>8.2660796699999997E-4</v>
      </c>
      <c r="E27" s="40">
        <v>-1.4640233499999999E-7</v>
      </c>
      <c r="F27" s="40">
        <v>1.54100359E-11</v>
      </c>
      <c r="G27" s="40">
        <v>-6.88804432E-16</v>
      </c>
      <c r="I27">
        <f t="shared" si="11"/>
        <v>1500</v>
      </c>
      <c r="J27">
        <f t="shared" si="12"/>
        <v>90.021898662091516</v>
      </c>
      <c r="K27">
        <f t="shared" si="13"/>
        <v>145.22877282781124</v>
      </c>
      <c r="L27">
        <f t="shared" si="14"/>
        <v>58.225197960897454</v>
      </c>
      <c r="M27">
        <f t="shared" si="15"/>
        <v>32.359193955528902</v>
      </c>
      <c r="N27">
        <f t="shared" si="16"/>
        <v>34.766779103056081</v>
      </c>
      <c r="P27">
        <f t="shared" si="5"/>
        <v>5.6123378218261548</v>
      </c>
      <c r="Q27">
        <f t="shared" si="6"/>
        <v>4.8296898180183323</v>
      </c>
      <c r="R27">
        <f t="shared" si="7"/>
        <v>1.3229992720040322</v>
      </c>
      <c r="S27">
        <f t="shared" si="8"/>
        <v>16.052142962641081</v>
      </c>
      <c r="T27">
        <f t="shared" si="9"/>
        <v>1.2410767383843475</v>
      </c>
      <c r="V27">
        <f t="shared" si="10"/>
        <v>4.5462677819581456</v>
      </c>
    </row>
    <row r="28" spans="1:22" x14ac:dyDescent="0.3">
      <c r="A28" s="13"/>
      <c r="I28">
        <f t="shared" si="11"/>
        <v>1550</v>
      </c>
      <c r="J28">
        <f t="shared" si="12"/>
        <v>91.307855152530465</v>
      </c>
      <c r="K28">
        <f t="shared" si="13"/>
        <v>146.91322141069966</v>
      </c>
      <c r="L28">
        <f t="shared" si="14"/>
        <v>58.513316247396581</v>
      </c>
      <c r="M28">
        <f t="shared" si="15"/>
        <v>32.557840133449467</v>
      </c>
      <c r="N28">
        <f t="shared" si="16"/>
        <v>34.923686748529335</v>
      </c>
      <c r="P28">
        <f t="shared" si="5"/>
        <v>5.6925096728510267</v>
      </c>
      <c r="Q28">
        <f t="shared" si="6"/>
        <v>4.8857073964316484</v>
      </c>
      <c r="R28">
        <f t="shared" si="7"/>
        <v>1.3295459270028762</v>
      </c>
      <c r="S28">
        <f t="shared" si="8"/>
        <v>16.150683638633978</v>
      </c>
      <c r="T28">
        <f t="shared" si="9"/>
        <v>1.2466779023085142</v>
      </c>
      <c r="V28">
        <f t="shared" si="10"/>
        <v>4.6074689611279247</v>
      </c>
    </row>
    <row r="29" spans="1:22" x14ac:dyDescent="0.3">
      <c r="A29" s="13"/>
      <c r="I29">
        <f t="shared" si="11"/>
        <v>1600</v>
      </c>
      <c r="J29">
        <f t="shared" si="12"/>
        <v>92.538249762942087</v>
      </c>
      <c r="K29">
        <f t="shared" si="13"/>
        <v>148.50858926002607</v>
      </c>
      <c r="L29">
        <f t="shared" si="14"/>
        <v>58.785546617461648</v>
      </c>
      <c r="M29">
        <f t="shared" si="15"/>
        <v>32.752966093092041</v>
      </c>
      <c r="N29">
        <f t="shared" si="16"/>
        <v>35.072547350616645</v>
      </c>
      <c r="P29">
        <f t="shared" si="5"/>
        <v>5.7692175662682104</v>
      </c>
      <c r="Q29">
        <f t="shared" si="6"/>
        <v>4.9387625294321937</v>
      </c>
      <c r="R29">
        <f t="shared" si="7"/>
        <v>1.3357315750388923</v>
      </c>
      <c r="S29">
        <f t="shared" si="8"/>
        <v>16.24747807066494</v>
      </c>
      <c r="T29">
        <f t="shared" si="9"/>
        <v>1.2519918092990014</v>
      </c>
      <c r="V29">
        <f t="shared" si="10"/>
        <v>4.6659757571280664</v>
      </c>
    </row>
    <row r="30" spans="1:22" x14ac:dyDescent="0.3">
      <c r="I30">
        <f t="shared" si="11"/>
        <v>1650</v>
      </c>
      <c r="J30">
        <f t="shared" si="12"/>
        <v>93.71517888354353</v>
      </c>
      <c r="K30">
        <f t="shared" si="13"/>
        <v>150.01829507880328</v>
      </c>
      <c r="L30">
        <f t="shared" si="14"/>
        <v>59.042529237389573</v>
      </c>
      <c r="M30">
        <f t="shared" si="15"/>
        <v>32.944640869217757</v>
      </c>
      <c r="N30">
        <f t="shared" si="16"/>
        <v>35.213670043536574</v>
      </c>
      <c r="P30">
        <f t="shared" si="5"/>
        <v>5.8425921997221657</v>
      </c>
      <c r="Q30">
        <f t="shared" si="6"/>
        <v>4.9889689085069264</v>
      </c>
      <c r="R30">
        <f t="shared" si="7"/>
        <v>1.3415707620402084</v>
      </c>
      <c r="S30">
        <f t="shared" si="8"/>
        <v>16.342560504205487</v>
      </c>
      <c r="T30">
        <f t="shared" si="9"/>
        <v>1.2570294945824703</v>
      </c>
      <c r="V30">
        <f t="shared" si="10"/>
        <v>4.7218900374322361</v>
      </c>
    </row>
    <row r="31" spans="1:22" x14ac:dyDescent="0.3">
      <c r="A31" s="11" t="s">
        <v>3</v>
      </c>
      <c r="I31">
        <f t="shared" si="11"/>
        <v>1700</v>
      </c>
      <c r="J31">
        <f t="shared" si="12"/>
        <v>94.840699553784745</v>
      </c>
      <c r="K31">
        <f t="shared" si="13"/>
        <v>151.44569232184745</v>
      </c>
      <c r="L31">
        <f t="shared" si="14"/>
        <v>59.284892848050205</v>
      </c>
      <c r="M31">
        <f t="shared" si="15"/>
        <v>33.132932637527027</v>
      </c>
      <c r="N31">
        <f t="shared" si="16"/>
        <v>35.347358215075538</v>
      </c>
      <c r="P31">
        <f t="shared" si="5"/>
        <v>5.9127618175676275</v>
      </c>
      <c r="Q31">
        <f t="shared" si="6"/>
        <v>5.0364380552659611</v>
      </c>
      <c r="R31">
        <f t="shared" si="7"/>
        <v>1.3470777743251581</v>
      </c>
      <c r="S31">
        <f t="shared" si="8"/>
        <v>16.435964758580383</v>
      </c>
      <c r="T31">
        <f t="shared" si="9"/>
        <v>1.2618017882540333</v>
      </c>
      <c r="V31">
        <f t="shared" si="10"/>
        <v>4.7753117557072153</v>
      </c>
    </row>
    <row r="32" spans="1:22" x14ac:dyDescent="0.3">
      <c r="A32" s="1" t="s">
        <v>60</v>
      </c>
      <c r="C32" s="1" t="s">
        <v>88</v>
      </c>
      <c r="D32" s="1" t="s">
        <v>89</v>
      </c>
      <c r="E32" s="1" t="s">
        <v>90</v>
      </c>
      <c r="F32" s="1" t="s">
        <v>91</v>
      </c>
      <c r="G32" s="1" t="s">
        <v>92</v>
      </c>
      <c r="H32" s="1"/>
      <c r="I32">
        <f t="shared" si="11"/>
        <v>1750</v>
      </c>
      <c r="J32">
        <f t="shared" si="12"/>
        <v>95.916829462348048</v>
      </c>
      <c r="K32">
        <f t="shared" si="13"/>
        <v>152.79406919577772</v>
      </c>
      <c r="L32">
        <f t="shared" si="14"/>
        <v>59.513254764886092</v>
      </c>
      <c r="M32">
        <f t="shared" si="15"/>
        <v>33.317908714659573</v>
      </c>
      <c r="N32">
        <f t="shared" si="16"/>
        <v>35.473909506587901</v>
      </c>
      <c r="P32">
        <f t="shared" si="5"/>
        <v>5.9798522108695797</v>
      </c>
      <c r="Q32">
        <f t="shared" si="6"/>
        <v>5.0812793214425582</v>
      </c>
      <c r="R32">
        <f t="shared" si="7"/>
        <v>1.3522666386022744</v>
      </c>
      <c r="S32">
        <f t="shared" si="8"/>
        <v>16.527724226967663</v>
      </c>
      <c r="T32">
        <f t="shared" si="9"/>
        <v>1.2663193152772567</v>
      </c>
      <c r="V32">
        <f t="shared" si="10"/>
        <v>4.8263389518128825</v>
      </c>
    </row>
    <row r="33" spans="1:22" x14ac:dyDescent="0.3">
      <c r="A33" s="13"/>
      <c r="B33" s="1" t="s">
        <v>95</v>
      </c>
      <c r="C33" s="40">
        <v>3.53100528</v>
      </c>
      <c r="D33" s="40">
        <v>-1.2366098700000001E-4</v>
      </c>
      <c r="E33" s="40">
        <v>-5.0299943699999996E-7</v>
      </c>
      <c r="F33" s="40">
        <v>2.43530612E-9</v>
      </c>
      <c r="G33" s="40">
        <v>-1.4088123500000001E-12</v>
      </c>
      <c r="I33">
        <f t="shared" si="11"/>
        <v>1800</v>
      </c>
      <c r="J33">
        <f t="shared" si="12"/>
        <v>96.945546947148586</v>
      </c>
      <c r="K33">
        <f t="shared" si="13"/>
        <v>154.06664865901647</v>
      </c>
      <c r="L33">
        <f t="shared" si="14"/>
        <v>59.728220877912733</v>
      </c>
      <c r="M33">
        <f t="shared" si="15"/>
        <v>33.499635558194406</v>
      </c>
      <c r="N33">
        <f t="shared" si="16"/>
        <v>35.593615812995942</v>
      </c>
      <c r="P33">
        <f t="shared" si="5"/>
        <v>6.0439867174032784</v>
      </c>
      <c r="Q33">
        <f t="shared" si="6"/>
        <v>5.1235998888931311</v>
      </c>
      <c r="R33">
        <f t="shared" si="7"/>
        <v>1.3571511219702963</v>
      </c>
      <c r="S33">
        <f t="shared" si="8"/>
        <v>16.617871876398596</v>
      </c>
      <c r="T33">
        <f t="shared" si="9"/>
        <v>1.270592495484159</v>
      </c>
      <c r="V33">
        <f t="shared" si="10"/>
        <v>4.8750677518022272</v>
      </c>
    </row>
    <row r="34" spans="1:22" x14ac:dyDescent="0.3">
      <c r="A34" s="13"/>
      <c r="B34" s="1" t="s">
        <v>96</v>
      </c>
      <c r="C34" s="40">
        <v>2.9525762599999998</v>
      </c>
      <c r="D34" s="40">
        <v>1.3969005700000001E-3</v>
      </c>
      <c r="E34" s="40">
        <v>-4.9263169100000003E-7</v>
      </c>
      <c r="F34" s="40">
        <v>7.8601036699999999E-11</v>
      </c>
      <c r="G34" s="40">
        <v>-4.6075532099999999E-15</v>
      </c>
      <c r="I34">
        <f t="shared" si="11"/>
        <v>1850</v>
      </c>
      <c r="J34">
        <f t="shared" si="12"/>
        <v>97.92879099533404</v>
      </c>
      <c r="K34">
        <f t="shared" si="13"/>
        <v>155.26658842178927</v>
      </c>
      <c r="L34">
        <f t="shared" si="14"/>
        <v>59.93038565171841</v>
      </c>
      <c r="M34">
        <f t="shared" si="15"/>
        <v>33.678178766649864</v>
      </c>
      <c r="N34">
        <f t="shared" si="16"/>
        <v>35.706763282789829</v>
      </c>
      <c r="P34">
        <f t="shared" si="5"/>
        <v>6.1052862216542421</v>
      </c>
      <c r="Q34">
        <f t="shared" si="6"/>
        <v>5.1635047695972487</v>
      </c>
      <c r="R34">
        <f t="shared" si="7"/>
        <v>1.3617447319181644</v>
      </c>
      <c r="S34">
        <f t="shared" si="8"/>
        <v>16.706440247757733</v>
      </c>
      <c r="T34">
        <f t="shared" si="9"/>
        <v>1.2746315435752114</v>
      </c>
      <c r="V34">
        <f t="shared" si="10"/>
        <v>4.9215923679213471</v>
      </c>
    </row>
    <row r="35" spans="1:22" x14ac:dyDescent="0.3">
      <c r="A35" s="13"/>
      <c r="I35">
        <f>I34+50</f>
        <v>1900</v>
      </c>
      <c r="J35">
        <f t="shared" si="12"/>
        <v>98.868461243284756</v>
      </c>
      <c r="K35">
        <f t="shared" si="13"/>
        <v>156.3969809461247</v>
      </c>
      <c r="L35">
        <f t="shared" si="14"/>
        <v>60.120332125464202</v>
      </c>
      <c r="M35">
        <f t="shared" si="15"/>
        <v>33.853603079483555</v>
      </c>
      <c r="N35">
        <f t="shared" si="16"/>
        <v>35.8136323180277</v>
      </c>
      <c r="P35">
        <f t="shared" si="5"/>
        <v>6.1638691548182516</v>
      </c>
      <c r="Q35">
        <f t="shared" si="6"/>
        <v>5.2010968056576221</v>
      </c>
      <c r="R35">
        <f t="shared" si="7"/>
        <v>1.3660607163250218</v>
      </c>
      <c r="S35">
        <f t="shared" si="8"/>
        <v>16.793461455782861</v>
      </c>
      <c r="T35">
        <f t="shared" si="9"/>
        <v>1.2784464691193393</v>
      </c>
      <c r="V35">
        <f t="shared" si="10"/>
        <v>4.9660050986094486</v>
      </c>
    </row>
    <row r="36" spans="1:22" x14ac:dyDescent="0.3">
      <c r="A36" s="13"/>
      <c r="I36">
        <f t="shared" si="11"/>
        <v>1950</v>
      </c>
      <c r="J36">
        <f t="shared" si="12"/>
        <v>99.766417976613596</v>
      </c>
      <c r="K36">
        <f t="shared" si="13"/>
        <v>157.46085344585472</v>
      </c>
      <c r="L36">
        <f t="shared" si="14"/>
        <v>60.298631912884105</v>
      </c>
      <c r="M36">
        <f t="shared" si="15"/>
        <v>34.02597237709238</v>
      </c>
      <c r="N36">
        <f t="shared" si="16"/>
        <v>35.914497574335535</v>
      </c>
      <c r="P36">
        <f t="shared" si="5"/>
        <v>6.2198514948013468</v>
      </c>
      <c r="Q36">
        <f t="shared" si="6"/>
        <v>5.2364766693001235</v>
      </c>
      <c r="R36">
        <f t="shared" si="7"/>
        <v>1.370112063460216</v>
      </c>
      <c r="S36">
        <f t="shared" si="8"/>
        <v>16.878967189065012</v>
      </c>
      <c r="T36">
        <f t="shared" si="9"/>
        <v>1.2820470765539183</v>
      </c>
      <c r="V36">
        <f t="shared" si="10"/>
        <v>5.0083963284988409</v>
      </c>
    </row>
    <row r="37" spans="1:22" x14ac:dyDescent="0.3">
      <c r="I37">
        <f t="shared" si="11"/>
        <v>2000</v>
      </c>
      <c r="J37">
        <f t="shared" si="12"/>
        <v>100.6244821301661</v>
      </c>
      <c r="K37">
        <f t="shared" si="13"/>
        <v>158.46116788661433</v>
      </c>
      <c r="L37">
        <f t="shared" si="14"/>
        <v>60.465845202284839</v>
      </c>
      <c r="M37">
        <f t="shared" si="15"/>
        <v>34.195349680812583</v>
      </c>
      <c r="N37">
        <f t="shared" si="16"/>
        <v>36.009627960907267</v>
      </c>
      <c r="P37">
        <f t="shared" si="5"/>
        <v>6.2733467662198317</v>
      </c>
      <c r="Q37">
        <f t="shared" si="6"/>
        <v>5.2697428628737724</v>
      </c>
      <c r="R37">
        <f t="shared" si="7"/>
        <v>1.3739115019832957</v>
      </c>
      <c r="S37">
        <f t="shared" si="8"/>
        <v>16.962988710048506</v>
      </c>
      <c r="T37">
        <f t="shared" si="9"/>
        <v>1.2854429651847783</v>
      </c>
      <c r="V37">
        <f t="shared" si="10"/>
        <v>5.0488545284149389</v>
      </c>
    </row>
    <row r="38" spans="1:22" x14ac:dyDescent="0.3">
      <c r="D38" t="s">
        <v>115</v>
      </c>
      <c r="E38" t="s">
        <v>116</v>
      </c>
      <c r="I38">
        <f>I37+50</f>
        <v>2050</v>
      </c>
      <c r="J38">
        <f t="shared" si="12"/>
        <v>101.44443528802049</v>
      </c>
      <c r="K38">
        <f t="shared" si="13"/>
        <v>159.40082098584182</v>
      </c>
      <c r="L38">
        <f t="shared" si="14"/>
        <v>60.622520756546059</v>
      </c>
      <c r="M38">
        <f t="shared" si="15"/>
        <v>34.361797152919671</v>
      </c>
      <c r="N38">
        <f t="shared" si="16"/>
        <v>36.099286640504737</v>
      </c>
      <c r="P38">
        <f t="shared" si="5"/>
        <v>6.3244660404002797</v>
      </c>
      <c r="Q38">
        <f t="shared" si="6"/>
        <v>5.3009917188507423</v>
      </c>
      <c r="R38">
        <f t="shared" si="7"/>
        <v>1.3774715009440142</v>
      </c>
      <c r="S38">
        <f t="shared" si="8"/>
        <v>17.045556855030888</v>
      </c>
      <c r="T38">
        <f t="shared" si="9"/>
        <v>1.2886435291862015</v>
      </c>
      <c r="V38">
        <f t="shared" si="10"/>
        <v>5.0874662553762722</v>
      </c>
    </row>
    <row r="39" spans="1:22" x14ac:dyDescent="0.3">
      <c r="C39" s="1" t="s">
        <v>7</v>
      </c>
      <c r="D39" s="1" t="s">
        <v>14</v>
      </c>
    </row>
    <row r="40" spans="1:22" x14ac:dyDescent="0.3">
      <c r="B40" t="s">
        <v>111</v>
      </c>
      <c r="C40" s="2">
        <v>30.07</v>
      </c>
      <c r="D40">
        <f>'weight etc'!J11</f>
        <v>7.0994447552094983E-2</v>
      </c>
    </row>
    <row r="41" spans="1:22" x14ac:dyDescent="0.3">
      <c r="B41" t="s">
        <v>1</v>
      </c>
      <c r="C41" s="2">
        <v>2.0158800000000001</v>
      </c>
      <c r="D41">
        <f>'weight etc'!J12</f>
        <v>1.0816903507823956E-5</v>
      </c>
    </row>
    <row r="42" spans="1:22" x14ac:dyDescent="0.3">
      <c r="B42" t="s">
        <v>9</v>
      </c>
      <c r="C42" s="2">
        <v>16.04</v>
      </c>
      <c r="D42">
        <f>'weight etc'!J13</f>
        <v>0.69715229644151422</v>
      </c>
    </row>
    <row r="43" spans="1:22" x14ac:dyDescent="0.3">
      <c r="B43" t="s">
        <v>2</v>
      </c>
      <c r="C43" s="2">
        <v>44.01</v>
      </c>
      <c r="D43">
        <f>'weight etc'!J14</f>
        <v>3.4478034810297493E-2</v>
      </c>
    </row>
    <row r="44" spans="1:22" x14ac:dyDescent="0.3">
      <c r="B44" t="s">
        <v>3</v>
      </c>
      <c r="C44" s="2">
        <v>28.013400000000001</v>
      </c>
      <c r="D44">
        <f>'weight etc'!J15</f>
        <v>0.1973644042925855</v>
      </c>
    </row>
    <row r="45" spans="1:22" x14ac:dyDescent="0.3">
      <c r="B45" t="s">
        <v>4</v>
      </c>
      <c r="C45" s="2">
        <f>15.999*2</f>
        <v>31.998000000000001</v>
      </c>
    </row>
    <row r="46" spans="1:22" x14ac:dyDescent="0.3">
      <c r="B46" t="s">
        <v>11</v>
      </c>
      <c r="C46" s="2">
        <v>12.0107</v>
      </c>
    </row>
    <row r="47" spans="1:22" x14ac:dyDescent="0.3">
      <c r="B47" t="s">
        <v>12</v>
      </c>
      <c r="C47" s="2">
        <v>15.999000000000001</v>
      </c>
    </row>
    <row r="48" spans="1:22" x14ac:dyDescent="0.3">
      <c r="B48" t="s">
        <v>13</v>
      </c>
      <c r="C48" s="2">
        <v>1.0079400000000001</v>
      </c>
    </row>
    <row r="50" spans="4:4" x14ac:dyDescent="0.3">
      <c r="D50" s="1">
        <f>SUM(D40:D44)</f>
        <v>1</v>
      </c>
    </row>
  </sheetData>
  <pageMargins left="0.7" right="0.7" top="0.75" bottom="0.75" header="0.3" footer="0.3"/>
  <ignoredErrors>
    <ignoredError sqref="Q3" 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"/>
  <sheetViews>
    <sheetView topLeftCell="A10" zoomScale="75" zoomScaleNormal="75" workbookViewId="0">
      <selection activeCell="E40" sqref="E40"/>
    </sheetView>
  </sheetViews>
  <sheetFormatPr defaultRowHeight="14.4" x14ac:dyDescent="0.3"/>
  <cols>
    <col min="2" max="2" width="18.109375" customWidth="1"/>
    <col min="3" max="3" width="18.44140625" customWidth="1"/>
    <col min="4" max="4" width="17.33203125" customWidth="1"/>
    <col min="5" max="5" width="18.109375" customWidth="1"/>
    <col min="6" max="6" width="20.77734375" customWidth="1"/>
    <col min="7" max="7" width="18.21875" customWidth="1"/>
  </cols>
  <sheetData>
    <row r="1" spans="1:22" ht="18" x14ac:dyDescent="0.35">
      <c r="A1" s="10" t="s">
        <v>50</v>
      </c>
      <c r="F1" s="1" t="s">
        <v>101</v>
      </c>
      <c r="G1" s="1">
        <v>8.3145100000000003</v>
      </c>
      <c r="I1" s="1" t="s">
        <v>28</v>
      </c>
      <c r="J1" s="1" t="s">
        <v>97</v>
      </c>
      <c r="K1" s="1" t="s">
        <v>114</v>
      </c>
      <c r="L1" s="1" t="s">
        <v>98</v>
      </c>
      <c r="M1" s="1" t="s">
        <v>99</v>
      </c>
      <c r="N1" s="1" t="s">
        <v>100</v>
      </c>
      <c r="P1" s="1" t="s">
        <v>97</v>
      </c>
      <c r="Q1" s="1" t="s">
        <v>114</v>
      </c>
      <c r="R1" s="1" t="s">
        <v>98</v>
      </c>
      <c r="S1" s="1" t="s">
        <v>99</v>
      </c>
      <c r="T1" s="1" t="s">
        <v>100</v>
      </c>
      <c r="V1" s="1" t="s">
        <v>104</v>
      </c>
    </row>
    <row r="2" spans="1:22" x14ac:dyDescent="0.3">
      <c r="J2" s="41" t="s">
        <v>102</v>
      </c>
      <c r="K2" s="41" t="s">
        <v>102</v>
      </c>
      <c r="L2" s="41" t="s">
        <v>102</v>
      </c>
      <c r="M2" s="41" t="s">
        <v>102</v>
      </c>
      <c r="N2" s="41" t="s">
        <v>102</v>
      </c>
      <c r="P2" s="41" t="s">
        <v>103</v>
      </c>
      <c r="Q2" s="41" t="s">
        <v>103</v>
      </c>
      <c r="R2" s="41" t="s">
        <v>103</v>
      </c>
      <c r="S2" s="41" t="s">
        <v>103</v>
      </c>
      <c r="T2" s="41" t="s">
        <v>103</v>
      </c>
      <c r="V2" s="41" t="s">
        <v>103</v>
      </c>
    </row>
    <row r="3" spans="1:22" x14ac:dyDescent="0.3">
      <c r="A3" s="11" t="s">
        <v>5</v>
      </c>
      <c r="I3">
        <v>300</v>
      </c>
      <c r="J3">
        <f>($C$5+$D$5*$I3+$E$5*$I3^2+$F$5*$I3^3+$G$5*$I3^4)*$G$1</f>
        <v>35.76073923118598</v>
      </c>
      <c r="K3">
        <f>($C$12+$D$12*$I3+$E$12*$I3^2+$F$12*$I3^3+$G$12*$I3^4)*$G$1</f>
        <v>52.719673931516716</v>
      </c>
      <c r="L3">
        <f>($C$19+$D$19*$I3+$E$19*$I3^2+$F$19*$I3^3+$G$19*$I3^4)*$G$1</f>
        <v>37.217959072359022</v>
      </c>
      <c r="M3">
        <f>($C$26+$D$26*$I3+$E$26*$I3^2+$F$26*$I3^3+$G$26*$I3^4)*$G$1</f>
        <v>28.850949407552562</v>
      </c>
      <c r="N3">
        <f>($C$33+$D$33*$I3+$E$33*$I3^2+$F$33*$I3^3+$G$33*$I3^4)*$G$1</f>
        <v>29.125553258258435</v>
      </c>
      <c r="P3">
        <f>J3/$C$42</f>
        <v>2.229472520647505</v>
      </c>
      <c r="Q3">
        <f>K3/$C$40</f>
        <v>1.7532315906723217</v>
      </c>
      <c r="R3">
        <f>L3/$C$43</f>
        <v>0.84567050834717161</v>
      </c>
      <c r="S3">
        <f>M3/$C$41</f>
        <v>14.311838704462845</v>
      </c>
      <c r="T3">
        <f>N3/$C$44</f>
        <v>1.0397007595742906</v>
      </c>
      <c r="V3">
        <f>E$42*P3+E$40*Q3+E$43*R3+E$41*S3+E$44*T3</f>
        <v>1.8268508177266838</v>
      </c>
    </row>
    <row r="4" spans="1:22" x14ac:dyDescent="0.3">
      <c r="A4" s="1" t="s">
        <v>60</v>
      </c>
      <c r="C4" s="1" t="s">
        <v>88</v>
      </c>
      <c r="D4" s="1" t="s">
        <v>89</v>
      </c>
      <c r="E4" s="1" t="s">
        <v>90</v>
      </c>
      <c r="F4" s="1" t="s">
        <v>91</v>
      </c>
      <c r="G4" s="1" t="s">
        <v>92</v>
      </c>
      <c r="I4">
        <f>I3+50</f>
        <v>350</v>
      </c>
      <c r="J4">
        <f t="shared" ref="J4:J17" si="0">($C$5+$D$5*$I4+$E$5*$I4^2+$F$5*$I4^3+$G$5*$I4^4)*$G$1</f>
        <v>37.925808254513782</v>
      </c>
      <c r="K4">
        <f t="shared" ref="K4:K17" si="1">($C$12+$D$12*$I4+$E$12*$I4^2+$F$12*$I4^3+$G$12*$I4^4)*$G$1</f>
        <v>58.822259738391693</v>
      </c>
      <c r="L4">
        <f t="shared" ref="L4:L17" si="2">($C$19+$D$19*$I4+$E$19*$I4^2+$F$19*$I4^3+$G$19*$I4^4)*$G$1</f>
        <v>39.344488716155759</v>
      </c>
      <c r="M4">
        <f t="shared" ref="M4:M17" si="3">($C$26+$D$26*$I4+$E$26*$I4^2+$F$26*$I4^3+$G$26*$I4^4)*$G$1</f>
        <v>29.142294136395741</v>
      </c>
      <c r="N4">
        <f t="shared" ref="N4:N17" si="4">($C$33+$D$33*$I4+$E$33*$I4^2+$F$33*$I4^3+$G$33*$I4^4)*$G$1</f>
        <v>29.178768976715464</v>
      </c>
      <c r="P4">
        <f t="shared" ref="P4:P38" si="5">J4/C$42</f>
        <v>2.3644518861916324</v>
      </c>
      <c r="Q4">
        <f t="shared" ref="Q4:Q38" si="6">K4/$C$40</f>
        <v>1.9561775769335448</v>
      </c>
      <c r="R4">
        <f t="shared" ref="R4:R38" si="7">L4/$C$43</f>
        <v>0.89398974587947655</v>
      </c>
      <c r="S4">
        <f t="shared" ref="S4:S38" si="8">M4/$C$41</f>
        <v>14.456363541676954</v>
      </c>
      <c r="T4">
        <f t="shared" ref="T4:T38" si="9">N4/$C$44</f>
        <v>1.041600411828463</v>
      </c>
      <c r="V4">
        <f t="shared" ref="V4:V38" si="10">E$42*P4+E$40*Q4+E$43*R4+E$41*S4+E$44*T4</f>
        <v>1.9314448267902902</v>
      </c>
    </row>
    <row r="5" spans="1:22" x14ac:dyDescent="0.3">
      <c r="A5" s="13"/>
      <c r="B5" s="1" t="s">
        <v>95</v>
      </c>
      <c r="C5" s="40">
        <v>5.14987613</v>
      </c>
      <c r="D5" s="40">
        <v>-1.3670978800000001E-2</v>
      </c>
      <c r="E5" s="40">
        <v>4.9180059899999999E-5</v>
      </c>
      <c r="F5" s="40">
        <v>-4.8474302600000002E-8</v>
      </c>
      <c r="G5" s="40">
        <v>1.6669395599999999E-11</v>
      </c>
      <c r="I5">
        <f t="shared" ref="I5:I37" si="11">I4+50</f>
        <v>400</v>
      </c>
      <c r="J5">
        <f t="shared" si="0"/>
        <v>40.530536985568467</v>
      </c>
      <c r="K5">
        <f t="shared" si="1"/>
        <v>65.1481086171935</v>
      </c>
      <c r="L5">
        <f t="shared" si="2"/>
        <v>41.277814449618745</v>
      </c>
      <c r="M5">
        <f t="shared" si="3"/>
        <v>29.277618420924082</v>
      </c>
      <c r="N5">
        <f t="shared" si="4"/>
        <v>29.274183863266309</v>
      </c>
      <c r="P5">
        <f t="shared" si="5"/>
        <v>2.5268414579531466</v>
      </c>
      <c r="Q5">
        <f t="shared" si="6"/>
        <v>2.1665483411105253</v>
      </c>
      <c r="R5">
        <f t="shared" si="7"/>
        <v>0.93791898317697675</v>
      </c>
      <c r="S5">
        <f t="shared" si="8"/>
        <v>14.523492678594003</v>
      </c>
      <c r="T5">
        <f t="shared" si="9"/>
        <v>1.0450064563125614</v>
      </c>
      <c r="V5">
        <f t="shared" si="10"/>
        <v>2.0539414721119926</v>
      </c>
    </row>
    <row r="6" spans="1:22" x14ac:dyDescent="0.3">
      <c r="A6" s="13"/>
      <c r="B6" s="1" t="s">
        <v>96</v>
      </c>
      <c r="C6" s="40">
        <v>1.6355264300000001</v>
      </c>
      <c r="D6" s="40">
        <v>1.00842795E-2</v>
      </c>
      <c r="E6" s="40">
        <v>-3.3691625399999999E-6</v>
      </c>
      <c r="F6" s="40">
        <v>5.3495866700000002E-10</v>
      </c>
      <c r="G6" s="40">
        <v>-3.15518833E-14</v>
      </c>
      <c r="I6">
        <f t="shared" si="11"/>
        <v>450</v>
      </c>
      <c r="J6">
        <f t="shared" si="0"/>
        <v>43.428567957528422</v>
      </c>
      <c r="K6">
        <f t="shared" si="1"/>
        <v>71.506753251681715</v>
      </c>
      <c r="L6">
        <f t="shared" si="2"/>
        <v>43.031927353760047</v>
      </c>
      <c r="M6">
        <f t="shared" si="3"/>
        <v>29.313625346400649</v>
      </c>
      <c r="N6">
        <f t="shared" si="4"/>
        <v>29.413806418308102</v>
      </c>
      <c r="P6">
        <f t="shared" si="5"/>
        <v>2.7075167055815728</v>
      </c>
      <c r="Q6">
        <f t="shared" si="6"/>
        <v>2.3780097523006889</v>
      </c>
      <c r="R6">
        <f t="shared" si="7"/>
        <v>0.97777612710202333</v>
      </c>
      <c r="S6">
        <f t="shared" si="8"/>
        <v>14.541354319900314</v>
      </c>
      <c r="T6">
        <f t="shared" si="9"/>
        <v>1.0499905908710867</v>
      </c>
      <c r="V6">
        <f t="shared" si="10"/>
        <v>2.1881360523536113</v>
      </c>
    </row>
    <row r="7" spans="1:22" x14ac:dyDescent="0.3">
      <c r="A7" s="13"/>
      <c r="I7">
        <f t="shared" si="11"/>
        <v>500</v>
      </c>
      <c r="J7">
        <f t="shared" si="0"/>
        <v>46.494333382033552</v>
      </c>
      <c r="K7">
        <f t="shared" si="1"/>
        <v>77.741236183563402</v>
      </c>
      <c r="L7">
        <f t="shared" si="2"/>
        <v>44.620639290892512</v>
      </c>
      <c r="M7">
        <f t="shared" si="3"/>
        <v>29.297818677544136</v>
      </c>
      <c r="N7">
        <f t="shared" si="4"/>
        <v>29.597888104582143</v>
      </c>
      <c r="P7">
        <f t="shared" si="5"/>
        <v>2.898649213343738</v>
      </c>
      <c r="Q7">
        <f t="shared" si="6"/>
        <v>2.5853420746113533</v>
      </c>
      <c r="R7">
        <f t="shared" si="7"/>
        <v>1.0138750122902185</v>
      </c>
      <c r="S7">
        <f t="shared" si="8"/>
        <v>14.533513243617742</v>
      </c>
      <c r="T7">
        <f t="shared" si="9"/>
        <v>1.0565617920203239</v>
      </c>
      <c r="V7">
        <f t="shared" si="10"/>
        <v>2.3287124965415158</v>
      </c>
    </row>
    <row r="8" spans="1:22" x14ac:dyDescent="0.3">
      <c r="A8" s="13"/>
      <c r="I8">
        <f t="shared" si="11"/>
        <v>550</v>
      </c>
      <c r="J8">
        <f t="shared" si="0"/>
        <v>49.623055149185269</v>
      </c>
      <c r="K8">
        <f t="shared" si="1"/>
        <v>83.728109812493202</v>
      </c>
      <c r="L8">
        <f t="shared" si="2"/>
        <v>46.057582904629584</v>
      </c>
      <c r="M8">
        <f t="shared" si="3"/>
        <v>29.268502858528741</v>
      </c>
      <c r="N8">
        <f t="shared" si="4"/>
        <v>29.824923347173897</v>
      </c>
      <c r="P8">
        <f t="shared" si="5"/>
        <v>3.0937066801237703</v>
      </c>
      <c r="Q8">
        <f t="shared" si="6"/>
        <v>2.784439967159734</v>
      </c>
      <c r="R8">
        <f t="shared" si="7"/>
        <v>1.046525401150411</v>
      </c>
      <c r="S8">
        <f t="shared" si="8"/>
        <v>14.518970801103608</v>
      </c>
      <c r="T8">
        <f t="shared" si="9"/>
        <v>1.0646663149483424</v>
      </c>
      <c r="V8">
        <f t="shared" si="10"/>
        <v>2.4712433640666234</v>
      </c>
    </row>
    <row r="9" spans="1:22" x14ac:dyDescent="0.3">
      <c r="I9">
        <f t="shared" si="11"/>
        <v>600</v>
      </c>
      <c r="J9">
        <f t="shared" si="0"/>
        <v>52.730744827546538</v>
      </c>
      <c r="K9">
        <f t="shared" si="1"/>
        <v>89.37743639607335</v>
      </c>
      <c r="L9">
        <f t="shared" si="2"/>
        <v>47.3562116198854</v>
      </c>
      <c r="M9">
        <f t="shared" si="3"/>
        <v>29.254783012984266</v>
      </c>
      <c r="N9">
        <f t="shared" si="4"/>
        <v>30.091649533512999</v>
      </c>
      <c r="P9">
        <f t="shared" si="5"/>
        <v>3.2874529194231008</v>
      </c>
      <c r="Q9">
        <f t="shared" si="6"/>
        <v>2.9723124840729414</v>
      </c>
      <c r="R9">
        <f t="shared" si="7"/>
        <v>1.0760329838646989</v>
      </c>
      <c r="S9">
        <f t="shared" si="8"/>
        <v>14.512164917050749</v>
      </c>
      <c r="T9">
        <f t="shared" si="9"/>
        <v>1.0741876935149963</v>
      </c>
      <c r="V9">
        <f t="shared" si="10"/>
        <v>2.6121898446844001</v>
      </c>
    </row>
    <row r="10" spans="1:22" x14ac:dyDescent="0.3">
      <c r="A10" s="11" t="s">
        <v>111</v>
      </c>
      <c r="I10">
        <f t="shared" si="11"/>
        <v>650</v>
      </c>
      <c r="J10">
        <f t="shared" si="0"/>
        <v>55.754203664141819</v>
      </c>
      <c r="K10">
        <f t="shared" si="1"/>
        <v>94.632788049853616</v>
      </c>
      <c r="L10">
        <f t="shared" si="2"/>
        <v>48.529799642874792</v>
      </c>
      <c r="M10">
        <f t="shared" si="3"/>
        <v>29.276564943996107</v>
      </c>
      <c r="N10">
        <f t="shared" si="4"/>
        <v>30.393047013373266</v>
      </c>
      <c r="P10">
        <f t="shared" si="5"/>
        <v>3.4759478593604629</v>
      </c>
      <c r="Q10">
        <f t="shared" si="6"/>
        <v>3.1470830744879819</v>
      </c>
      <c r="R10">
        <f t="shared" si="7"/>
        <v>1.1026993783884298</v>
      </c>
      <c r="S10">
        <f t="shared" si="8"/>
        <v>14.522970089487522</v>
      </c>
      <c r="T10">
        <f t="shared" si="9"/>
        <v>1.0849467402519246</v>
      </c>
      <c r="V10">
        <f t="shared" si="10"/>
        <v>2.7489017585148638</v>
      </c>
    </row>
    <row r="11" spans="1:22" x14ac:dyDescent="0.3">
      <c r="A11" s="1" t="s">
        <v>60</v>
      </c>
      <c r="C11" s="1" t="s">
        <v>88</v>
      </c>
      <c r="D11" s="1" t="s">
        <v>89</v>
      </c>
      <c r="E11" s="1" t="s">
        <v>90</v>
      </c>
      <c r="F11" s="1" t="s">
        <v>91</v>
      </c>
      <c r="G11" s="1" t="s">
        <v>92</v>
      </c>
      <c r="H11" s="1"/>
      <c r="I11">
        <f t="shared" si="11"/>
        <v>700</v>
      </c>
      <c r="J11">
        <f t="shared" si="0"/>
        <v>58.651022584457152</v>
      </c>
      <c r="K11">
        <f t="shared" si="1"/>
        <v>99.47124674733135</v>
      </c>
      <c r="L11">
        <f t="shared" si="2"/>
        <v>49.591441961113254</v>
      </c>
      <c r="M11">
        <f t="shared" si="3"/>
        <v>29.344555134105182</v>
      </c>
      <c r="N11">
        <f t="shared" si="4"/>
        <v>30.72233909887267</v>
      </c>
      <c r="P11">
        <f t="shared" si="5"/>
        <v>3.6565475426718925</v>
      </c>
      <c r="Q11">
        <f t="shared" si="6"/>
        <v>3.3079895825517576</v>
      </c>
      <c r="R11">
        <f t="shared" si="7"/>
        <v>1.1268221304501991</v>
      </c>
      <c r="S11">
        <f t="shared" si="8"/>
        <v>14.556697389777755</v>
      </c>
      <c r="T11">
        <f t="shared" si="9"/>
        <v>1.0967015463625505</v>
      </c>
      <c r="V11">
        <f t="shared" si="10"/>
        <v>2.8796175560425801</v>
      </c>
    </row>
    <row r="12" spans="1:22" x14ac:dyDescent="0.3">
      <c r="A12" s="13"/>
      <c r="B12" s="1" t="s">
        <v>95</v>
      </c>
      <c r="C12" s="40">
        <v>4.2914249199999999</v>
      </c>
      <c r="D12" s="40">
        <v>-5.5015426999999997E-3</v>
      </c>
      <c r="E12" s="40">
        <v>5.9943828800000003E-5</v>
      </c>
      <c r="F12" s="40">
        <v>-7.0846628500000001E-8</v>
      </c>
      <c r="G12" s="40">
        <v>2.6868577099999999E-11</v>
      </c>
      <c r="I12">
        <f t="shared" si="11"/>
        <v>750</v>
      </c>
      <c r="J12">
        <f t="shared" si="0"/>
        <v>61.399582192439986</v>
      </c>
      <c r="K12">
        <f t="shared" si="1"/>
        <v>103.90340431995136</v>
      </c>
      <c r="L12">
        <f t="shared" si="2"/>
        <v>50.554054343416944</v>
      </c>
      <c r="M12">
        <f t="shared" si="3"/>
        <v>29.460260745308002</v>
      </c>
      <c r="N12">
        <f t="shared" si="4"/>
        <v>31.070992064473359</v>
      </c>
      <c r="P12">
        <f t="shared" si="5"/>
        <v>3.8279041267107226</v>
      </c>
      <c r="Q12">
        <f t="shared" si="6"/>
        <v>3.4553842474210628</v>
      </c>
      <c r="R12">
        <f t="shared" si="7"/>
        <v>1.1486947135518506</v>
      </c>
      <c r="S12">
        <f t="shared" si="8"/>
        <v>14.614094462620791</v>
      </c>
      <c r="T12">
        <f t="shared" si="9"/>
        <v>1.1091474817220814</v>
      </c>
      <c r="V12">
        <f t="shared" si="10"/>
        <v>3.0034643181166594</v>
      </c>
    </row>
    <row r="13" spans="1:22" x14ac:dyDescent="0.3">
      <c r="A13" s="13"/>
      <c r="B13" s="1" t="s">
        <v>96</v>
      </c>
      <c r="C13" s="40">
        <v>4.04666674</v>
      </c>
      <c r="D13" s="40">
        <v>1.53538766E-2</v>
      </c>
      <c r="E13" s="40">
        <v>-5.4703932099999999E-6</v>
      </c>
      <c r="F13" s="40">
        <v>8.7782622800000003E-10</v>
      </c>
      <c r="G13" s="40">
        <v>-5.2316730500000003E-14</v>
      </c>
      <c r="I13">
        <f t="shared" si="11"/>
        <v>800</v>
      </c>
      <c r="J13">
        <f t="shared" si="0"/>
        <v>63.999052770499432</v>
      </c>
      <c r="K13">
        <f t="shared" si="1"/>
        <v>107.97336245710616</v>
      </c>
      <c r="L13">
        <f t="shared" si="2"/>
        <v>51.43037333990268</v>
      </c>
      <c r="M13">
        <f t="shared" si="3"/>
        <v>29.615989619056688</v>
      </c>
      <c r="N13">
        <f t="shared" si="4"/>
        <v>31.428715146981656</v>
      </c>
      <c r="P13">
        <f t="shared" si="5"/>
        <v>3.9899658834475957</v>
      </c>
      <c r="Q13">
        <f t="shared" si="6"/>
        <v>3.5907337032625928</v>
      </c>
      <c r="R13">
        <f t="shared" si="7"/>
        <v>1.1686065289684773</v>
      </c>
      <c r="S13">
        <f t="shared" si="8"/>
        <v>14.691345526051494</v>
      </c>
      <c r="T13">
        <f t="shared" si="9"/>
        <v>1.1219171948775106</v>
      </c>
      <c r="V13">
        <f t="shared" si="10"/>
        <v>3.1204577559507674</v>
      </c>
    </row>
    <row r="14" spans="1:22" x14ac:dyDescent="0.3">
      <c r="A14" s="13"/>
      <c r="I14">
        <f t="shared" si="11"/>
        <v>850</v>
      </c>
      <c r="J14">
        <f t="shared" si="0"/>
        <v>66.469394279506062</v>
      </c>
      <c r="K14">
        <f t="shared" si="1"/>
        <v>111.75873270613567</v>
      </c>
      <c r="L14">
        <f t="shared" si="2"/>
        <v>52.23295628198801</v>
      </c>
      <c r="M14">
        <f t="shared" si="3"/>
        <v>29.794850276258888</v>
      </c>
      <c r="N14">
        <f t="shared" si="4"/>
        <v>31.783460545548053</v>
      </c>
      <c r="P14">
        <f t="shared" si="5"/>
        <v>4.1439771994704531</v>
      </c>
      <c r="Q14">
        <f t="shared" si="6"/>
        <v>3.7166189792529321</v>
      </c>
      <c r="R14">
        <f t="shared" si="7"/>
        <v>1.1868429057484211</v>
      </c>
      <c r="S14">
        <f t="shared" si="8"/>
        <v>14.780071371440208</v>
      </c>
      <c r="T14">
        <f t="shared" si="9"/>
        <v>1.1345806130476148</v>
      </c>
      <c r="V14">
        <f t="shared" si="10"/>
        <v>3.2315022111231166</v>
      </c>
    </row>
    <row r="15" spans="1:22" x14ac:dyDescent="0.3">
      <c r="A15" s="13"/>
      <c r="I15">
        <f t="shared" si="11"/>
        <v>900</v>
      </c>
      <c r="J15">
        <f t="shared" si="0"/>
        <v>68.851356358791904</v>
      </c>
      <c r="K15">
        <f t="shared" si="1"/>
        <v>115.37063647232755</v>
      </c>
      <c r="L15">
        <f t="shared" si="2"/>
        <v>52.974181282391108</v>
      </c>
      <c r="M15">
        <f t="shared" si="3"/>
        <v>29.97075191727777</v>
      </c>
      <c r="N15">
        <f t="shared" si="4"/>
        <v>32.121423421667195</v>
      </c>
      <c r="P15">
        <f t="shared" si="5"/>
        <v>4.292478575984533</v>
      </c>
      <c r="Q15">
        <f t="shared" si="6"/>
        <v>3.8367354995785683</v>
      </c>
      <c r="R15">
        <f t="shared" si="7"/>
        <v>1.2036851007132723</v>
      </c>
      <c r="S15">
        <f t="shared" si="8"/>
        <v>14.867329363492752</v>
      </c>
      <c r="T15">
        <f t="shared" si="9"/>
        <v>1.1466449421229552</v>
      </c>
      <c r="V15">
        <f t="shared" si="10"/>
        <v>3.3383906555764651</v>
      </c>
    </row>
    <row r="16" spans="1:22" x14ac:dyDescent="0.3">
      <c r="I16">
        <f t="shared" si="11"/>
        <v>950</v>
      </c>
      <c r="J16">
        <f t="shared" si="0"/>
        <v>71.206478326150545</v>
      </c>
      <c r="K16">
        <f t="shared" si="1"/>
        <v>118.95370501891684</v>
      </c>
      <c r="L16">
        <f t="shared" si="2"/>
        <v>53.666247235130847</v>
      </c>
      <c r="M16">
        <f t="shared" si="3"/>
        <v>30.108404421932232</v>
      </c>
      <c r="N16">
        <f t="shared" si="4"/>
        <v>32.427041899177937</v>
      </c>
      <c r="P16">
        <f t="shared" si="5"/>
        <v>4.4393066288123784</v>
      </c>
      <c r="Q16">
        <f t="shared" si="6"/>
        <v>3.9558930834358774</v>
      </c>
      <c r="R16">
        <f t="shared" si="7"/>
        <v>1.2194102984578699</v>
      </c>
      <c r="S16">
        <f t="shared" si="8"/>
        <v>14.935613440250526</v>
      </c>
      <c r="T16">
        <f t="shared" si="9"/>
        <v>1.1575546666658791</v>
      </c>
      <c r="V16">
        <f t="shared" si="10"/>
        <v>3.4438046916181229</v>
      </c>
    </row>
    <row r="17" spans="1:22" x14ac:dyDescent="0.3">
      <c r="A17" s="11" t="s">
        <v>2</v>
      </c>
      <c r="I17">
        <f t="shared" si="11"/>
        <v>1000</v>
      </c>
      <c r="J17">
        <f t="shared" si="0"/>
        <v>73.617089177837258</v>
      </c>
      <c r="K17">
        <f t="shared" si="1"/>
        <v>122.6860794670862</v>
      </c>
      <c r="L17">
        <f t="shared" si="2"/>
        <v>54.321173815526727</v>
      </c>
      <c r="M17">
        <f t="shared" si="3"/>
        <v>30.163318349496613</v>
      </c>
      <c r="N17">
        <f t="shared" si="4"/>
        <v>32.682997064263262</v>
      </c>
      <c r="P17">
        <f t="shared" si="5"/>
        <v>4.5895940883938442</v>
      </c>
      <c r="Q17">
        <f t="shared" si="6"/>
        <v>4.0800159450311337</v>
      </c>
      <c r="R17">
        <f t="shared" si="7"/>
        <v>1.2342916113503006</v>
      </c>
      <c r="S17">
        <f t="shared" si="8"/>
        <v>14.962854113090367</v>
      </c>
      <c r="T17">
        <f t="shared" si="9"/>
        <v>1.1666915499105164</v>
      </c>
      <c r="V17">
        <f t="shared" si="10"/>
        <v>3.5513145519199525</v>
      </c>
    </row>
    <row r="18" spans="1:22" x14ac:dyDescent="0.3">
      <c r="A18" s="1" t="s">
        <v>60</v>
      </c>
      <c r="C18" s="1" t="s">
        <v>88</v>
      </c>
      <c r="D18" s="1" t="s">
        <v>89</v>
      </c>
      <c r="E18" s="1" t="s">
        <v>90</v>
      </c>
      <c r="F18" s="1" t="s">
        <v>91</v>
      </c>
      <c r="G18" s="1" t="s">
        <v>92</v>
      </c>
      <c r="H18" s="1"/>
      <c r="I18">
        <f t="shared" si="11"/>
        <v>1050</v>
      </c>
      <c r="J18">
        <f>($C$6+$D$6*$I18+$E$6*$I18^2+$F$6*$I18^3+$G$6*$I18^4)*$G$1</f>
        <v>75.582622631214164</v>
      </c>
      <c r="K18">
        <f>($C$13+$D$13*$I18+$E$13*$I18^2+$F$13*$I18^3+$G$13*$I18^4)*$G$1</f>
        <v>125.4637187169659</v>
      </c>
      <c r="L18">
        <f>($C$20+$D$20*$I18+$E$20*$I18^2+$F$20*$I18^3+$G$20*$I18^4)*$G$1</f>
        <v>54.805894117425588</v>
      </c>
      <c r="M18">
        <f>($C$27+$D$27*$I18+$E$27*$I18^2+$F$27*$I18^3+$G$27*$I18^4)*$G$1</f>
        <v>30.401152561102496</v>
      </c>
      <c r="N18">
        <f>($C$34+$D$34*$I18+$E$34*$I18^2+$F$34*$I18^3+$G$34*$I18^4)*$G$1</f>
        <v>32.938641711489957</v>
      </c>
      <c r="P18">
        <f t="shared" si="5"/>
        <v>4.7121335804996365</v>
      </c>
      <c r="Q18">
        <f t="shared" si="6"/>
        <v>4.1723883843354139</v>
      </c>
      <c r="R18">
        <f t="shared" si="7"/>
        <v>1.2453054786963325</v>
      </c>
      <c r="S18">
        <f t="shared" si="8"/>
        <v>15.080834454978715</v>
      </c>
      <c r="T18">
        <f t="shared" si="9"/>
        <v>1.1758173485364132</v>
      </c>
      <c r="V18">
        <f t="shared" si="10"/>
        <v>3.6386521143423951</v>
      </c>
    </row>
    <row r="19" spans="1:22" x14ac:dyDescent="0.3">
      <c r="A19" s="13"/>
      <c r="B19" s="1" t="s">
        <v>95</v>
      </c>
      <c r="C19" s="40">
        <v>2.35677352</v>
      </c>
      <c r="D19" s="40">
        <v>8.9845967700000005E-3</v>
      </c>
      <c r="E19" s="40">
        <v>-7.1235626899999998E-6</v>
      </c>
      <c r="F19" s="40">
        <v>2.4591902199999998E-9</v>
      </c>
      <c r="G19" s="40">
        <v>-1.4369954799999999E-13</v>
      </c>
      <c r="I19">
        <f t="shared" si="11"/>
        <v>1100</v>
      </c>
      <c r="J19">
        <f t="shared" ref="J19:J38" si="12">($C$6+$D$6*$I19+$E$6*$I19^2+$F$6*$I19^3+$G$6*$I19^4)*$G$1</f>
        <v>77.469466478292347</v>
      </c>
      <c r="K19">
        <f t="shared" ref="K19:K38" si="13">($C$13+$D$13*$I19+$E$13*$I19^2+$F$13*$I19^3+$G$13*$I19^4)*$G$1</f>
        <v>128.11450148997</v>
      </c>
      <c r="L19">
        <f t="shared" ref="L19:L38" si="14">($C$20+$D$20*$I19+$E$20*$I19^2+$F$20*$I19^3+$G$20*$I19^4)*$G$1</f>
        <v>55.267696330677268</v>
      </c>
      <c r="M19">
        <f t="shared" ref="M19:M38" si="15">($C$27+$D$27*$I19+$E$27*$I19^2+$F$27*$I19^3+$G$27*$I19^4)*$G$1</f>
        <v>30.634729012791027</v>
      </c>
      <c r="N19">
        <f t="shared" ref="N19:N38" si="16">($C$34+$D$34*$I19+$E$34*$I19^2+$F$34*$I19^3+$G$34*$I19^4)*$G$1</f>
        <v>33.182831948564612</v>
      </c>
      <c r="P19">
        <f t="shared" si="5"/>
        <v>4.8297672368012687</v>
      </c>
      <c r="Q19">
        <f t="shared" si="6"/>
        <v>4.2605421180568674</v>
      </c>
      <c r="R19">
        <f t="shared" si="7"/>
        <v>1.255798598742951</v>
      </c>
      <c r="S19">
        <f t="shared" si="8"/>
        <v>15.196702687060254</v>
      </c>
      <c r="T19">
        <f t="shared" si="9"/>
        <v>1.1845342567687112</v>
      </c>
      <c r="V19">
        <f t="shared" si="10"/>
        <v>3.7224464573887408</v>
      </c>
    </row>
    <row r="20" spans="1:22" x14ac:dyDescent="0.3">
      <c r="A20" s="13"/>
      <c r="B20" s="1" t="s">
        <v>96</v>
      </c>
      <c r="C20" s="40">
        <v>4.6365949300000002</v>
      </c>
      <c r="D20" s="40">
        <v>2.7413199100000001E-3</v>
      </c>
      <c r="E20" s="40">
        <v>-9.958285309999999E-7</v>
      </c>
      <c r="F20" s="40">
        <v>1.60373011E-10</v>
      </c>
      <c r="G20" s="40">
        <v>-9.1610346800000004E-15</v>
      </c>
      <c r="I20">
        <f t="shared" si="11"/>
        <v>1150</v>
      </c>
      <c r="J20">
        <f t="shared" si="12"/>
        <v>79.280110148855982</v>
      </c>
      <c r="K20">
        <f t="shared" si="13"/>
        <v>130.64249903343853</v>
      </c>
      <c r="L20">
        <f t="shared" si="14"/>
        <v>55.707334986599676</v>
      </c>
      <c r="M20">
        <f t="shared" si="15"/>
        <v>30.864125275619951</v>
      </c>
      <c r="N20">
        <f t="shared" si="16"/>
        <v>33.415934344842718</v>
      </c>
      <c r="P20">
        <f t="shared" si="5"/>
        <v>4.9426502586568573</v>
      </c>
      <c r="Q20">
        <f t="shared" si="6"/>
        <v>4.3446125385247267</v>
      </c>
      <c r="R20">
        <f t="shared" si="7"/>
        <v>1.2657881160327125</v>
      </c>
      <c r="S20">
        <f t="shared" si="8"/>
        <v>15.310497289332673</v>
      </c>
      <c r="T20">
        <f t="shared" si="9"/>
        <v>1.1928553601077598</v>
      </c>
      <c r="V20">
        <f t="shared" si="10"/>
        <v>3.8028098879264443</v>
      </c>
    </row>
    <row r="21" spans="1:22" x14ac:dyDescent="0.3">
      <c r="A21" s="13"/>
      <c r="I21">
        <f t="shared" si="11"/>
        <v>1200</v>
      </c>
      <c r="J21">
        <f t="shared" si="12"/>
        <v>81.017004190028743</v>
      </c>
      <c r="K21">
        <f t="shared" si="13"/>
        <v>133.0517172841559</v>
      </c>
      <c r="L21">
        <f t="shared" si="14"/>
        <v>56.125553080334278</v>
      </c>
      <c r="M21">
        <f t="shared" si="15"/>
        <v>31.089418115896684</v>
      </c>
      <c r="N21">
        <f t="shared" si="16"/>
        <v>33.638309752431539</v>
      </c>
      <c r="P21">
        <f t="shared" si="5"/>
        <v>5.0509354233185002</v>
      </c>
      <c r="Q21">
        <f t="shared" si="6"/>
        <v>4.4247328661175889</v>
      </c>
      <c r="R21">
        <f t="shared" si="7"/>
        <v>1.2752909129819197</v>
      </c>
      <c r="S21">
        <f t="shared" si="8"/>
        <v>15.422256342588192</v>
      </c>
      <c r="T21">
        <f t="shared" si="9"/>
        <v>1.2007935399641436</v>
      </c>
      <c r="V21">
        <f t="shared" si="10"/>
        <v>3.8798529561314359</v>
      </c>
    </row>
    <row r="22" spans="1:22" x14ac:dyDescent="0.3">
      <c r="A22" s="13"/>
      <c r="I22">
        <f t="shared" si="11"/>
        <v>1250</v>
      </c>
      <c r="J22">
        <f t="shared" si="12"/>
        <v>82.682559798166864</v>
      </c>
      <c r="K22">
        <f t="shared" si="13"/>
        <v>135.34609693070971</v>
      </c>
      <c r="L22">
        <f t="shared" si="14"/>
        <v>56.523082181595392</v>
      </c>
      <c r="M22">
        <f t="shared" si="15"/>
        <v>31.310683440867965</v>
      </c>
      <c r="N22">
        <f t="shared" si="16"/>
        <v>33.850313277006322</v>
      </c>
      <c r="P22">
        <f t="shared" si="5"/>
        <v>5.1547730547485582</v>
      </c>
      <c r="Q22">
        <f t="shared" si="6"/>
        <v>4.501034151337203</v>
      </c>
      <c r="R22">
        <f t="shared" si="7"/>
        <v>1.2843236123970778</v>
      </c>
      <c r="S22">
        <f t="shared" si="8"/>
        <v>15.532017501472291</v>
      </c>
      <c r="T22">
        <f t="shared" si="9"/>
        <v>1.2083614726169019</v>
      </c>
      <c r="V22">
        <f t="shared" si="10"/>
        <v>3.9536844368514057</v>
      </c>
    </row>
    <row r="23" spans="1:22" x14ac:dyDescent="0.3">
      <c r="I23">
        <f t="shared" si="11"/>
        <v>1300</v>
      </c>
      <c r="J23">
        <f t="shared" si="12"/>
        <v>84.279148818859298</v>
      </c>
      <c r="K23">
        <f t="shared" si="13"/>
        <v>137.52951341349063</v>
      </c>
      <c r="L23">
        <f t="shared" si="14"/>
        <v>56.900642434670154</v>
      </c>
      <c r="M23">
        <f t="shared" si="15"/>
        <v>31.527996298719813</v>
      </c>
      <c r="N23">
        <f t="shared" si="16"/>
        <v>34.052294277810169</v>
      </c>
      <c r="P23">
        <f t="shared" si="5"/>
        <v>5.2543110236196569</v>
      </c>
      <c r="Q23">
        <f t="shared" si="6"/>
        <v>4.5736452748084684</v>
      </c>
      <c r="R23">
        <f t="shared" si="7"/>
        <v>1.2929025774748957</v>
      </c>
      <c r="S23">
        <f t="shared" si="8"/>
        <v>15.639817994483705</v>
      </c>
      <c r="T23">
        <f t="shared" si="9"/>
        <v>1.2155716292135252</v>
      </c>
      <c r="V23">
        <f t="shared" si="10"/>
        <v>4.0244113296058037</v>
      </c>
    </row>
    <row r="24" spans="1:22" x14ac:dyDescent="0.3">
      <c r="A24" s="11" t="s">
        <v>1</v>
      </c>
      <c r="I24">
        <f t="shared" si="11"/>
        <v>1350</v>
      </c>
      <c r="J24">
        <f t="shared" si="12"/>
        <v>85.809103746927548</v>
      </c>
      <c r="K24">
        <f t="shared" si="13"/>
        <v>139.60577692469258</v>
      </c>
      <c r="L24">
        <f t="shared" si="14"/>
        <v>57.258942558418511</v>
      </c>
      <c r="M24">
        <f t="shared" si="15"/>
        <v>31.741430878577557</v>
      </c>
      <c r="N24">
        <f t="shared" si="16"/>
        <v>34.244596367654154</v>
      </c>
      <c r="P24">
        <f t="shared" si="5"/>
        <v>5.3496947473146852</v>
      </c>
      <c r="Q24">
        <f t="shared" si="6"/>
        <v>4.6426929472794338</v>
      </c>
      <c r="R24">
        <f t="shared" si="7"/>
        <v>1.3010439118022838</v>
      </c>
      <c r="S24">
        <f t="shared" si="8"/>
        <v>15.745694623974421</v>
      </c>
      <c r="T24">
        <f t="shared" si="9"/>
        <v>1.2224362757699585</v>
      </c>
      <c r="V24">
        <f t="shared" si="10"/>
        <v>4.0921388585858383</v>
      </c>
    </row>
    <row r="25" spans="1:22" x14ac:dyDescent="0.3">
      <c r="A25" s="1" t="s">
        <v>60</v>
      </c>
      <c r="C25" s="1" t="s">
        <v>88</v>
      </c>
      <c r="D25" s="1" t="s">
        <v>89</v>
      </c>
      <c r="E25" s="1" t="s">
        <v>90</v>
      </c>
      <c r="F25" s="1" t="s">
        <v>91</v>
      </c>
      <c r="G25" s="1" t="s">
        <v>92</v>
      </c>
      <c r="H25" s="1"/>
      <c r="I25">
        <f t="shared" si="11"/>
        <v>1400</v>
      </c>
      <c r="J25">
        <f t="shared" si="12"/>
        <v>87.274717726425735</v>
      </c>
      <c r="K25">
        <f t="shared" si="13"/>
        <v>141.5786324083127</v>
      </c>
      <c r="L25">
        <f t="shared" si="14"/>
        <v>57.598679846273306</v>
      </c>
      <c r="M25">
        <f t="shared" si="15"/>
        <v>31.951060510505819</v>
      </c>
      <c r="N25">
        <f t="shared" si="16"/>
        <v>34.427557412917238</v>
      </c>
      <c r="P25">
        <f t="shared" si="5"/>
        <v>5.4410671899267919</v>
      </c>
      <c r="Q25">
        <f t="shared" si="6"/>
        <v>4.7083017096213071</v>
      </c>
      <c r="R25">
        <f t="shared" si="7"/>
        <v>1.3087634593563577</v>
      </c>
      <c r="S25">
        <f t="shared" si="8"/>
        <v>15.849683766149679</v>
      </c>
      <c r="T25">
        <f t="shared" si="9"/>
        <v>1.2289674731705982</v>
      </c>
      <c r="V25">
        <f t="shared" si="10"/>
        <v>4.1569704726544749</v>
      </c>
    </row>
    <row r="26" spans="1:22" x14ac:dyDescent="0.3">
      <c r="A26" s="13"/>
      <c r="B26" s="1" t="s">
        <v>95</v>
      </c>
      <c r="C26" s="40">
        <v>2.3443311200000001</v>
      </c>
      <c r="D26" s="40">
        <v>7.9805207499999992E-3</v>
      </c>
      <c r="E26" s="40">
        <v>-1.9478150999999999E-5</v>
      </c>
      <c r="F26" s="40">
        <v>2.01572094E-8</v>
      </c>
      <c r="G26" s="40">
        <v>-7.3761176100000006E-12</v>
      </c>
      <c r="I26">
        <f t="shared" si="11"/>
        <v>1450</v>
      </c>
      <c r="J26">
        <f t="shared" si="12"/>
        <v>88.678244550640571</v>
      </c>
      <c r="K26">
        <f t="shared" si="13"/>
        <v>143.45175956015112</v>
      </c>
      <c r="L26">
        <f t="shared" si="14"/>
        <v>57.920540166240137</v>
      </c>
      <c r="M26">
        <f t="shared" si="15"/>
        <v>32.156957665508529</v>
      </c>
      <c r="N26">
        <f t="shared" si="16"/>
        <v>34.601509533546277</v>
      </c>
      <c r="P26">
        <f t="shared" si="5"/>
        <v>5.5285688622593874</v>
      </c>
      <c r="Q26">
        <f t="shared" si="6"/>
        <v>4.7705939328284375</v>
      </c>
      <c r="R26">
        <f t="shared" si="7"/>
        <v>1.316076804504434</v>
      </c>
      <c r="S26">
        <f t="shared" si="8"/>
        <v>15.951821371067984</v>
      </c>
      <c r="T26">
        <f t="shared" si="9"/>
        <v>1.2351770771682937</v>
      </c>
      <c r="V26">
        <f t="shared" si="10"/>
        <v>4.2190078453464368</v>
      </c>
    </row>
    <row r="27" spans="1:22" x14ac:dyDescent="0.3">
      <c r="A27" s="13"/>
      <c r="B27" s="1" t="s">
        <v>96</v>
      </c>
      <c r="C27" s="40">
        <v>2.9328657900000001</v>
      </c>
      <c r="D27" s="40">
        <v>8.2660796699999997E-4</v>
      </c>
      <c r="E27" s="40">
        <v>-1.4640233499999999E-7</v>
      </c>
      <c r="F27" s="40">
        <v>1.54100359E-11</v>
      </c>
      <c r="G27" s="40">
        <v>-6.88804432E-16</v>
      </c>
      <c r="I27">
        <f t="shared" si="11"/>
        <v>1500</v>
      </c>
      <c r="J27">
        <f t="shared" si="12"/>
        <v>90.021898662091516</v>
      </c>
      <c r="K27">
        <f t="shared" si="13"/>
        <v>145.22877282781124</v>
      </c>
      <c r="L27">
        <f t="shared" si="14"/>
        <v>58.225197960897454</v>
      </c>
      <c r="M27">
        <f t="shared" si="15"/>
        <v>32.359193955528902</v>
      </c>
      <c r="N27">
        <f t="shared" si="16"/>
        <v>34.766779103056081</v>
      </c>
      <c r="P27">
        <f t="shared" si="5"/>
        <v>5.6123378218261548</v>
      </c>
      <c r="Q27">
        <f t="shared" si="6"/>
        <v>4.8296898180183323</v>
      </c>
      <c r="R27">
        <f t="shared" si="7"/>
        <v>1.3229992720040322</v>
      </c>
      <c r="S27">
        <f t="shared" si="8"/>
        <v>16.052142962641081</v>
      </c>
      <c r="T27">
        <f t="shared" si="9"/>
        <v>1.2410767383843475</v>
      </c>
      <c r="V27">
        <f t="shared" si="10"/>
        <v>4.2783508748682149</v>
      </c>
    </row>
    <row r="28" spans="1:22" x14ac:dyDescent="0.3">
      <c r="A28" s="13"/>
      <c r="I28">
        <f t="shared" si="11"/>
        <v>1550</v>
      </c>
      <c r="J28">
        <f t="shared" si="12"/>
        <v>91.307855152530465</v>
      </c>
      <c r="K28">
        <f t="shared" si="13"/>
        <v>146.91322141069966</v>
      </c>
      <c r="L28">
        <f t="shared" si="14"/>
        <v>58.513316247396581</v>
      </c>
      <c r="M28">
        <f t="shared" si="15"/>
        <v>32.557840133449467</v>
      </c>
      <c r="N28">
        <f t="shared" si="16"/>
        <v>34.923686748529335</v>
      </c>
      <c r="P28">
        <f t="shared" si="5"/>
        <v>5.6925096728510267</v>
      </c>
      <c r="Q28">
        <f t="shared" si="6"/>
        <v>4.8857073964316484</v>
      </c>
      <c r="R28">
        <f t="shared" si="7"/>
        <v>1.3295459270028762</v>
      </c>
      <c r="S28">
        <f t="shared" si="8"/>
        <v>16.150683638633978</v>
      </c>
      <c r="T28">
        <f t="shared" si="9"/>
        <v>1.2466779023085142</v>
      </c>
      <c r="V28">
        <f t="shared" si="10"/>
        <v>4.3350976840980442</v>
      </c>
    </row>
    <row r="29" spans="1:22" x14ac:dyDescent="0.3">
      <c r="A29" s="13"/>
      <c r="I29">
        <f t="shared" si="11"/>
        <v>1600</v>
      </c>
      <c r="J29">
        <f t="shared" si="12"/>
        <v>92.538249762942087</v>
      </c>
      <c r="K29">
        <f t="shared" si="13"/>
        <v>148.50858926002607</v>
      </c>
      <c r="L29">
        <f t="shared" si="14"/>
        <v>58.785546617461648</v>
      </c>
      <c r="M29">
        <f t="shared" si="15"/>
        <v>32.752966093092041</v>
      </c>
      <c r="N29">
        <f t="shared" si="16"/>
        <v>35.072547350616645</v>
      </c>
      <c r="P29">
        <f t="shared" si="5"/>
        <v>5.7692175662682104</v>
      </c>
      <c r="Q29">
        <f t="shared" si="6"/>
        <v>4.9387625294321937</v>
      </c>
      <c r="R29">
        <f t="shared" si="7"/>
        <v>1.3357315750388923</v>
      </c>
      <c r="S29">
        <f t="shared" si="8"/>
        <v>16.24747807066494</v>
      </c>
      <c r="T29">
        <f t="shared" si="9"/>
        <v>1.2519918092990014</v>
      </c>
      <c r="V29">
        <f t="shared" si="10"/>
        <v>4.3893446205859341</v>
      </c>
    </row>
    <row r="30" spans="1:22" x14ac:dyDescent="0.3">
      <c r="I30">
        <f t="shared" si="11"/>
        <v>1650</v>
      </c>
      <c r="J30">
        <f t="shared" si="12"/>
        <v>93.71517888354353</v>
      </c>
      <c r="K30">
        <f t="shared" si="13"/>
        <v>150.01829507880328</v>
      </c>
      <c r="L30">
        <f t="shared" si="14"/>
        <v>59.042529237389573</v>
      </c>
      <c r="M30">
        <f t="shared" si="15"/>
        <v>32.944640869217757</v>
      </c>
      <c r="N30">
        <f t="shared" si="16"/>
        <v>35.213670043536574</v>
      </c>
      <c r="P30">
        <f t="shared" si="5"/>
        <v>5.8425921997221657</v>
      </c>
      <c r="Q30">
        <f t="shared" si="6"/>
        <v>4.9889689085069264</v>
      </c>
      <c r="R30">
        <f t="shared" si="7"/>
        <v>1.3415707620402084</v>
      </c>
      <c r="S30">
        <f t="shared" si="8"/>
        <v>16.342560504205487</v>
      </c>
      <c r="T30">
        <f t="shared" si="9"/>
        <v>1.2570294945824703</v>
      </c>
      <c r="V30">
        <f t="shared" si="10"/>
        <v>4.4411862565536397</v>
      </c>
    </row>
    <row r="31" spans="1:22" x14ac:dyDescent="0.3">
      <c r="A31" s="11" t="s">
        <v>3</v>
      </c>
      <c r="I31">
        <f t="shared" si="11"/>
        <v>1700</v>
      </c>
      <c r="J31">
        <f t="shared" si="12"/>
        <v>94.840699553784745</v>
      </c>
      <c r="K31">
        <f t="shared" si="13"/>
        <v>151.44569232184745</v>
      </c>
      <c r="L31">
        <f t="shared" si="14"/>
        <v>59.284892848050205</v>
      </c>
      <c r="M31">
        <f t="shared" si="15"/>
        <v>33.132932637527027</v>
      </c>
      <c r="N31">
        <f t="shared" si="16"/>
        <v>35.347358215075538</v>
      </c>
      <c r="P31">
        <f t="shared" si="5"/>
        <v>5.9127618175676275</v>
      </c>
      <c r="Q31">
        <f t="shared" si="6"/>
        <v>5.0364380552659611</v>
      </c>
      <c r="R31">
        <f t="shared" si="7"/>
        <v>1.3470777743251581</v>
      </c>
      <c r="S31">
        <f t="shared" si="8"/>
        <v>16.435964758580383</v>
      </c>
      <c r="T31">
        <f t="shared" si="9"/>
        <v>1.2618017882540333</v>
      </c>
      <c r="V31">
        <f t="shared" si="10"/>
        <v>4.490715388894686</v>
      </c>
    </row>
    <row r="32" spans="1:22" x14ac:dyDescent="0.3">
      <c r="A32" s="1" t="s">
        <v>60</v>
      </c>
      <c r="C32" s="1" t="s">
        <v>88</v>
      </c>
      <c r="D32" s="1" t="s">
        <v>89</v>
      </c>
      <c r="E32" s="1" t="s">
        <v>90</v>
      </c>
      <c r="F32" s="1" t="s">
        <v>91</v>
      </c>
      <c r="G32" s="1" t="s">
        <v>92</v>
      </c>
      <c r="H32" s="1"/>
      <c r="I32">
        <f t="shared" si="11"/>
        <v>1750</v>
      </c>
      <c r="J32">
        <f t="shared" si="12"/>
        <v>95.916829462348048</v>
      </c>
      <c r="K32">
        <f t="shared" si="13"/>
        <v>152.79406919577772</v>
      </c>
      <c r="L32">
        <f t="shared" si="14"/>
        <v>59.513254764886092</v>
      </c>
      <c r="M32">
        <f t="shared" si="15"/>
        <v>33.317908714659573</v>
      </c>
      <c r="N32">
        <f t="shared" si="16"/>
        <v>35.473909506587901</v>
      </c>
      <c r="P32">
        <f t="shared" si="5"/>
        <v>5.9798522108695797</v>
      </c>
      <c r="Q32">
        <f t="shared" si="6"/>
        <v>5.0812793214425582</v>
      </c>
      <c r="R32">
        <f t="shared" si="7"/>
        <v>1.3522666386022744</v>
      </c>
      <c r="S32">
        <f t="shared" si="8"/>
        <v>16.527724226967663</v>
      </c>
      <c r="T32">
        <f t="shared" si="9"/>
        <v>1.2663193152772567</v>
      </c>
      <c r="V32">
        <f t="shared" si="10"/>
        <v>4.5380230391743464</v>
      </c>
    </row>
    <row r="33" spans="1:22" x14ac:dyDescent="0.3">
      <c r="A33" s="13"/>
      <c r="B33" s="1" t="s">
        <v>95</v>
      </c>
      <c r="C33" s="40">
        <v>3.53100528</v>
      </c>
      <c r="D33" s="40">
        <v>-1.2366098700000001E-4</v>
      </c>
      <c r="E33" s="40">
        <v>-5.0299943699999996E-7</v>
      </c>
      <c r="F33" s="40">
        <v>2.43530612E-9</v>
      </c>
      <c r="G33" s="40">
        <v>-1.4088123500000001E-12</v>
      </c>
      <c r="I33">
        <f t="shared" si="11"/>
        <v>1800</v>
      </c>
      <c r="J33">
        <f t="shared" si="12"/>
        <v>96.945546947148586</v>
      </c>
      <c r="K33">
        <f t="shared" si="13"/>
        <v>154.06664865901647</v>
      </c>
      <c r="L33">
        <f t="shared" si="14"/>
        <v>59.728220877912733</v>
      </c>
      <c r="M33">
        <f t="shared" si="15"/>
        <v>33.499635558194406</v>
      </c>
      <c r="N33">
        <f t="shared" si="16"/>
        <v>35.593615812995942</v>
      </c>
      <c r="P33">
        <f t="shared" si="5"/>
        <v>6.0439867174032784</v>
      </c>
      <c r="Q33">
        <f t="shared" si="6"/>
        <v>5.1235998888931311</v>
      </c>
      <c r="R33">
        <f t="shared" si="7"/>
        <v>1.3571511219702963</v>
      </c>
      <c r="S33">
        <f t="shared" si="8"/>
        <v>16.617871876398596</v>
      </c>
      <c r="T33">
        <f t="shared" si="9"/>
        <v>1.270592495484159</v>
      </c>
      <c r="V33">
        <f t="shared" si="10"/>
        <v>4.5831984536296622</v>
      </c>
    </row>
    <row r="34" spans="1:22" x14ac:dyDescent="0.3">
      <c r="A34" s="13"/>
      <c r="B34" s="1" t="s">
        <v>96</v>
      </c>
      <c r="C34" s="40">
        <v>2.9525762599999998</v>
      </c>
      <c r="D34" s="40">
        <v>1.3969005700000001E-3</v>
      </c>
      <c r="E34" s="40">
        <v>-4.9263169100000003E-7</v>
      </c>
      <c r="F34" s="40">
        <v>7.8601036699999999E-11</v>
      </c>
      <c r="G34" s="40">
        <v>-4.6075532099999999E-15</v>
      </c>
      <c r="I34">
        <f t="shared" si="11"/>
        <v>1850</v>
      </c>
      <c r="J34">
        <f t="shared" si="12"/>
        <v>97.92879099533404</v>
      </c>
      <c r="K34">
        <f t="shared" si="13"/>
        <v>155.26658842178927</v>
      </c>
      <c r="L34">
        <f t="shared" si="14"/>
        <v>59.93038565171841</v>
      </c>
      <c r="M34">
        <f t="shared" si="15"/>
        <v>33.678178766649864</v>
      </c>
      <c r="N34">
        <f t="shared" si="16"/>
        <v>35.706763282789829</v>
      </c>
      <c r="P34">
        <f t="shared" si="5"/>
        <v>6.1052862216542421</v>
      </c>
      <c r="Q34">
        <f t="shared" si="6"/>
        <v>5.1635047695972487</v>
      </c>
      <c r="R34">
        <f t="shared" si="7"/>
        <v>1.3617447319181644</v>
      </c>
      <c r="S34">
        <f t="shared" si="8"/>
        <v>16.706440247757733</v>
      </c>
      <c r="T34">
        <f t="shared" si="9"/>
        <v>1.2746315435752114</v>
      </c>
      <c r="V34">
        <f t="shared" si="10"/>
        <v>4.6263291031694287</v>
      </c>
    </row>
    <row r="35" spans="1:22" x14ac:dyDescent="0.3">
      <c r="A35" s="13"/>
      <c r="I35">
        <f>I34+50</f>
        <v>1900</v>
      </c>
      <c r="J35">
        <f t="shared" si="12"/>
        <v>98.868461243284756</v>
      </c>
      <c r="K35">
        <f t="shared" si="13"/>
        <v>156.3969809461247</v>
      </c>
      <c r="L35">
        <f t="shared" si="14"/>
        <v>60.120332125464202</v>
      </c>
      <c r="M35">
        <f t="shared" si="15"/>
        <v>33.853603079483555</v>
      </c>
      <c r="N35">
        <f t="shared" si="16"/>
        <v>35.8136323180277</v>
      </c>
      <c r="P35">
        <f t="shared" si="5"/>
        <v>6.1638691548182516</v>
      </c>
      <c r="Q35">
        <f t="shared" si="6"/>
        <v>5.2010968056576221</v>
      </c>
      <c r="R35">
        <f t="shared" si="7"/>
        <v>1.3660607163250218</v>
      </c>
      <c r="S35">
        <f t="shared" si="8"/>
        <v>16.793461455782861</v>
      </c>
      <c r="T35">
        <f t="shared" si="9"/>
        <v>1.2784464691193393</v>
      </c>
      <c r="V35">
        <f t="shared" si="10"/>
        <v>4.6675006833742012</v>
      </c>
    </row>
    <row r="36" spans="1:22" x14ac:dyDescent="0.3">
      <c r="A36" s="13"/>
      <c r="I36">
        <f t="shared" si="11"/>
        <v>1950</v>
      </c>
      <c r="J36">
        <f t="shared" si="12"/>
        <v>99.766417976613596</v>
      </c>
      <c r="K36">
        <f t="shared" si="13"/>
        <v>157.46085344585472</v>
      </c>
      <c r="L36">
        <f t="shared" si="14"/>
        <v>60.298631912884105</v>
      </c>
      <c r="M36">
        <f t="shared" si="15"/>
        <v>34.02597237709238</v>
      </c>
      <c r="N36">
        <f t="shared" si="16"/>
        <v>35.914497574335535</v>
      </c>
      <c r="P36">
        <f t="shared" si="5"/>
        <v>6.2198514948013468</v>
      </c>
      <c r="Q36">
        <f t="shared" si="6"/>
        <v>5.2364766693001235</v>
      </c>
      <c r="R36">
        <f t="shared" si="7"/>
        <v>1.370112063460216</v>
      </c>
      <c r="S36">
        <f t="shared" si="8"/>
        <v>16.878967189065012</v>
      </c>
      <c r="T36">
        <f t="shared" si="9"/>
        <v>1.2820470765539183</v>
      </c>
      <c r="V36">
        <f t="shared" si="10"/>
        <v>4.7067971144962932</v>
      </c>
    </row>
    <row r="37" spans="1:22" x14ac:dyDescent="0.3">
      <c r="I37">
        <f t="shared" si="11"/>
        <v>2000</v>
      </c>
      <c r="J37">
        <f t="shared" si="12"/>
        <v>100.6244821301661</v>
      </c>
      <c r="K37">
        <f t="shared" si="13"/>
        <v>158.46116788661433</v>
      </c>
      <c r="L37">
        <f t="shared" si="14"/>
        <v>60.465845202284839</v>
      </c>
      <c r="M37">
        <f t="shared" si="15"/>
        <v>34.195349680812583</v>
      </c>
      <c r="N37">
        <f t="shared" si="16"/>
        <v>36.009627960907267</v>
      </c>
      <c r="P37">
        <f t="shared" si="5"/>
        <v>6.2733467662198317</v>
      </c>
      <c r="Q37">
        <f t="shared" si="6"/>
        <v>5.2697428628737724</v>
      </c>
      <c r="R37">
        <f t="shared" si="7"/>
        <v>1.3739115019832957</v>
      </c>
      <c r="S37">
        <f t="shared" si="8"/>
        <v>16.962988710048506</v>
      </c>
      <c r="T37">
        <f t="shared" si="9"/>
        <v>1.2854429651847783</v>
      </c>
      <c r="V37">
        <f t="shared" si="10"/>
        <v>4.7443005414597783</v>
      </c>
    </row>
    <row r="38" spans="1:22" x14ac:dyDescent="0.3">
      <c r="D38" t="s">
        <v>119</v>
      </c>
      <c r="E38" t="s">
        <v>119</v>
      </c>
      <c r="I38">
        <f>I37+50</f>
        <v>2050</v>
      </c>
      <c r="J38">
        <f t="shared" si="12"/>
        <v>101.44443528802049</v>
      </c>
      <c r="K38">
        <f t="shared" si="13"/>
        <v>159.40082098584182</v>
      </c>
      <c r="L38">
        <f t="shared" si="14"/>
        <v>60.622520756546059</v>
      </c>
      <c r="M38">
        <f t="shared" si="15"/>
        <v>34.361797152919671</v>
      </c>
      <c r="N38">
        <f t="shared" si="16"/>
        <v>36.099286640504737</v>
      </c>
      <c r="P38">
        <f t="shared" si="5"/>
        <v>6.3244660404002797</v>
      </c>
      <c r="Q38">
        <f t="shared" si="6"/>
        <v>5.3009917188507423</v>
      </c>
      <c r="R38">
        <f t="shared" si="7"/>
        <v>1.3774715009440142</v>
      </c>
      <c r="S38">
        <f t="shared" si="8"/>
        <v>17.045556855030888</v>
      </c>
      <c r="T38">
        <f t="shared" si="9"/>
        <v>1.2886435291862015</v>
      </c>
      <c r="V38">
        <f t="shared" si="10"/>
        <v>4.7800913338604882</v>
      </c>
    </row>
    <row r="39" spans="1:22" x14ac:dyDescent="0.3">
      <c r="C39" s="1" t="s">
        <v>7</v>
      </c>
      <c r="D39" s="1" t="s">
        <v>14</v>
      </c>
    </row>
    <row r="40" spans="1:22" x14ac:dyDescent="0.3">
      <c r="B40" t="s">
        <v>111</v>
      </c>
      <c r="C40" s="2">
        <v>30.07</v>
      </c>
      <c r="D40">
        <f xml:space="preserve"> 0.055529</f>
        <v>5.5529000000000002E-2</v>
      </c>
      <c r="E40">
        <f>D40/D$50</f>
        <v>5.6934849867576895E-2</v>
      </c>
    </row>
    <row r="41" spans="1:22" x14ac:dyDescent="0.3">
      <c r="B41" t="s">
        <v>1</v>
      </c>
      <c r="C41" s="2">
        <v>2.0158800000000001</v>
      </c>
      <c r="D41">
        <f>9.74436313232641E-06</f>
        <v>9.7443631323264108E-6</v>
      </c>
      <c r="E41">
        <f t="shared" ref="E41:E44" si="17">D41/D$50</f>
        <v>9.9910650649958679E-6</v>
      </c>
    </row>
    <row r="42" spans="1:22" x14ac:dyDescent="0.3">
      <c r="B42" t="s">
        <v>9</v>
      </c>
      <c r="C42" s="2">
        <v>16.04</v>
      </c>
      <c r="D42">
        <f>0.629969</f>
        <v>0.629969</v>
      </c>
      <c r="E42">
        <f t="shared" si="17"/>
        <v>0.64591817674057783</v>
      </c>
    </row>
    <row r="43" spans="1:22" x14ac:dyDescent="0.3">
      <c r="B43" t="s">
        <v>2</v>
      </c>
      <c r="C43" s="2">
        <v>44.01</v>
      </c>
      <c r="D43">
        <f>0.1111</f>
        <v>0.1111</v>
      </c>
      <c r="E43">
        <f t="shared" si="17"/>
        <v>0.11391276306592579</v>
      </c>
    </row>
    <row r="44" spans="1:22" x14ac:dyDescent="0.3">
      <c r="B44" t="s">
        <v>3</v>
      </c>
      <c r="C44" s="2">
        <v>28.013400000000001</v>
      </c>
      <c r="D44">
        <f>0.1787</f>
        <v>0.1787</v>
      </c>
      <c r="E44">
        <f t="shared" si="17"/>
        <v>0.18322421926085453</v>
      </c>
    </row>
    <row r="45" spans="1:22" x14ac:dyDescent="0.3">
      <c r="B45" t="s">
        <v>4</v>
      </c>
      <c r="C45" s="2">
        <f>15.999*2</f>
        <v>31.998000000000001</v>
      </c>
    </row>
    <row r="46" spans="1:22" x14ac:dyDescent="0.3">
      <c r="B46" t="s">
        <v>11</v>
      </c>
      <c r="C46" s="2">
        <v>12.0107</v>
      </c>
    </row>
    <row r="47" spans="1:22" x14ac:dyDescent="0.3">
      <c r="B47" t="s">
        <v>12</v>
      </c>
      <c r="C47" s="2">
        <v>15.999000000000001</v>
      </c>
    </row>
    <row r="48" spans="1:22" x14ac:dyDescent="0.3">
      <c r="B48" t="s">
        <v>13</v>
      </c>
      <c r="C48" s="2">
        <v>1.0079400000000001</v>
      </c>
    </row>
    <row r="50" spans="4:5" x14ac:dyDescent="0.3">
      <c r="D50" s="1">
        <f>SUM(D40:D44)</f>
        <v>0.97530774436313228</v>
      </c>
      <c r="E50" s="1">
        <f>SUM(E40:E44)</f>
        <v>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"/>
  <sheetViews>
    <sheetView topLeftCell="E11" zoomScale="75" zoomScaleNormal="75" workbookViewId="0">
      <selection activeCell="V38" sqref="V38"/>
    </sheetView>
  </sheetViews>
  <sheetFormatPr defaultRowHeight="14.4" x14ac:dyDescent="0.3"/>
  <cols>
    <col min="2" max="2" width="18.109375" customWidth="1"/>
    <col min="3" max="3" width="18.44140625" customWidth="1"/>
    <col min="4" max="4" width="17.33203125" customWidth="1"/>
    <col min="5" max="5" width="18.109375" customWidth="1"/>
    <col min="6" max="6" width="20.77734375" customWidth="1"/>
    <col min="7" max="7" width="18.21875" customWidth="1"/>
  </cols>
  <sheetData>
    <row r="1" spans="1:22" ht="18" x14ac:dyDescent="0.35">
      <c r="A1" s="10" t="s">
        <v>50</v>
      </c>
      <c r="F1" s="1" t="s">
        <v>101</v>
      </c>
      <c r="G1" s="1">
        <v>8.3145100000000003</v>
      </c>
      <c r="I1" s="1" t="s">
        <v>28</v>
      </c>
      <c r="J1" s="1" t="s">
        <v>97</v>
      </c>
      <c r="K1" s="1" t="s">
        <v>114</v>
      </c>
      <c r="L1" s="1" t="s">
        <v>98</v>
      </c>
      <c r="M1" s="1" t="s">
        <v>99</v>
      </c>
      <c r="N1" s="1" t="s">
        <v>100</v>
      </c>
      <c r="P1" s="1" t="s">
        <v>97</v>
      </c>
      <c r="Q1" s="1" t="s">
        <v>114</v>
      </c>
      <c r="R1" s="1" t="s">
        <v>98</v>
      </c>
      <c r="S1" s="1" t="s">
        <v>99</v>
      </c>
      <c r="T1" s="1" t="s">
        <v>100</v>
      </c>
      <c r="V1" s="1" t="s">
        <v>104</v>
      </c>
    </row>
    <row r="2" spans="1:22" x14ac:dyDescent="0.3">
      <c r="J2" s="41" t="s">
        <v>102</v>
      </c>
      <c r="K2" s="41" t="s">
        <v>102</v>
      </c>
      <c r="L2" s="41" t="s">
        <v>102</v>
      </c>
      <c r="M2" s="41" t="s">
        <v>102</v>
      </c>
      <c r="N2" s="41" t="s">
        <v>102</v>
      </c>
      <c r="P2" s="41" t="s">
        <v>103</v>
      </c>
      <c r="Q2" s="41" t="s">
        <v>103</v>
      </c>
      <c r="R2" s="41" t="s">
        <v>103</v>
      </c>
      <c r="S2" s="41" t="s">
        <v>103</v>
      </c>
      <c r="T2" s="41" t="s">
        <v>103</v>
      </c>
      <c r="V2" s="41" t="s">
        <v>103</v>
      </c>
    </row>
    <row r="3" spans="1:22" x14ac:dyDescent="0.3">
      <c r="A3" s="11" t="s">
        <v>5</v>
      </c>
      <c r="I3">
        <v>300</v>
      </c>
      <c r="J3">
        <f>($C$5+$D$5*$I3+$E$5*$I3^2+$F$5*$I3^3+$G$5*$I3^4)*$G$1</f>
        <v>35.76073923118598</v>
      </c>
      <c r="K3">
        <f>($C$12+$D$12*$I3+$E$12*$I3^2+$F$12*$I3^3+$G$12*$I3^4)*$G$1</f>
        <v>52.719673931516716</v>
      </c>
      <c r="L3">
        <f>($C$19+$D$19*$I3+$E$19*$I3^2+$F$19*$I3^3+$G$19*$I3^4)*$G$1</f>
        <v>37.217959072359022</v>
      </c>
      <c r="M3">
        <f>($C$26+$D$26*$I3+$E$26*$I3^2+$F$26*$I3^3+$G$26*$I3^4)*$G$1</f>
        <v>28.850949407552562</v>
      </c>
      <c r="N3">
        <f>($C$33+$D$33*$I3+$E$33*$I3^2+$F$33*$I3^3+$G$33*$I3^4)*$G$1</f>
        <v>29.125553258258435</v>
      </c>
      <c r="P3">
        <f>J3/$C$42</f>
        <v>2.229472520647505</v>
      </c>
      <c r="Q3">
        <f>K3/$C$40</f>
        <v>1.7532315906723217</v>
      </c>
      <c r="R3">
        <f>L3/$C$43</f>
        <v>0.84567050834717161</v>
      </c>
      <c r="S3">
        <f>M3/$C$41</f>
        <v>14.311838704462845</v>
      </c>
      <c r="T3">
        <f>N3/$C$44</f>
        <v>1.0397007595742906</v>
      </c>
      <c r="V3">
        <f>E$42*P3+E$40*Q3+E$43*R3+E$41*S3+E$44*T3</f>
        <v>1.7694563917325756</v>
      </c>
    </row>
    <row r="4" spans="1:22" x14ac:dyDescent="0.3">
      <c r="A4" s="1" t="s">
        <v>60</v>
      </c>
      <c r="C4" s="1" t="s">
        <v>88</v>
      </c>
      <c r="D4" s="1" t="s">
        <v>89</v>
      </c>
      <c r="E4" s="1" t="s">
        <v>90</v>
      </c>
      <c r="F4" s="1" t="s">
        <v>91</v>
      </c>
      <c r="G4" s="1" t="s">
        <v>92</v>
      </c>
      <c r="I4">
        <f>I3+50</f>
        <v>350</v>
      </c>
      <c r="J4">
        <f t="shared" ref="J4:J17" si="0">($C$5+$D$5*$I4+$E$5*$I4^2+$F$5*$I4^3+$G$5*$I4^4)*$G$1</f>
        <v>37.925808254513782</v>
      </c>
      <c r="K4">
        <f t="shared" ref="K4:K17" si="1">($C$12+$D$12*$I4+$E$12*$I4^2+$F$12*$I4^3+$G$12*$I4^4)*$G$1</f>
        <v>58.822259738391693</v>
      </c>
      <c r="L4">
        <f t="shared" ref="L4:L17" si="2">($C$19+$D$19*$I4+$E$19*$I4^2+$F$19*$I4^3+$G$19*$I4^4)*$G$1</f>
        <v>39.344488716155759</v>
      </c>
      <c r="M4">
        <f t="shared" ref="M4:M17" si="3">($C$26+$D$26*$I4+$E$26*$I4^2+$F$26*$I4^3+$G$26*$I4^4)*$G$1</f>
        <v>29.142294136395741</v>
      </c>
      <c r="N4">
        <f t="shared" ref="N4:N17" si="4">($C$33+$D$33*$I4+$E$33*$I4^2+$F$33*$I4^3+$G$33*$I4^4)*$G$1</f>
        <v>29.178768976715464</v>
      </c>
      <c r="P4">
        <f t="shared" ref="P4:P38" si="5">J4/C$42</f>
        <v>2.3644518861916324</v>
      </c>
      <c r="Q4">
        <f t="shared" ref="Q4:Q38" si="6">K4/$C$40</f>
        <v>1.9561775769335448</v>
      </c>
      <c r="R4">
        <f t="shared" ref="R4:R38" si="7">L4/$C$43</f>
        <v>0.89398974587947655</v>
      </c>
      <c r="S4">
        <f t="shared" ref="S4:S38" si="8">M4/$C$41</f>
        <v>14.456363541676954</v>
      </c>
      <c r="T4">
        <f t="shared" ref="T4:T38" si="9">N4/$C$44</f>
        <v>1.041600411828463</v>
      </c>
      <c r="V4">
        <f t="shared" ref="V4:V38" si="10">E$42*P4+E$40*Q4+E$43*R4+E$41*S4+E$44*T4</f>
        <v>1.8673525436368283</v>
      </c>
    </row>
    <row r="5" spans="1:22" x14ac:dyDescent="0.3">
      <c r="A5" s="13"/>
      <c r="B5" s="1" t="s">
        <v>95</v>
      </c>
      <c r="C5" s="40">
        <v>5.14987613</v>
      </c>
      <c r="D5" s="40">
        <v>-1.3670978800000001E-2</v>
      </c>
      <c r="E5" s="40">
        <v>4.9180059899999999E-5</v>
      </c>
      <c r="F5" s="40">
        <v>-4.8474302600000002E-8</v>
      </c>
      <c r="G5" s="40">
        <v>1.6669395599999999E-11</v>
      </c>
      <c r="I5">
        <f t="shared" ref="I5:I37" si="11">I4+50</f>
        <v>400</v>
      </c>
      <c r="J5">
        <f t="shared" si="0"/>
        <v>40.530536985568467</v>
      </c>
      <c r="K5">
        <f t="shared" si="1"/>
        <v>65.1481086171935</v>
      </c>
      <c r="L5">
        <f t="shared" si="2"/>
        <v>41.277814449618745</v>
      </c>
      <c r="M5">
        <f t="shared" si="3"/>
        <v>29.277618420924082</v>
      </c>
      <c r="N5">
        <f t="shared" si="4"/>
        <v>29.274183863266309</v>
      </c>
      <c r="P5">
        <f t="shared" si="5"/>
        <v>2.5268414579531466</v>
      </c>
      <c r="Q5">
        <f t="shared" si="6"/>
        <v>2.1665483411105253</v>
      </c>
      <c r="R5">
        <f t="shared" si="7"/>
        <v>0.93791898317697675</v>
      </c>
      <c r="S5">
        <f t="shared" si="8"/>
        <v>14.523492678594003</v>
      </c>
      <c r="T5">
        <f t="shared" si="9"/>
        <v>1.0450064563125614</v>
      </c>
      <c r="V5">
        <f t="shared" si="10"/>
        <v>1.9799397942179184</v>
      </c>
    </row>
    <row r="6" spans="1:22" x14ac:dyDescent="0.3">
      <c r="A6" s="13"/>
      <c r="B6" s="1" t="s">
        <v>96</v>
      </c>
      <c r="C6" s="40">
        <v>1.6355264300000001</v>
      </c>
      <c r="D6" s="40">
        <v>1.00842795E-2</v>
      </c>
      <c r="E6" s="40">
        <v>-3.3691625399999999E-6</v>
      </c>
      <c r="F6" s="40">
        <v>5.3495866700000002E-10</v>
      </c>
      <c r="G6" s="40">
        <v>-3.15518833E-14</v>
      </c>
      <c r="I6">
        <f t="shared" si="11"/>
        <v>450</v>
      </c>
      <c r="J6">
        <f t="shared" si="0"/>
        <v>43.428567957528422</v>
      </c>
      <c r="K6">
        <f t="shared" si="1"/>
        <v>71.506753251681715</v>
      </c>
      <c r="L6">
        <f t="shared" si="2"/>
        <v>43.031927353760047</v>
      </c>
      <c r="M6">
        <f t="shared" si="3"/>
        <v>29.313625346400649</v>
      </c>
      <c r="N6">
        <f t="shared" si="4"/>
        <v>29.413806418308102</v>
      </c>
      <c r="P6">
        <f t="shared" si="5"/>
        <v>2.7075167055815728</v>
      </c>
      <c r="Q6">
        <f t="shared" si="6"/>
        <v>2.3780097523006889</v>
      </c>
      <c r="R6">
        <f t="shared" si="7"/>
        <v>0.97777612710202333</v>
      </c>
      <c r="S6">
        <f t="shared" si="8"/>
        <v>14.541354319900314</v>
      </c>
      <c r="T6">
        <f t="shared" si="9"/>
        <v>1.0499905908710867</v>
      </c>
      <c r="V6">
        <f t="shared" si="10"/>
        <v>2.1019856305750588</v>
      </c>
    </row>
    <row r="7" spans="1:22" x14ac:dyDescent="0.3">
      <c r="A7" s="13"/>
      <c r="I7">
        <f t="shared" si="11"/>
        <v>500</v>
      </c>
      <c r="J7">
        <f t="shared" si="0"/>
        <v>46.494333382033552</v>
      </c>
      <c r="K7">
        <f t="shared" si="1"/>
        <v>77.741236183563402</v>
      </c>
      <c r="L7">
        <f t="shared" si="2"/>
        <v>44.620639290892512</v>
      </c>
      <c r="M7">
        <f t="shared" si="3"/>
        <v>29.297818677544136</v>
      </c>
      <c r="N7">
        <f t="shared" si="4"/>
        <v>29.597888104582143</v>
      </c>
      <c r="P7">
        <f t="shared" si="5"/>
        <v>2.898649213343738</v>
      </c>
      <c r="Q7">
        <f t="shared" si="6"/>
        <v>2.5853420746113533</v>
      </c>
      <c r="R7">
        <f t="shared" si="7"/>
        <v>1.0138750122902185</v>
      </c>
      <c r="S7">
        <f t="shared" si="8"/>
        <v>14.533513243617742</v>
      </c>
      <c r="T7">
        <f t="shared" si="9"/>
        <v>1.0565617920203239</v>
      </c>
      <c r="V7">
        <f t="shared" si="10"/>
        <v>2.2290093191121385</v>
      </c>
    </row>
    <row r="8" spans="1:22" x14ac:dyDescent="0.3">
      <c r="A8" s="13"/>
      <c r="I8">
        <f t="shared" si="11"/>
        <v>550</v>
      </c>
      <c r="J8">
        <f t="shared" si="0"/>
        <v>49.623055149185269</v>
      </c>
      <c r="K8">
        <f t="shared" si="1"/>
        <v>83.728109812493202</v>
      </c>
      <c r="L8">
        <f t="shared" si="2"/>
        <v>46.057582904629584</v>
      </c>
      <c r="M8">
        <f t="shared" si="3"/>
        <v>29.268502858528741</v>
      </c>
      <c r="N8">
        <f t="shared" si="4"/>
        <v>29.824923347173897</v>
      </c>
      <c r="P8">
        <f t="shared" si="5"/>
        <v>3.0937066801237703</v>
      </c>
      <c r="Q8">
        <f t="shared" si="6"/>
        <v>2.784439967159734</v>
      </c>
      <c r="R8">
        <f t="shared" si="7"/>
        <v>1.046525401150411</v>
      </c>
      <c r="S8">
        <f t="shared" si="8"/>
        <v>14.518970801103608</v>
      </c>
      <c r="T8">
        <f t="shared" si="9"/>
        <v>1.0646663149483424</v>
      </c>
      <c r="V8">
        <f t="shared" si="10"/>
        <v>2.357281905537719</v>
      </c>
    </row>
    <row r="9" spans="1:22" x14ac:dyDescent="0.3">
      <c r="I9">
        <f t="shared" si="11"/>
        <v>600</v>
      </c>
      <c r="J9">
        <f t="shared" si="0"/>
        <v>52.730744827546538</v>
      </c>
      <c r="K9">
        <f t="shared" si="1"/>
        <v>89.37743639607335</v>
      </c>
      <c r="L9">
        <f t="shared" si="2"/>
        <v>47.3562116198854</v>
      </c>
      <c r="M9">
        <f t="shared" si="3"/>
        <v>29.254783012984266</v>
      </c>
      <c r="N9">
        <f t="shared" si="4"/>
        <v>30.091649533512999</v>
      </c>
      <c r="P9">
        <f t="shared" si="5"/>
        <v>3.2874529194231008</v>
      </c>
      <c r="Q9">
        <f t="shared" si="6"/>
        <v>2.9723124840729414</v>
      </c>
      <c r="R9">
        <f t="shared" si="7"/>
        <v>1.0760329838646989</v>
      </c>
      <c r="S9">
        <f t="shared" si="8"/>
        <v>14.512164917050749</v>
      </c>
      <c r="T9">
        <f t="shared" si="9"/>
        <v>1.0741876935149963</v>
      </c>
      <c r="V9">
        <f t="shared" si="10"/>
        <v>2.4838262148650379</v>
      </c>
    </row>
    <row r="10" spans="1:22" x14ac:dyDescent="0.3">
      <c r="A10" s="11" t="s">
        <v>111</v>
      </c>
      <c r="I10">
        <f t="shared" si="11"/>
        <v>650</v>
      </c>
      <c r="J10">
        <f t="shared" si="0"/>
        <v>55.754203664141819</v>
      </c>
      <c r="K10">
        <f t="shared" si="1"/>
        <v>94.632788049853616</v>
      </c>
      <c r="L10">
        <f t="shared" si="2"/>
        <v>48.529799642874792</v>
      </c>
      <c r="M10">
        <f t="shared" si="3"/>
        <v>29.276564943996107</v>
      </c>
      <c r="N10">
        <f t="shared" si="4"/>
        <v>30.393047013373266</v>
      </c>
      <c r="P10">
        <f t="shared" si="5"/>
        <v>3.4759478593604629</v>
      </c>
      <c r="Q10">
        <f t="shared" si="6"/>
        <v>3.1470830744879819</v>
      </c>
      <c r="R10">
        <f t="shared" si="7"/>
        <v>1.1026993783884298</v>
      </c>
      <c r="S10">
        <f t="shared" si="8"/>
        <v>14.522970089487522</v>
      </c>
      <c r="T10">
        <f t="shared" si="9"/>
        <v>1.0849467402519246</v>
      </c>
      <c r="V10">
        <f t="shared" si="10"/>
        <v>2.6064168514120056</v>
      </c>
    </row>
    <row r="11" spans="1:22" x14ac:dyDescent="0.3">
      <c r="A11" s="1" t="s">
        <v>60</v>
      </c>
      <c r="C11" s="1" t="s">
        <v>88</v>
      </c>
      <c r="D11" s="1" t="s">
        <v>89</v>
      </c>
      <c r="E11" s="1" t="s">
        <v>90</v>
      </c>
      <c r="F11" s="1" t="s">
        <v>91</v>
      </c>
      <c r="G11" s="1" t="s">
        <v>92</v>
      </c>
      <c r="H11" s="1"/>
      <c r="I11">
        <f t="shared" si="11"/>
        <v>700</v>
      </c>
      <c r="J11">
        <f t="shared" si="0"/>
        <v>58.651022584457152</v>
      </c>
      <c r="K11">
        <f t="shared" si="1"/>
        <v>99.47124674733135</v>
      </c>
      <c r="L11">
        <f t="shared" si="2"/>
        <v>49.591441961113254</v>
      </c>
      <c r="M11">
        <f t="shared" si="3"/>
        <v>29.344555134105182</v>
      </c>
      <c r="N11">
        <f t="shared" si="4"/>
        <v>30.72233909887267</v>
      </c>
      <c r="P11">
        <f t="shared" si="5"/>
        <v>3.6565475426718925</v>
      </c>
      <c r="Q11">
        <f t="shared" si="6"/>
        <v>3.3079895825517576</v>
      </c>
      <c r="R11">
        <f t="shared" si="7"/>
        <v>1.1268221304501991</v>
      </c>
      <c r="S11">
        <f t="shared" si="8"/>
        <v>14.556697389777755</v>
      </c>
      <c r="T11">
        <f t="shared" si="9"/>
        <v>1.0967015463625505</v>
      </c>
      <c r="V11">
        <f t="shared" si="10"/>
        <v>2.7235801988012098</v>
      </c>
    </row>
    <row r="12" spans="1:22" x14ac:dyDescent="0.3">
      <c r="A12" s="13"/>
      <c r="B12" s="1" t="s">
        <v>95</v>
      </c>
      <c r="C12" s="40">
        <v>4.2914249199999999</v>
      </c>
      <c r="D12" s="40">
        <v>-5.5015426999999997E-3</v>
      </c>
      <c r="E12" s="40">
        <v>5.9943828800000003E-5</v>
      </c>
      <c r="F12" s="40">
        <v>-7.0846628500000001E-8</v>
      </c>
      <c r="G12" s="40">
        <v>2.6868577099999999E-11</v>
      </c>
      <c r="I12">
        <f t="shared" si="11"/>
        <v>750</v>
      </c>
      <c r="J12">
        <f t="shared" si="0"/>
        <v>61.399582192439986</v>
      </c>
      <c r="K12">
        <f t="shared" si="1"/>
        <v>103.90340431995136</v>
      </c>
      <c r="L12">
        <f t="shared" si="2"/>
        <v>50.554054343416944</v>
      </c>
      <c r="M12">
        <f t="shared" si="3"/>
        <v>29.460260745308002</v>
      </c>
      <c r="N12">
        <f t="shared" si="4"/>
        <v>31.070992064473359</v>
      </c>
      <c r="P12">
        <f t="shared" si="5"/>
        <v>3.8279041267107226</v>
      </c>
      <c r="Q12">
        <f t="shared" si="6"/>
        <v>3.4553842474210628</v>
      </c>
      <c r="R12">
        <f t="shared" si="7"/>
        <v>1.1486947135518506</v>
      </c>
      <c r="S12">
        <f t="shared" si="8"/>
        <v>14.614094462620791</v>
      </c>
      <c r="T12">
        <f t="shared" si="9"/>
        <v>1.1091474817220814</v>
      </c>
      <c r="V12">
        <f t="shared" si="10"/>
        <v>2.8345944199599105</v>
      </c>
    </row>
    <row r="13" spans="1:22" x14ac:dyDescent="0.3">
      <c r="A13" s="13"/>
      <c r="B13" s="1" t="s">
        <v>96</v>
      </c>
      <c r="C13" s="40">
        <v>4.04666674</v>
      </c>
      <c r="D13" s="40">
        <v>1.53538766E-2</v>
      </c>
      <c r="E13" s="40">
        <v>-5.4703932099999999E-6</v>
      </c>
      <c r="F13" s="40">
        <v>8.7782622800000003E-10</v>
      </c>
      <c r="G13" s="40">
        <v>-5.2316730500000003E-14</v>
      </c>
      <c r="I13">
        <f t="shared" si="11"/>
        <v>800</v>
      </c>
      <c r="J13">
        <f t="shared" si="0"/>
        <v>63.999052770499432</v>
      </c>
      <c r="K13">
        <f t="shared" si="1"/>
        <v>107.97336245710616</v>
      </c>
      <c r="L13">
        <f t="shared" si="2"/>
        <v>51.43037333990268</v>
      </c>
      <c r="M13">
        <f t="shared" si="3"/>
        <v>29.615989619056688</v>
      </c>
      <c r="N13">
        <f t="shared" si="4"/>
        <v>31.428715146981656</v>
      </c>
      <c r="P13">
        <f t="shared" si="5"/>
        <v>3.9899658834475957</v>
      </c>
      <c r="Q13">
        <f t="shared" si="6"/>
        <v>3.5907337032625928</v>
      </c>
      <c r="R13">
        <f t="shared" si="7"/>
        <v>1.1686065289684773</v>
      </c>
      <c r="S13">
        <f t="shared" si="8"/>
        <v>14.691345526051494</v>
      </c>
      <c r="T13">
        <f t="shared" si="9"/>
        <v>1.1219171948775106</v>
      </c>
      <c r="V13">
        <f t="shared" si="10"/>
        <v>2.9394894571200409</v>
      </c>
    </row>
    <row r="14" spans="1:22" x14ac:dyDescent="0.3">
      <c r="A14" s="13"/>
      <c r="I14">
        <f t="shared" si="11"/>
        <v>850</v>
      </c>
      <c r="J14">
        <f t="shared" si="0"/>
        <v>66.469394279506062</v>
      </c>
      <c r="K14">
        <f t="shared" si="1"/>
        <v>111.75873270613567</v>
      </c>
      <c r="L14">
        <f t="shared" si="2"/>
        <v>52.23295628198801</v>
      </c>
      <c r="M14">
        <f t="shared" si="3"/>
        <v>29.794850276258888</v>
      </c>
      <c r="N14">
        <f t="shared" si="4"/>
        <v>31.783460545548053</v>
      </c>
      <c r="P14">
        <f t="shared" si="5"/>
        <v>4.1439771994704531</v>
      </c>
      <c r="Q14">
        <f t="shared" si="6"/>
        <v>3.7166189792529321</v>
      </c>
      <c r="R14">
        <f t="shared" si="7"/>
        <v>1.1868429057484211</v>
      </c>
      <c r="S14">
        <f t="shared" si="8"/>
        <v>14.780071371440208</v>
      </c>
      <c r="T14">
        <f t="shared" si="9"/>
        <v>1.1345806130476148</v>
      </c>
      <c r="V14">
        <f t="shared" si="10"/>
        <v>3.039047031818213</v>
      </c>
    </row>
    <row r="15" spans="1:22" x14ac:dyDescent="0.3">
      <c r="A15" s="13"/>
      <c r="I15">
        <f t="shared" si="11"/>
        <v>900</v>
      </c>
      <c r="J15">
        <f t="shared" si="0"/>
        <v>68.851356358791904</v>
      </c>
      <c r="K15">
        <f t="shared" si="1"/>
        <v>115.37063647232755</v>
      </c>
      <c r="L15">
        <f t="shared" si="2"/>
        <v>52.974181282391108</v>
      </c>
      <c r="M15">
        <f t="shared" si="3"/>
        <v>29.97075191727777</v>
      </c>
      <c r="N15">
        <f t="shared" si="4"/>
        <v>32.121423421667195</v>
      </c>
      <c r="P15">
        <f t="shared" si="5"/>
        <v>4.292478575984533</v>
      </c>
      <c r="Q15">
        <f t="shared" si="6"/>
        <v>3.8367354995785683</v>
      </c>
      <c r="R15">
        <f t="shared" si="7"/>
        <v>1.2036851007132723</v>
      </c>
      <c r="S15">
        <f t="shared" si="8"/>
        <v>14.867329363492752</v>
      </c>
      <c r="T15">
        <f t="shared" si="9"/>
        <v>1.1466449421229552</v>
      </c>
      <c r="V15">
        <f t="shared" si="10"/>
        <v>3.1348006448957082</v>
      </c>
    </row>
    <row r="16" spans="1:22" x14ac:dyDescent="0.3">
      <c r="I16">
        <f t="shared" si="11"/>
        <v>950</v>
      </c>
      <c r="J16">
        <f t="shared" si="0"/>
        <v>71.206478326150545</v>
      </c>
      <c r="K16">
        <f t="shared" si="1"/>
        <v>118.95370501891684</v>
      </c>
      <c r="L16">
        <f t="shared" si="2"/>
        <v>53.666247235130847</v>
      </c>
      <c r="M16">
        <f t="shared" si="3"/>
        <v>30.108404421932232</v>
      </c>
      <c r="N16">
        <f t="shared" si="4"/>
        <v>32.427041899177937</v>
      </c>
      <c r="P16">
        <f t="shared" si="5"/>
        <v>4.4393066288123784</v>
      </c>
      <c r="Q16">
        <f t="shared" si="6"/>
        <v>3.9558930834358774</v>
      </c>
      <c r="R16">
        <f t="shared" si="7"/>
        <v>1.2194102984578699</v>
      </c>
      <c r="S16">
        <f t="shared" si="8"/>
        <v>14.935613440250526</v>
      </c>
      <c r="T16">
        <f t="shared" si="9"/>
        <v>1.1575546666658791</v>
      </c>
      <c r="V16">
        <f t="shared" si="10"/>
        <v>3.2290355764984833</v>
      </c>
    </row>
    <row r="17" spans="1:22" x14ac:dyDescent="0.3">
      <c r="A17" s="11" t="s">
        <v>2</v>
      </c>
      <c r="I17">
        <f t="shared" si="11"/>
        <v>1000</v>
      </c>
      <c r="J17">
        <f t="shared" si="0"/>
        <v>73.617089177837258</v>
      </c>
      <c r="K17">
        <f t="shared" si="1"/>
        <v>122.6860794670862</v>
      </c>
      <c r="L17">
        <f t="shared" si="2"/>
        <v>54.321173815526727</v>
      </c>
      <c r="M17">
        <f t="shared" si="3"/>
        <v>30.163318349496613</v>
      </c>
      <c r="N17">
        <f t="shared" si="4"/>
        <v>32.682997064263262</v>
      </c>
      <c r="P17">
        <f t="shared" si="5"/>
        <v>4.5895940883938442</v>
      </c>
      <c r="Q17">
        <f t="shared" si="6"/>
        <v>4.0800159450311337</v>
      </c>
      <c r="R17">
        <f t="shared" si="7"/>
        <v>1.2342916113503006</v>
      </c>
      <c r="S17">
        <f t="shared" si="8"/>
        <v>14.962854113090367</v>
      </c>
      <c r="T17">
        <f t="shared" si="9"/>
        <v>1.1666915499105164</v>
      </c>
      <c r="V17">
        <f t="shared" si="10"/>
        <v>3.324788886077175</v>
      </c>
    </row>
    <row r="18" spans="1:22" x14ac:dyDescent="0.3">
      <c r="A18" s="1" t="s">
        <v>60</v>
      </c>
      <c r="C18" s="1" t="s">
        <v>88</v>
      </c>
      <c r="D18" s="1" t="s">
        <v>89</v>
      </c>
      <c r="E18" s="1" t="s">
        <v>90</v>
      </c>
      <c r="F18" s="1" t="s">
        <v>91</v>
      </c>
      <c r="G18" s="1" t="s">
        <v>92</v>
      </c>
      <c r="H18" s="1"/>
      <c r="I18">
        <f t="shared" si="11"/>
        <v>1050</v>
      </c>
      <c r="J18">
        <f>($C$6+$D$6*$I18+$E$6*$I18^2+$F$6*$I18^3+$G$6*$I18^4)*$G$1</f>
        <v>75.582622631214164</v>
      </c>
      <c r="K18">
        <f>($C$13+$D$13*$I18+$E$13*$I18^2+$F$13*$I18^3+$G$13*$I18^4)*$G$1</f>
        <v>125.4637187169659</v>
      </c>
      <c r="L18">
        <f>($C$20+$D$20*$I18+$E$20*$I18^2+$F$20*$I18^3+$G$20*$I18^4)*$G$1</f>
        <v>54.805894117425588</v>
      </c>
      <c r="M18">
        <f>($C$27+$D$27*$I18+$E$27*$I18^2+$F$27*$I18^3+$G$27*$I18^4)*$G$1</f>
        <v>30.401152561102496</v>
      </c>
      <c r="N18">
        <f>($C$34+$D$34*$I18+$E$34*$I18^2+$F$34*$I18^3+$G$34*$I18^4)*$G$1</f>
        <v>32.938641711489957</v>
      </c>
      <c r="P18">
        <f t="shared" si="5"/>
        <v>4.7121335804996365</v>
      </c>
      <c r="Q18">
        <f t="shared" si="6"/>
        <v>4.1723883843354139</v>
      </c>
      <c r="R18">
        <f t="shared" si="7"/>
        <v>1.2453054786963325</v>
      </c>
      <c r="S18">
        <f t="shared" si="8"/>
        <v>15.080834454978715</v>
      </c>
      <c r="T18">
        <f t="shared" si="9"/>
        <v>1.1758173485364132</v>
      </c>
      <c r="V18">
        <f t="shared" si="10"/>
        <v>3.4029265551479866</v>
      </c>
    </row>
    <row r="19" spans="1:22" x14ac:dyDescent="0.3">
      <c r="A19" s="13"/>
      <c r="B19" s="1" t="s">
        <v>95</v>
      </c>
      <c r="C19" s="40">
        <v>2.35677352</v>
      </c>
      <c r="D19" s="40">
        <v>8.9845967700000005E-3</v>
      </c>
      <c r="E19" s="40">
        <v>-7.1235626899999998E-6</v>
      </c>
      <c r="F19" s="40">
        <v>2.4591902199999998E-9</v>
      </c>
      <c r="G19" s="40">
        <v>-1.4369954799999999E-13</v>
      </c>
      <c r="I19">
        <f t="shared" si="11"/>
        <v>1100</v>
      </c>
      <c r="J19">
        <f t="shared" ref="J19:J38" si="12">($C$6+$D$6*$I19+$E$6*$I19^2+$F$6*$I19^3+$G$6*$I19^4)*$G$1</f>
        <v>77.469466478292347</v>
      </c>
      <c r="K19">
        <f t="shared" ref="K19:K38" si="13">($C$13+$D$13*$I19+$E$13*$I19^2+$F$13*$I19^3+$G$13*$I19^4)*$G$1</f>
        <v>128.11450148997</v>
      </c>
      <c r="L19">
        <f t="shared" ref="L19:L38" si="14">($C$20+$D$20*$I19+$E$20*$I19^2+$F$20*$I19^3+$G$20*$I19^4)*$G$1</f>
        <v>55.267696330677268</v>
      </c>
      <c r="M19">
        <f t="shared" ref="M19:M38" si="15">($C$27+$D$27*$I19+$E$27*$I19^2+$F$27*$I19^3+$G$27*$I19^4)*$G$1</f>
        <v>30.634729012791027</v>
      </c>
      <c r="N19">
        <f t="shared" ref="N19:N38" si="16">($C$34+$D$34*$I19+$E$34*$I19^2+$F$34*$I19^3+$G$34*$I19^4)*$G$1</f>
        <v>33.182831948564612</v>
      </c>
      <c r="P19">
        <f t="shared" si="5"/>
        <v>4.8297672368012687</v>
      </c>
      <c r="Q19">
        <f t="shared" si="6"/>
        <v>4.2605421180568674</v>
      </c>
      <c r="R19">
        <f t="shared" si="7"/>
        <v>1.255798598742951</v>
      </c>
      <c r="S19">
        <f t="shared" si="8"/>
        <v>15.196702687060254</v>
      </c>
      <c r="T19">
        <f t="shared" si="9"/>
        <v>1.1845342567687112</v>
      </c>
      <c r="V19">
        <f t="shared" si="10"/>
        <v>3.4778986327341066</v>
      </c>
    </row>
    <row r="20" spans="1:22" x14ac:dyDescent="0.3">
      <c r="A20" s="13"/>
      <c r="B20" s="1" t="s">
        <v>96</v>
      </c>
      <c r="C20" s="40">
        <v>4.6365949300000002</v>
      </c>
      <c r="D20" s="40">
        <v>2.7413199100000001E-3</v>
      </c>
      <c r="E20" s="40">
        <v>-9.958285309999999E-7</v>
      </c>
      <c r="F20" s="40">
        <v>1.60373011E-10</v>
      </c>
      <c r="G20" s="40">
        <v>-9.1610346800000004E-15</v>
      </c>
      <c r="I20">
        <f t="shared" si="11"/>
        <v>1150</v>
      </c>
      <c r="J20">
        <f t="shared" si="12"/>
        <v>79.280110148855982</v>
      </c>
      <c r="K20">
        <f t="shared" si="13"/>
        <v>130.64249903343853</v>
      </c>
      <c r="L20">
        <f t="shared" si="14"/>
        <v>55.707334986599676</v>
      </c>
      <c r="M20">
        <f t="shared" si="15"/>
        <v>30.864125275619951</v>
      </c>
      <c r="N20">
        <f t="shared" si="16"/>
        <v>33.415934344842718</v>
      </c>
      <c r="P20">
        <f t="shared" si="5"/>
        <v>4.9426502586568573</v>
      </c>
      <c r="Q20">
        <f t="shared" si="6"/>
        <v>4.3446125385247267</v>
      </c>
      <c r="R20">
        <f t="shared" si="7"/>
        <v>1.2657881160327125</v>
      </c>
      <c r="S20">
        <f t="shared" si="8"/>
        <v>15.310497289332673</v>
      </c>
      <c r="T20">
        <f t="shared" si="9"/>
        <v>1.1928553601077598</v>
      </c>
      <c r="V20">
        <f t="shared" si="10"/>
        <v>3.5498053913000067</v>
      </c>
    </row>
    <row r="21" spans="1:22" x14ac:dyDescent="0.3">
      <c r="A21" s="13"/>
      <c r="I21">
        <f t="shared" si="11"/>
        <v>1200</v>
      </c>
      <c r="J21">
        <f t="shared" si="12"/>
        <v>81.017004190028743</v>
      </c>
      <c r="K21">
        <f t="shared" si="13"/>
        <v>133.0517172841559</v>
      </c>
      <c r="L21">
        <f t="shared" si="14"/>
        <v>56.125553080334278</v>
      </c>
      <c r="M21">
        <f t="shared" si="15"/>
        <v>31.089418115896684</v>
      </c>
      <c r="N21">
        <f t="shared" si="16"/>
        <v>33.638309752431539</v>
      </c>
      <c r="P21">
        <f t="shared" si="5"/>
        <v>5.0509354233185002</v>
      </c>
      <c r="Q21">
        <f t="shared" si="6"/>
        <v>4.4247328661175889</v>
      </c>
      <c r="R21">
        <f t="shared" si="7"/>
        <v>1.2752909129819197</v>
      </c>
      <c r="S21">
        <f t="shared" si="8"/>
        <v>15.422256342588192</v>
      </c>
      <c r="T21">
        <f t="shared" si="9"/>
        <v>1.2007935399641436</v>
      </c>
      <c r="V21">
        <f t="shared" si="10"/>
        <v>3.6187455366193189</v>
      </c>
    </row>
    <row r="22" spans="1:22" x14ac:dyDescent="0.3">
      <c r="A22" s="13"/>
      <c r="I22">
        <f t="shared" si="11"/>
        <v>1250</v>
      </c>
      <c r="J22">
        <f t="shared" si="12"/>
        <v>82.682559798166864</v>
      </c>
      <c r="K22">
        <f t="shared" si="13"/>
        <v>135.34609693070971</v>
      </c>
      <c r="L22">
        <f t="shared" si="14"/>
        <v>56.523082181595392</v>
      </c>
      <c r="M22">
        <f t="shared" si="15"/>
        <v>31.310683440867965</v>
      </c>
      <c r="N22">
        <f t="shared" si="16"/>
        <v>33.850313277006322</v>
      </c>
      <c r="P22">
        <f t="shared" si="5"/>
        <v>5.1547730547485582</v>
      </c>
      <c r="Q22">
        <f t="shared" si="6"/>
        <v>4.501034151337203</v>
      </c>
      <c r="R22">
        <f t="shared" si="7"/>
        <v>1.2843236123970778</v>
      </c>
      <c r="S22">
        <f t="shared" si="8"/>
        <v>15.532017501472291</v>
      </c>
      <c r="T22">
        <f t="shared" si="9"/>
        <v>1.2083614726169019</v>
      </c>
      <c r="V22">
        <f t="shared" si="10"/>
        <v>3.6848161916889093</v>
      </c>
    </row>
    <row r="23" spans="1:22" x14ac:dyDescent="0.3">
      <c r="I23">
        <f t="shared" si="11"/>
        <v>1300</v>
      </c>
      <c r="J23">
        <f t="shared" si="12"/>
        <v>84.279148818859298</v>
      </c>
      <c r="K23">
        <f t="shared" si="13"/>
        <v>137.52951341349063</v>
      </c>
      <c r="L23">
        <f t="shared" si="14"/>
        <v>56.900642434670154</v>
      </c>
      <c r="M23">
        <f t="shared" si="15"/>
        <v>31.527996298719813</v>
      </c>
      <c r="N23">
        <f t="shared" si="16"/>
        <v>34.052294277810169</v>
      </c>
      <c r="P23">
        <f t="shared" si="5"/>
        <v>5.2543110236196569</v>
      </c>
      <c r="Q23">
        <f t="shared" si="6"/>
        <v>4.5736452748084684</v>
      </c>
      <c r="R23">
        <f t="shared" si="7"/>
        <v>1.2929025774748957</v>
      </c>
      <c r="S23">
        <f t="shared" si="8"/>
        <v>15.639817994483705</v>
      </c>
      <c r="T23">
        <f t="shared" si="9"/>
        <v>1.2155716292135252</v>
      </c>
      <c r="V23">
        <f t="shared" si="10"/>
        <v>3.7481128967288759</v>
      </c>
    </row>
    <row r="24" spans="1:22" x14ac:dyDescent="0.3">
      <c r="A24" s="11" t="s">
        <v>1</v>
      </c>
      <c r="I24">
        <f t="shared" si="11"/>
        <v>1350</v>
      </c>
      <c r="J24">
        <f t="shared" si="12"/>
        <v>85.809103746927548</v>
      </c>
      <c r="K24">
        <f t="shared" si="13"/>
        <v>139.60577692469258</v>
      </c>
      <c r="L24">
        <f t="shared" si="14"/>
        <v>57.258942558418511</v>
      </c>
      <c r="M24">
        <f t="shared" si="15"/>
        <v>31.741430878577557</v>
      </c>
      <c r="N24">
        <f t="shared" si="16"/>
        <v>34.244596367654154</v>
      </c>
      <c r="P24">
        <f t="shared" si="5"/>
        <v>5.3496947473146852</v>
      </c>
      <c r="Q24">
        <f t="shared" si="6"/>
        <v>4.6426929472794338</v>
      </c>
      <c r="R24">
        <f t="shared" si="7"/>
        <v>1.3010439118022838</v>
      </c>
      <c r="S24">
        <f t="shared" si="8"/>
        <v>15.745694623974421</v>
      </c>
      <c r="T24">
        <f t="shared" si="9"/>
        <v>1.2224362757699585</v>
      </c>
      <c r="V24">
        <f t="shared" si="10"/>
        <v>3.8087296091825471</v>
      </c>
    </row>
    <row r="25" spans="1:22" x14ac:dyDescent="0.3">
      <c r="A25" s="1" t="s">
        <v>60</v>
      </c>
      <c r="C25" s="1" t="s">
        <v>88</v>
      </c>
      <c r="D25" s="1" t="s">
        <v>89</v>
      </c>
      <c r="E25" s="1" t="s">
        <v>90</v>
      </c>
      <c r="F25" s="1" t="s">
        <v>91</v>
      </c>
      <c r="G25" s="1" t="s">
        <v>92</v>
      </c>
      <c r="H25" s="1"/>
      <c r="I25">
        <f t="shared" si="11"/>
        <v>1400</v>
      </c>
      <c r="J25">
        <f t="shared" si="12"/>
        <v>87.274717726425735</v>
      </c>
      <c r="K25">
        <f t="shared" si="13"/>
        <v>141.5786324083127</v>
      </c>
      <c r="L25">
        <f t="shared" si="14"/>
        <v>57.598679846273306</v>
      </c>
      <c r="M25">
        <f t="shared" si="15"/>
        <v>31.951060510505819</v>
      </c>
      <c r="N25">
        <f t="shared" si="16"/>
        <v>34.427557412917238</v>
      </c>
      <c r="P25">
        <f t="shared" si="5"/>
        <v>5.4410671899267919</v>
      </c>
      <c r="Q25">
        <f t="shared" si="6"/>
        <v>4.7083017096213071</v>
      </c>
      <c r="R25">
        <f t="shared" si="7"/>
        <v>1.3087634593563577</v>
      </c>
      <c r="S25">
        <f t="shared" si="8"/>
        <v>15.849683766149679</v>
      </c>
      <c r="T25">
        <f t="shared" si="9"/>
        <v>1.2289674731705982</v>
      </c>
      <c r="V25">
        <f t="shared" si="10"/>
        <v>3.8667587037164819</v>
      </c>
    </row>
    <row r="26" spans="1:22" x14ac:dyDescent="0.3">
      <c r="A26" s="13"/>
      <c r="B26" s="1" t="s">
        <v>95</v>
      </c>
      <c r="C26" s="40">
        <v>2.3443311200000001</v>
      </c>
      <c r="D26" s="40">
        <v>7.9805207499999992E-3</v>
      </c>
      <c r="E26" s="40">
        <v>-1.9478150999999999E-5</v>
      </c>
      <c r="F26" s="40">
        <v>2.01572094E-8</v>
      </c>
      <c r="G26" s="40">
        <v>-7.3761176100000006E-12</v>
      </c>
      <c r="I26">
        <f t="shared" si="11"/>
        <v>1450</v>
      </c>
      <c r="J26">
        <f t="shared" si="12"/>
        <v>88.678244550640571</v>
      </c>
      <c r="K26">
        <f t="shared" si="13"/>
        <v>143.45175956015112</v>
      </c>
      <c r="L26">
        <f t="shared" si="14"/>
        <v>57.920540166240137</v>
      </c>
      <c r="M26">
        <f t="shared" si="15"/>
        <v>32.156957665508529</v>
      </c>
      <c r="N26">
        <f t="shared" si="16"/>
        <v>34.601509533546277</v>
      </c>
      <c r="P26">
        <f t="shared" si="5"/>
        <v>5.5285688622593874</v>
      </c>
      <c r="Q26">
        <f t="shared" si="6"/>
        <v>4.7705939328284375</v>
      </c>
      <c r="R26">
        <f t="shared" si="7"/>
        <v>1.316076804504434</v>
      </c>
      <c r="S26">
        <f t="shared" si="8"/>
        <v>15.951821371067984</v>
      </c>
      <c r="T26">
        <f t="shared" si="9"/>
        <v>1.2351770771682937</v>
      </c>
      <c r="V26">
        <f t="shared" si="10"/>
        <v>3.9222909722204706</v>
      </c>
    </row>
    <row r="27" spans="1:22" x14ac:dyDescent="0.3">
      <c r="A27" s="13"/>
      <c r="B27" s="1" t="s">
        <v>96</v>
      </c>
      <c r="C27" s="40">
        <v>2.9328657900000001</v>
      </c>
      <c r="D27" s="40">
        <v>8.2660796699999997E-4</v>
      </c>
      <c r="E27" s="40">
        <v>-1.4640233499999999E-7</v>
      </c>
      <c r="F27" s="40">
        <v>1.54100359E-11</v>
      </c>
      <c r="G27" s="40">
        <v>-6.88804432E-16</v>
      </c>
      <c r="I27">
        <f t="shared" si="11"/>
        <v>1500</v>
      </c>
      <c r="J27">
        <f t="shared" si="12"/>
        <v>90.021898662091516</v>
      </c>
      <c r="K27">
        <f t="shared" si="13"/>
        <v>145.22877282781124</v>
      </c>
      <c r="L27">
        <f t="shared" si="14"/>
        <v>58.225197960897454</v>
      </c>
      <c r="M27">
        <f t="shared" si="15"/>
        <v>32.359193955528902</v>
      </c>
      <c r="N27">
        <f t="shared" si="16"/>
        <v>34.766779103056081</v>
      </c>
      <c r="P27">
        <f t="shared" si="5"/>
        <v>5.6123378218261548</v>
      </c>
      <c r="Q27">
        <f t="shared" si="6"/>
        <v>4.8296898180183323</v>
      </c>
      <c r="R27">
        <f t="shared" si="7"/>
        <v>1.3229992720040322</v>
      </c>
      <c r="S27">
        <f t="shared" si="8"/>
        <v>16.052142962641081</v>
      </c>
      <c r="T27">
        <f t="shared" si="9"/>
        <v>1.2410767383843475</v>
      </c>
      <c r="V27">
        <f t="shared" si="10"/>
        <v>3.9754156238075362</v>
      </c>
    </row>
    <row r="28" spans="1:22" x14ac:dyDescent="0.3">
      <c r="A28" s="13"/>
      <c r="I28">
        <f t="shared" si="11"/>
        <v>1550</v>
      </c>
      <c r="J28">
        <f t="shared" si="12"/>
        <v>91.307855152530465</v>
      </c>
      <c r="K28">
        <f t="shared" si="13"/>
        <v>146.91322141069966</v>
      </c>
      <c r="L28">
        <f t="shared" si="14"/>
        <v>58.513316247396581</v>
      </c>
      <c r="M28">
        <f t="shared" si="15"/>
        <v>32.557840133449467</v>
      </c>
      <c r="N28">
        <f t="shared" si="16"/>
        <v>34.923686748529335</v>
      </c>
      <c r="P28">
        <f t="shared" si="5"/>
        <v>5.6925096728510267</v>
      </c>
      <c r="Q28">
        <f t="shared" si="6"/>
        <v>4.8857073964316484</v>
      </c>
      <c r="R28">
        <f t="shared" si="7"/>
        <v>1.3295459270028762</v>
      </c>
      <c r="S28">
        <f t="shared" si="8"/>
        <v>16.150683638633978</v>
      </c>
      <c r="T28">
        <f t="shared" si="9"/>
        <v>1.2466779023085142</v>
      </c>
      <c r="V28">
        <f t="shared" si="10"/>
        <v>4.0262202848139319</v>
      </c>
    </row>
    <row r="29" spans="1:22" x14ac:dyDescent="0.3">
      <c r="A29" s="13"/>
      <c r="I29">
        <f t="shared" si="11"/>
        <v>1600</v>
      </c>
      <c r="J29">
        <f t="shared" si="12"/>
        <v>92.538249762942087</v>
      </c>
      <c r="K29">
        <f t="shared" si="13"/>
        <v>148.50858926002607</v>
      </c>
      <c r="L29">
        <f t="shared" si="14"/>
        <v>58.785546617461648</v>
      </c>
      <c r="M29">
        <f t="shared" si="15"/>
        <v>32.752966093092041</v>
      </c>
      <c r="N29">
        <f t="shared" si="16"/>
        <v>35.072547350616645</v>
      </c>
      <c r="P29">
        <f t="shared" si="5"/>
        <v>5.7692175662682104</v>
      </c>
      <c r="Q29">
        <f t="shared" si="6"/>
        <v>4.9387625294321937</v>
      </c>
      <c r="R29">
        <f t="shared" si="7"/>
        <v>1.3357315750388923</v>
      </c>
      <c r="S29">
        <f t="shared" si="8"/>
        <v>16.24747807066494</v>
      </c>
      <c r="T29">
        <f t="shared" si="9"/>
        <v>1.2519918092990014</v>
      </c>
      <c r="V29">
        <f t="shared" si="10"/>
        <v>4.0747909987991449</v>
      </c>
    </row>
    <row r="30" spans="1:22" x14ac:dyDescent="0.3">
      <c r="I30">
        <f t="shared" si="11"/>
        <v>1650</v>
      </c>
      <c r="J30">
        <f t="shared" si="12"/>
        <v>93.71517888354353</v>
      </c>
      <c r="K30">
        <f t="shared" si="13"/>
        <v>150.01829507880328</v>
      </c>
      <c r="L30">
        <f t="shared" si="14"/>
        <v>59.042529237389573</v>
      </c>
      <c r="M30">
        <f t="shared" si="15"/>
        <v>32.944640869217757</v>
      </c>
      <c r="N30">
        <f t="shared" si="16"/>
        <v>35.213670043536574</v>
      </c>
      <c r="P30">
        <f t="shared" si="5"/>
        <v>5.8425921997221657</v>
      </c>
      <c r="Q30">
        <f t="shared" si="6"/>
        <v>4.9889689085069264</v>
      </c>
      <c r="R30">
        <f t="shared" si="7"/>
        <v>1.3415707620402084</v>
      </c>
      <c r="S30">
        <f t="shared" si="8"/>
        <v>16.342560504205487</v>
      </c>
      <c r="T30">
        <f t="shared" si="9"/>
        <v>1.2570294945824703</v>
      </c>
      <c r="V30">
        <f t="shared" si="10"/>
        <v>4.1212122265458868</v>
      </c>
    </row>
    <row r="31" spans="1:22" x14ac:dyDescent="0.3">
      <c r="A31" s="11" t="s">
        <v>3</v>
      </c>
      <c r="I31">
        <f t="shared" si="11"/>
        <v>1700</v>
      </c>
      <c r="J31">
        <f t="shared" si="12"/>
        <v>94.840699553784745</v>
      </c>
      <c r="K31">
        <f t="shared" si="13"/>
        <v>151.44569232184745</v>
      </c>
      <c r="L31">
        <f t="shared" si="14"/>
        <v>59.284892848050205</v>
      </c>
      <c r="M31">
        <f t="shared" si="15"/>
        <v>33.132932637527027</v>
      </c>
      <c r="N31">
        <f t="shared" si="16"/>
        <v>35.347358215075538</v>
      </c>
      <c r="P31">
        <f t="shared" si="5"/>
        <v>5.9127618175676275</v>
      </c>
      <c r="Q31">
        <f t="shared" si="6"/>
        <v>5.0364380552659611</v>
      </c>
      <c r="R31">
        <f t="shared" si="7"/>
        <v>1.3470777743251581</v>
      </c>
      <c r="S31">
        <f t="shared" si="8"/>
        <v>16.435964758580383</v>
      </c>
      <c r="T31">
        <f t="shared" si="9"/>
        <v>1.2618017882540333</v>
      </c>
      <c r="V31">
        <f t="shared" si="10"/>
        <v>4.1655668460601092</v>
      </c>
    </row>
    <row r="32" spans="1:22" x14ac:dyDescent="0.3">
      <c r="A32" s="1" t="s">
        <v>60</v>
      </c>
      <c r="C32" s="1" t="s">
        <v>88</v>
      </c>
      <c r="D32" s="1" t="s">
        <v>89</v>
      </c>
      <c r="E32" s="1" t="s">
        <v>90</v>
      </c>
      <c r="F32" s="1" t="s">
        <v>91</v>
      </c>
      <c r="G32" s="1" t="s">
        <v>92</v>
      </c>
      <c r="H32" s="1"/>
      <c r="I32">
        <f t="shared" si="11"/>
        <v>1750</v>
      </c>
      <c r="J32">
        <f t="shared" si="12"/>
        <v>95.916829462348048</v>
      </c>
      <c r="K32">
        <f t="shared" si="13"/>
        <v>152.79406919577772</v>
      </c>
      <c r="L32">
        <f t="shared" si="14"/>
        <v>59.513254764886092</v>
      </c>
      <c r="M32">
        <f t="shared" si="15"/>
        <v>33.317908714659573</v>
      </c>
      <c r="N32">
        <f t="shared" si="16"/>
        <v>35.473909506587901</v>
      </c>
      <c r="P32">
        <f t="shared" si="5"/>
        <v>5.9798522108695797</v>
      </c>
      <c r="Q32">
        <f t="shared" si="6"/>
        <v>5.0812793214425582</v>
      </c>
      <c r="R32">
        <f t="shared" si="7"/>
        <v>1.3522666386022744</v>
      </c>
      <c r="S32">
        <f t="shared" si="8"/>
        <v>16.527724226967663</v>
      </c>
      <c r="T32">
        <f t="shared" si="9"/>
        <v>1.2663193152772567</v>
      </c>
      <c r="V32">
        <f t="shared" si="10"/>
        <v>4.2079361525709889</v>
      </c>
    </row>
    <row r="33" spans="1:22" x14ac:dyDescent="0.3">
      <c r="A33" s="13"/>
      <c r="B33" s="1" t="s">
        <v>95</v>
      </c>
      <c r="C33" s="40">
        <v>3.53100528</v>
      </c>
      <c r="D33" s="40">
        <v>-1.2366098700000001E-4</v>
      </c>
      <c r="E33" s="40">
        <v>-5.0299943699999996E-7</v>
      </c>
      <c r="F33" s="40">
        <v>2.43530612E-9</v>
      </c>
      <c r="G33" s="40">
        <v>-1.4088123500000001E-12</v>
      </c>
      <c r="I33">
        <f t="shared" si="11"/>
        <v>1800</v>
      </c>
      <c r="J33">
        <f t="shared" si="12"/>
        <v>96.945546947148586</v>
      </c>
      <c r="K33">
        <f t="shared" si="13"/>
        <v>154.06664865901647</v>
      </c>
      <c r="L33">
        <f t="shared" si="14"/>
        <v>59.728220877912733</v>
      </c>
      <c r="M33">
        <f t="shared" si="15"/>
        <v>33.499635558194406</v>
      </c>
      <c r="N33">
        <f t="shared" si="16"/>
        <v>35.593615812995942</v>
      </c>
      <c r="P33">
        <f t="shared" si="5"/>
        <v>6.0439867174032784</v>
      </c>
      <c r="Q33">
        <f t="shared" si="6"/>
        <v>5.1235998888931311</v>
      </c>
      <c r="R33">
        <f t="shared" si="7"/>
        <v>1.3571511219702963</v>
      </c>
      <c r="S33">
        <f t="shared" si="8"/>
        <v>16.617871876398596</v>
      </c>
      <c r="T33">
        <f t="shared" si="9"/>
        <v>1.270592495484159</v>
      </c>
      <c r="V33">
        <f t="shared" si="10"/>
        <v>4.2483998585309353</v>
      </c>
    </row>
    <row r="34" spans="1:22" x14ac:dyDescent="0.3">
      <c r="A34" s="13"/>
      <c r="B34" s="1" t="s">
        <v>96</v>
      </c>
      <c r="C34" s="40">
        <v>2.9525762599999998</v>
      </c>
      <c r="D34" s="40">
        <v>1.3969005700000001E-3</v>
      </c>
      <c r="E34" s="40">
        <v>-4.9263169100000003E-7</v>
      </c>
      <c r="F34" s="40">
        <v>7.8601036699999999E-11</v>
      </c>
      <c r="G34" s="40">
        <v>-4.6075532099999999E-15</v>
      </c>
      <c r="I34">
        <f t="shared" si="11"/>
        <v>1850</v>
      </c>
      <c r="J34">
        <f t="shared" si="12"/>
        <v>97.92879099533404</v>
      </c>
      <c r="K34">
        <f t="shared" si="13"/>
        <v>155.26658842178927</v>
      </c>
      <c r="L34">
        <f t="shared" si="14"/>
        <v>59.93038565171841</v>
      </c>
      <c r="M34">
        <f t="shared" si="15"/>
        <v>33.678178766649864</v>
      </c>
      <c r="N34">
        <f t="shared" si="16"/>
        <v>35.706763282789829</v>
      </c>
      <c r="P34">
        <f t="shared" si="5"/>
        <v>6.1052862216542421</v>
      </c>
      <c r="Q34">
        <f t="shared" si="6"/>
        <v>5.1635047695972487</v>
      </c>
      <c r="R34">
        <f t="shared" si="7"/>
        <v>1.3617447319181644</v>
      </c>
      <c r="S34">
        <f t="shared" si="8"/>
        <v>16.706440247757733</v>
      </c>
      <c r="T34">
        <f t="shared" si="9"/>
        <v>1.2746315435752114</v>
      </c>
      <c r="V34">
        <f t="shared" si="10"/>
        <v>4.2870360936155913</v>
      </c>
    </row>
    <row r="35" spans="1:22" x14ac:dyDescent="0.3">
      <c r="A35" s="13"/>
      <c r="I35">
        <f>I34+50</f>
        <v>1900</v>
      </c>
      <c r="J35">
        <f t="shared" si="12"/>
        <v>98.868461243284756</v>
      </c>
      <c r="K35">
        <f t="shared" si="13"/>
        <v>156.3969809461247</v>
      </c>
      <c r="L35">
        <f t="shared" si="14"/>
        <v>60.120332125464202</v>
      </c>
      <c r="M35">
        <f t="shared" si="15"/>
        <v>33.853603079483555</v>
      </c>
      <c r="N35">
        <f t="shared" si="16"/>
        <v>35.8136323180277</v>
      </c>
      <c r="P35">
        <f t="shared" si="5"/>
        <v>6.1638691548182516</v>
      </c>
      <c r="Q35">
        <f t="shared" si="6"/>
        <v>5.2010968056576221</v>
      </c>
      <c r="R35">
        <f t="shared" si="7"/>
        <v>1.3660607163250218</v>
      </c>
      <c r="S35">
        <f t="shared" si="8"/>
        <v>16.793461455782861</v>
      </c>
      <c r="T35">
        <f t="shared" si="9"/>
        <v>1.2784464691193393</v>
      </c>
      <c r="V35">
        <f t="shared" si="10"/>
        <v>4.3239214047238299</v>
      </c>
    </row>
    <row r="36" spans="1:22" x14ac:dyDescent="0.3">
      <c r="A36" s="13"/>
      <c r="I36">
        <f t="shared" si="11"/>
        <v>1950</v>
      </c>
      <c r="J36">
        <f t="shared" si="12"/>
        <v>99.766417976613596</v>
      </c>
      <c r="K36">
        <f t="shared" si="13"/>
        <v>157.46085344585472</v>
      </c>
      <c r="L36">
        <f t="shared" si="14"/>
        <v>60.298631912884105</v>
      </c>
      <c r="M36">
        <f t="shared" si="15"/>
        <v>34.02597237709238</v>
      </c>
      <c r="N36">
        <f t="shared" si="16"/>
        <v>35.914497574335535</v>
      </c>
      <c r="P36">
        <f t="shared" si="5"/>
        <v>6.2198514948013468</v>
      </c>
      <c r="Q36">
        <f t="shared" si="6"/>
        <v>5.2364766693001235</v>
      </c>
      <c r="R36">
        <f t="shared" si="7"/>
        <v>1.370112063460216</v>
      </c>
      <c r="S36">
        <f t="shared" si="8"/>
        <v>16.878967189065012</v>
      </c>
      <c r="T36">
        <f t="shared" si="9"/>
        <v>1.2820470765539183</v>
      </c>
      <c r="V36">
        <f t="shared" si="10"/>
        <v>4.3591307559777546</v>
      </c>
    </row>
    <row r="37" spans="1:22" x14ac:dyDescent="0.3">
      <c r="I37">
        <f t="shared" si="11"/>
        <v>2000</v>
      </c>
      <c r="J37">
        <f t="shared" si="12"/>
        <v>100.6244821301661</v>
      </c>
      <c r="K37">
        <f t="shared" si="13"/>
        <v>158.46116788661433</v>
      </c>
      <c r="L37">
        <f t="shared" si="14"/>
        <v>60.465845202284839</v>
      </c>
      <c r="M37">
        <f t="shared" si="15"/>
        <v>34.195349680812583</v>
      </c>
      <c r="N37">
        <f t="shared" si="16"/>
        <v>36.009627960907267</v>
      </c>
      <c r="P37">
        <f t="shared" si="5"/>
        <v>6.2733467662198317</v>
      </c>
      <c r="Q37">
        <f t="shared" si="6"/>
        <v>5.2697428628737724</v>
      </c>
      <c r="R37">
        <f t="shared" si="7"/>
        <v>1.3739115019832957</v>
      </c>
      <c r="S37">
        <f t="shared" si="8"/>
        <v>16.962988710048506</v>
      </c>
      <c r="T37">
        <f t="shared" si="9"/>
        <v>1.2854429651847783</v>
      </c>
      <c r="V37">
        <f t="shared" si="10"/>
        <v>4.3927375287226988</v>
      </c>
    </row>
    <row r="38" spans="1:22" x14ac:dyDescent="0.3">
      <c r="D38" t="s">
        <v>119</v>
      </c>
      <c r="E38" t="s">
        <v>119</v>
      </c>
      <c r="I38">
        <f>I37+50</f>
        <v>2050</v>
      </c>
      <c r="J38">
        <f t="shared" si="12"/>
        <v>101.44443528802049</v>
      </c>
      <c r="K38">
        <f t="shared" si="13"/>
        <v>159.40082098584182</v>
      </c>
      <c r="L38">
        <f t="shared" si="14"/>
        <v>60.622520756546059</v>
      </c>
      <c r="M38">
        <f t="shared" si="15"/>
        <v>34.361797152919671</v>
      </c>
      <c r="N38">
        <f t="shared" si="16"/>
        <v>36.099286640504737</v>
      </c>
      <c r="P38">
        <f t="shared" si="5"/>
        <v>6.3244660404002797</v>
      </c>
      <c r="Q38">
        <f t="shared" si="6"/>
        <v>5.3009917188507423</v>
      </c>
      <c r="R38">
        <f t="shared" si="7"/>
        <v>1.3774715009440142</v>
      </c>
      <c r="S38">
        <f t="shared" si="8"/>
        <v>17.045556855030888</v>
      </c>
      <c r="T38">
        <f t="shared" si="9"/>
        <v>1.2886435291862015</v>
      </c>
      <c r="V38">
        <f t="shared" si="10"/>
        <v>4.4248135215272315</v>
      </c>
    </row>
    <row r="39" spans="1:22" x14ac:dyDescent="0.3">
      <c r="C39" s="1" t="s">
        <v>7</v>
      </c>
      <c r="D39" s="1" t="s">
        <v>14</v>
      </c>
    </row>
    <row r="40" spans="1:22" x14ac:dyDescent="0.3">
      <c r="B40" t="s">
        <v>111</v>
      </c>
      <c r="C40" s="2">
        <v>30.07</v>
      </c>
      <c r="D40">
        <f xml:space="preserve"> 0.048603</f>
        <v>4.8603E-2</v>
      </c>
      <c r="E40">
        <f>D40/D$50</f>
        <v>4.9687829784526259E-2</v>
      </c>
    </row>
    <row r="41" spans="1:22" x14ac:dyDescent="0.3">
      <c r="B41" t="s">
        <v>1</v>
      </c>
      <c r="C41" s="2">
        <v>2.0158800000000001</v>
      </c>
      <c r="D41">
        <f>0.004932092641585</f>
        <v>4.9320926415850003E-3</v>
      </c>
      <c r="E41">
        <f t="shared" ref="E41:E44" si="17">D41/D$50</f>
        <v>5.0421780477869675E-3</v>
      </c>
    </row>
    <row r="42" spans="1:22" x14ac:dyDescent="0.3">
      <c r="B42" t="s">
        <v>9</v>
      </c>
      <c r="C42" s="2">
        <v>16.04</v>
      </c>
      <c r="D42">
        <f>0.55119</f>
        <v>0.55118999999999996</v>
      </c>
      <c r="E42">
        <f t="shared" si="17"/>
        <v>0.56349268355725013</v>
      </c>
    </row>
    <row r="43" spans="1:22" x14ac:dyDescent="0.3">
      <c r="B43" t="s">
        <v>2</v>
      </c>
      <c r="C43" s="2">
        <v>44.01</v>
      </c>
      <c r="D43">
        <f>0.21701</f>
        <v>0.21701000000000001</v>
      </c>
      <c r="E43">
        <f t="shared" si="17"/>
        <v>0.22185371153097636</v>
      </c>
    </row>
    <row r="44" spans="1:22" x14ac:dyDescent="0.3">
      <c r="B44" t="s">
        <v>3</v>
      </c>
      <c r="C44" s="2">
        <v>28.013400000000001</v>
      </c>
      <c r="D44">
        <f>0.156432</f>
        <v>0.15643199999999999</v>
      </c>
      <c r="E44">
        <f t="shared" si="17"/>
        <v>0.15992359707946033</v>
      </c>
    </row>
    <row r="45" spans="1:22" x14ac:dyDescent="0.3">
      <c r="B45" t="s">
        <v>4</v>
      </c>
      <c r="C45" s="2">
        <f>15.999*2</f>
        <v>31.998000000000001</v>
      </c>
    </row>
    <row r="46" spans="1:22" x14ac:dyDescent="0.3">
      <c r="B46" t="s">
        <v>11</v>
      </c>
      <c r="C46" s="2">
        <v>12.0107</v>
      </c>
    </row>
    <row r="47" spans="1:22" x14ac:dyDescent="0.3">
      <c r="B47" t="s">
        <v>12</v>
      </c>
      <c r="C47" s="2">
        <v>15.999000000000001</v>
      </c>
    </row>
    <row r="48" spans="1:22" x14ac:dyDescent="0.3">
      <c r="B48" t="s">
        <v>13</v>
      </c>
      <c r="C48" s="2">
        <v>1.0079400000000001</v>
      </c>
    </row>
    <row r="50" spans="4:5" x14ac:dyDescent="0.3">
      <c r="D50" s="1">
        <f>SUM(D40:D44)</f>
        <v>0.97816709264158497</v>
      </c>
      <c r="E50" s="1">
        <f>SUM(E40:E44)</f>
        <v>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"/>
  <sheetViews>
    <sheetView topLeftCell="A10" zoomScale="75" zoomScaleNormal="75" workbookViewId="0">
      <selection activeCell="V3" sqref="V3"/>
    </sheetView>
  </sheetViews>
  <sheetFormatPr defaultRowHeight="14.4" x14ac:dyDescent="0.3"/>
  <cols>
    <col min="2" max="2" width="18.109375" customWidth="1"/>
    <col min="3" max="3" width="18.44140625" customWidth="1"/>
    <col min="4" max="4" width="17.33203125" customWidth="1"/>
    <col min="5" max="5" width="18.109375" customWidth="1"/>
    <col min="6" max="6" width="20.77734375" customWidth="1"/>
    <col min="7" max="7" width="18.21875" customWidth="1"/>
  </cols>
  <sheetData>
    <row r="1" spans="1:22" ht="18" x14ac:dyDescent="0.35">
      <c r="A1" s="10" t="s">
        <v>50</v>
      </c>
      <c r="F1" s="1" t="s">
        <v>101</v>
      </c>
      <c r="G1" s="1">
        <v>8.3145100000000003</v>
      </c>
      <c r="I1" s="1" t="s">
        <v>28</v>
      </c>
      <c r="J1" s="1" t="s">
        <v>97</v>
      </c>
      <c r="K1" s="1" t="s">
        <v>114</v>
      </c>
      <c r="L1" s="1" t="s">
        <v>98</v>
      </c>
      <c r="M1" s="1" t="s">
        <v>99</v>
      </c>
      <c r="N1" s="1" t="s">
        <v>100</v>
      </c>
      <c r="P1" s="1" t="s">
        <v>97</v>
      </c>
      <c r="Q1" s="1" t="s">
        <v>114</v>
      </c>
      <c r="R1" s="1" t="s">
        <v>98</v>
      </c>
      <c r="S1" s="1" t="s">
        <v>99</v>
      </c>
      <c r="T1" s="1" t="s">
        <v>100</v>
      </c>
      <c r="V1" s="1" t="s">
        <v>104</v>
      </c>
    </row>
    <row r="2" spans="1:22" x14ac:dyDescent="0.3">
      <c r="J2" s="41" t="s">
        <v>102</v>
      </c>
      <c r="K2" s="41" t="s">
        <v>102</v>
      </c>
      <c r="L2" s="41" t="s">
        <v>102</v>
      </c>
      <c r="M2" s="41" t="s">
        <v>102</v>
      </c>
      <c r="N2" s="41" t="s">
        <v>102</v>
      </c>
      <c r="P2" s="41" t="s">
        <v>103</v>
      </c>
      <c r="Q2" s="41" t="s">
        <v>103</v>
      </c>
      <c r="R2" s="41" t="s">
        <v>103</v>
      </c>
      <c r="S2" s="41" t="s">
        <v>103</v>
      </c>
      <c r="T2" s="41" t="s">
        <v>103</v>
      </c>
      <c r="V2" s="41" t="s">
        <v>103</v>
      </c>
    </row>
    <row r="3" spans="1:22" x14ac:dyDescent="0.3">
      <c r="A3" s="11" t="s">
        <v>5</v>
      </c>
      <c r="I3">
        <v>300</v>
      </c>
      <c r="J3">
        <f>($C$5+$D$5*$I3+$E$5*$I3^2+$F$5*$I3^3+$G$5*$I3^4)*$G$1</f>
        <v>35.76073923118598</v>
      </c>
      <c r="K3">
        <f>($C$12+$D$12*$I3+$E$12*$I3^2+$F$12*$I3^3+$G$12*$I3^4)*$G$1</f>
        <v>52.719673931516716</v>
      </c>
      <c r="L3">
        <f>($C$19+$D$19*$I3+$E$19*$I3^2+$F$19*$I3^3+$G$19*$I3^4)*$G$1</f>
        <v>37.217959072359022</v>
      </c>
      <c r="M3">
        <f>($C$26+$D$26*$I3+$E$26*$I3^2+$F$26*$I3^3+$G$26*$I3^4)*$G$1</f>
        <v>28.850949407552562</v>
      </c>
      <c r="N3">
        <f>($C$33+$D$33*$I3+$E$33*$I3^2+$F$33*$I3^3+$G$33*$I3^4)*$G$1</f>
        <v>29.125553258258435</v>
      </c>
      <c r="P3">
        <f>J3/$C$42</f>
        <v>2.229472520647505</v>
      </c>
      <c r="Q3">
        <f>K3/$C$40</f>
        <v>1.7532315906723217</v>
      </c>
      <c r="R3">
        <f>L3/$C$43</f>
        <v>0.84567050834717161</v>
      </c>
      <c r="S3">
        <f>M3/$C$41</f>
        <v>14.311838704462845</v>
      </c>
      <c r="T3">
        <f>N3/$C$44</f>
        <v>1.0397007595742906</v>
      </c>
      <c r="V3">
        <f>D$42*P3+D$40*Q3+D$43*R3+D$41*S3+D$44*T3</f>
        <v>2.0603784865923087</v>
      </c>
    </row>
    <row r="4" spans="1:22" x14ac:dyDescent="0.3">
      <c r="A4" s="1" t="s">
        <v>60</v>
      </c>
      <c r="C4" s="1" t="s">
        <v>88</v>
      </c>
      <c r="D4" s="1" t="s">
        <v>89</v>
      </c>
      <c r="E4" s="1" t="s">
        <v>90</v>
      </c>
      <c r="F4" s="1" t="s">
        <v>91</v>
      </c>
      <c r="G4" s="1" t="s">
        <v>92</v>
      </c>
      <c r="I4">
        <f>I3+50</f>
        <v>350</v>
      </c>
      <c r="J4">
        <f t="shared" ref="J4:J17" si="0">($C$5+$D$5*$I4+$E$5*$I4^2+$F$5*$I4^3+$G$5*$I4^4)*$G$1</f>
        <v>37.925808254513782</v>
      </c>
      <c r="K4">
        <f t="shared" ref="K4:K17" si="1">($C$12+$D$12*$I4+$E$12*$I4^2+$F$12*$I4^3+$G$12*$I4^4)*$G$1</f>
        <v>58.822259738391693</v>
      </c>
      <c r="L4">
        <f t="shared" ref="L4:L17" si="2">($C$19+$D$19*$I4+$E$19*$I4^2+$F$19*$I4^3+$G$19*$I4^4)*$G$1</f>
        <v>39.344488716155759</v>
      </c>
      <c r="M4">
        <f t="shared" ref="M4:M17" si="3">($C$26+$D$26*$I4+$E$26*$I4^2+$F$26*$I4^3+$G$26*$I4^4)*$G$1</f>
        <v>29.142294136395741</v>
      </c>
      <c r="N4">
        <f t="shared" ref="N4:N17" si="4">($C$33+$D$33*$I4+$E$33*$I4^2+$F$33*$I4^3+$G$33*$I4^4)*$G$1</f>
        <v>29.178768976715464</v>
      </c>
      <c r="P4">
        <f t="shared" ref="P4:P38" si="5">J4/C$42</f>
        <v>2.3644518861916324</v>
      </c>
      <c r="Q4">
        <f t="shared" ref="Q4:Q38" si="6">K4/$C$40</f>
        <v>1.9561775769335448</v>
      </c>
      <c r="R4">
        <f t="shared" ref="R4:R38" si="7">L4/$C$43</f>
        <v>0.89398974587947655</v>
      </c>
      <c r="S4">
        <f t="shared" ref="S4:S38" si="8">M4/$C$41</f>
        <v>14.456363541676954</v>
      </c>
      <c r="T4">
        <f t="shared" ref="T4:T38" si="9">N4/$C$44</f>
        <v>1.041600411828463</v>
      </c>
      <c r="V4">
        <f t="shared" ref="V4:V38" si="10">D$42*P4+D$40*Q4+D$43*R4+D$41*S4+D$44*T4</f>
        <v>2.1713332471296418</v>
      </c>
    </row>
    <row r="5" spans="1:22" x14ac:dyDescent="0.3">
      <c r="A5" s="13"/>
      <c r="B5" s="1" t="s">
        <v>95</v>
      </c>
      <c r="C5" s="40">
        <v>5.14987613</v>
      </c>
      <c r="D5" s="40">
        <v>-1.3670978800000001E-2</v>
      </c>
      <c r="E5" s="40">
        <v>4.9180059899999999E-5</v>
      </c>
      <c r="F5" s="40">
        <v>-4.8474302600000002E-8</v>
      </c>
      <c r="G5" s="40">
        <v>1.6669395599999999E-11</v>
      </c>
      <c r="I5">
        <f t="shared" ref="I5:I37" si="11">I4+50</f>
        <v>400</v>
      </c>
      <c r="J5">
        <f t="shared" si="0"/>
        <v>40.530536985568467</v>
      </c>
      <c r="K5">
        <f t="shared" si="1"/>
        <v>65.1481086171935</v>
      </c>
      <c r="L5">
        <f t="shared" si="2"/>
        <v>41.277814449618745</v>
      </c>
      <c r="M5">
        <f t="shared" si="3"/>
        <v>29.277618420924082</v>
      </c>
      <c r="N5">
        <f t="shared" si="4"/>
        <v>29.274183863266309</v>
      </c>
      <c r="P5">
        <f t="shared" si="5"/>
        <v>2.5268414579531466</v>
      </c>
      <c r="Q5">
        <f t="shared" si="6"/>
        <v>2.1665483411105253</v>
      </c>
      <c r="R5">
        <f t="shared" si="7"/>
        <v>0.93791898317697675</v>
      </c>
      <c r="S5">
        <f t="shared" si="8"/>
        <v>14.523492678594003</v>
      </c>
      <c r="T5">
        <f t="shared" si="9"/>
        <v>1.0450064563125614</v>
      </c>
      <c r="V5">
        <f t="shared" si="10"/>
        <v>2.3009162739184745</v>
      </c>
    </row>
    <row r="6" spans="1:22" x14ac:dyDescent="0.3">
      <c r="A6" s="13"/>
      <c r="B6" s="1" t="s">
        <v>96</v>
      </c>
      <c r="C6" s="40">
        <v>1.6355264300000001</v>
      </c>
      <c r="D6" s="40">
        <v>1.00842795E-2</v>
      </c>
      <c r="E6" s="40">
        <v>-3.3691625399999999E-6</v>
      </c>
      <c r="F6" s="40">
        <v>5.3495866700000002E-10</v>
      </c>
      <c r="G6" s="40">
        <v>-3.15518833E-14</v>
      </c>
      <c r="I6">
        <f t="shared" si="11"/>
        <v>450</v>
      </c>
      <c r="J6">
        <f t="shared" si="0"/>
        <v>43.428567957528422</v>
      </c>
      <c r="K6">
        <f t="shared" si="1"/>
        <v>71.506753251681715</v>
      </c>
      <c r="L6">
        <f t="shared" si="2"/>
        <v>43.031927353760047</v>
      </c>
      <c r="M6">
        <f t="shared" si="3"/>
        <v>29.313625346400649</v>
      </c>
      <c r="N6">
        <f t="shared" si="4"/>
        <v>29.413806418308102</v>
      </c>
      <c r="P6">
        <f t="shared" si="5"/>
        <v>2.7075167055815728</v>
      </c>
      <c r="Q6">
        <f t="shared" si="6"/>
        <v>2.3780097523006889</v>
      </c>
      <c r="R6">
        <f t="shared" si="7"/>
        <v>0.97777612710202333</v>
      </c>
      <c r="S6">
        <f t="shared" si="8"/>
        <v>14.541354319900314</v>
      </c>
      <c r="T6">
        <f t="shared" si="9"/>
        <v>1.0499905908710867</v>
      </c>
      <c r="V6">
        <f t="shared" si="10"/>
        <v>2.4427563747556822</v>
      </c>
    </row>
    <row r="7" spans="1:22" x14ac:dyDescent="0.3">
      <c r="A7" s="13"/>
      <c r="I7">
        <f t="shared" si="11"/>
        <v>500</v>
      </c>
      <c r="J7">
        <f t="shared" si="0"/>
        <v>46.494333382033552</v>
      </c>
      <c r="K7">
        <f t="shared" si="1"/>
        <v>77.741236183563402</v>
      </c>
      <c r="L7">
        <f t="shared" si="2"/>
        <v>44.620639290892512</v>
      </c>
      <c r="M7">
        <f t="shared" si="3"/>
        <v>29.297818677544136</v>
      </c>
      <c r="N7">
        <f t="shared" si="4"/>
        <v>29.597888104582143</v>
      </c>
      <c r="P7">
        <f t="shared" si="5"/>
        <v>2.898649213343738</v>
      </c>
      <c r="Q7">
        <f t="shared" si="6"/>
        <v>2.5853420746113533</v>
      </c>
      <c r="R7">
        <f t="shared" si="7"/>
        <v>1.0138750122902185</v>
      </c>
      <c r="S7">
        <f t="shared" si="8"/>
        <v>14.533513243617742</v>
      </c>
      <c r="T7">
        <f t="shared" si="9"/>
        <v>1.0565617920203239</v>
      </c>
      <c r="V7">
        <f t="shared" si="10"/>
        <v>2.5913868354493044</v>
      </c>
    </row>
    <row r="8" spans="1:22" x14ac:dyDescent="0.3">
      <c r="A8" s="13"/>
      <c r="I8">
        <f t="shared" si="11"/>
        <v>550</v>
      </c>
      <c r="J8">
        <f t="shared" si="0"/>
        <v>49.623055149185269</v>
      </c>
      <c r="K8">
        <f t="shared" si="1"/>
        <v>83.728109812493202</v>
      </c>
      <c r="L8">
        <f t="shared" si="2"/>
        <v>46.057582904629584</v>
      </c>
      <c r="M8">
        <f t="shared" si="3"/>
        <v>29.268502858528741</v>
      </c>
      <c r="N8">
        <f t="shared" si="4"/>
        <v>29.824923347173897</v>
      </c>
      <c r="P8">
        <f t="shared" si="5"/>
        <v>3.0937066801237703</v>
      </c>
      <c r="Q8">
        <f t="shared" si="6"/>
        <v>2.784439967159734</v>
      </c>
      <c r="R8">
        <f t="shared" si="7"/>
        <v>1.046525401150411</v>
      </c>
      <c r="S8">
        <f t="shared" si="8"/>
        <v>14.518970801103608</v>
      </c>
      <c r="T8">
        <f t="shared" si="9"/>
        <v>1.0646663149483424</v>
      </c>
      <c r="V8">
        <f t="shared" si="10"/>
        <v>2.7422454198185413</v>
      </c>
    </row>
    <row r="9" spans="1:22" x14ac:dyDescent="0.3">
      <c r="I9">
        <f t="shared" si="11"/>
        <v>600</v>
      </c>
      <c r="J9">
        <f t="shared" si="0"/>
        <v>52.730744827546538</v>
      </c>
      <c r="K9">
        <f t="shared" si="1"/>
        <v>89.37743639607335</v>
      </c>
      <c r="L9">
        <f t="shared" si="2"/>
        <v>47.3562116198854</v>
      </c>
      <c r="M9">
        <f t="shared" si="3"/>
        <v>29.254783012984266</v>
      </c>
      <c r="N9">
        <f t="shared" si="4"/>
        <v>30.091649533512999</v>
      </c>
      <c r="P9">
        <f t="shared" si="5"/>
        <v>3.2874529194231008</v>
      </c>
      <c r="Q9">
        <f t="shared" si="6"/>
        <v>2.9723124840729414</v>
      </c>
      <c r="R9">
        <f t="shared" si="7"/>
        <v>1.0760329838646989</v>
      </c>
      <c r="S9">
        <f t="shared" si="8"/>
        <v>14.512164917050749</v>
      </c>
      <c r="T9">
        <f t="shared" si="9"/>
        <v>1.0741876935149963</v>
      </c>
      <c r="V9">
        <f t="shared" si="10"/>
        <v>2.8916743696937584</v>
      </c>
    </row>
    <row r="10" spans="1:22" x14ac:dyDescent="0.3">
      <c r="A10" s="11" t="s">
        <v>111</v>
      </c>
      <c r="I10">
        <f t="shared" si="11"/>
        <v>650</v>
      </c>
      <c r="J10">
        <f t="shared" si="0"/>
        <v>55.754203664141819</v>
      </c>
      <c r="K10">
        <f t="shared" si="1"/>
        <v>94.632788049853616</v>
      </c>
      <c r="L10">
        <f t="shared" si="2"/>
        <v>48.529799642874792</v>
      </c>
      <c r="M10">
        <f t="shared" si="3"/>
        <v>29.276564943996107</v>
      </c>
      <c r="N10">
        <f t="shared" si="4"/>
        <v>30.393047013373266</v>
      </c>
      <c r="P10">
        <f t="shared" si="5"/>
        <v>3.4759478593604629</v>
      </c>
      <c r="Q10">
        <f t="shared" si="6"/>
        <v>3.1470830744879819</v>
      </c>
      <c r="R10">
        <f t="shared" si="7"/>
        <v>1.1026993783884298</v>
      </c>
      <c r="S10">
        <f t="shared" si="8"/>
        <v>14.522970089487522</v>
      </c>
      <c r="T10">
        <f t="shared" si="9"/>
        <v>1.0849467402519246</v>
      </c>
      <c r="V10">
        <f t="shared" si="10"/>
        <v>3.0369204049164855</v>
      </c>
    </row>
    <row r="11" spans="1:22" x14ac:dyDescent="0.3">
      <c r="A11" s="1" t="s">
        <v>60</v>
      </c>
      <c r="C11" s="1" t="s">
        <v>88</v>
      </c>
      <c r="D11" s="1" t="s">
        <v>89</v>
      </c>
      <c r="E11" s="1" t="s">
        <v>90</v>
      </c>
      <c r="F11" s="1" t="s">
        <v>91</v>
      </c>
      <c r="G11" s="1" t="s">
        <v>92</v>
      </c>
      <c r="H11" s="1"/>
      <c r="I11">
        <f t="shared" si="11"/>
        <v>700</v>
      </c>
      <c r="J11">
        <f t="shared" si="0"/>
        <v>58.651022584457152</v>
      </c>
      <c r="K11">
        <f t="shared" si="1"/>
        <v>99.47124674733135</v>
      </c>
      <c r="L11">
        <f t="shared" si="2"/>
        <v>49.591441961113254</v>
      </c>
      <c r="M11">
        <f t="shared" si="3"/>
        <v>29.344555134105182</v>
      </c>
      <c r="N11">
        <f t="shared" si="4"/>
        <v>30.72233909887267</v>
      </c>
      <c r="P11">
        <f t="shared" si="5"/>
        <v>3.6565475426718925</v>
      </c>
      <c r="Q11">
        <f t="shared" si="6"/>
        <v>3.3079895825517576</v>
      </c>
      <c r="R11">
        <f t="shared" si="7"/>
        <v>1.1268221304501991</v>
      </c>
      <c r="S11">
        <f t="shared" si="8"/>
        <v>14.556697389777755</v>
      </c>
      <c r="T11">
        <f t="shared" si="9"/>
        <v>1.0967015463625505</v>
      </c>
      <c r="V11">
        <f t="shared" si="10"/>
        <v>3.1761347233394153</v>
      </c>
    </row>
    <row r="12" spans="1:22" x14ac:dyDescent="0.3">
      <c r="A12" s="13"/>
      <c r="B12" s="1" t="s">
        <v>95</v>
      </c>
      <c r="C12" s="40">
        <v>4.2914249199999999</v>
      </c>
      <c r="D12" s="40">
        <v>-5.5015426999999997E-3</v>
      </c>
      <c r="E12" s="40">
        <v>5.9943828800000003E-5</v>
      </c>
      <c r="F12" s="40">
        <v>-7.0846628500000001E-8</v>
      </c>
      <c r="G12" s="40">
        <v>2.6868577099999999E-11</v>
      </c>
      <c r="I12">
        <f t="shared" si="11"/>
        <v>750</v>
      </c>
      <c r="J12">
        <f t="shared" si="0"/>
        <v>61.399582192439986</v>
      </c>
      <c r="K12">
        <f t="shared" si="1"/>
        <v>103.90340431995136</v>
      </c>
      <c r="L12">
        <f t="shared" si="2"/>
        <v>50.554054343416944</v>
      </c>
      <c r="M12">
        <f t="shared" si="3"/>
        <v>29.460260745308002</v>
      </c>
      <c r="N12">
        <f t="shared" si="4"/>
        <v>31.070992064473359</v>
      </c>
      <c r="P12">
        <f t="shared" si="5"/>
        <v>3.8279041267107226</v>
      </c>
      <c r="Q12">
        <f t="shared" si="6"/>
        <v>3.4553842474210628</v>
      </c>
      <c r="R12">
        <f t="shared" si="7"/>
        <v>1.1486947135518506</v>
      </c>
      <c r="S12">
        <f t="shared" si="8"/>
        <v>14.614094462620791</v>
      </c>
      <c r="T12">
        <f t="shared" si="9"/>
        <v>1.1091474817220814</v>
      </c>
      <c r="V12">
        <f t="shared" si="10"/>
        <v>3.3083730008264012</v>
      </c>
    </row>
    <row r="13" spans="1:22" x14ac:dyDescent="0.3">
      <c r="A13" s="13"/>
      <c r="B13" s="1" t="s">
        <v>96</v>
      </c>
      <c r="C13" s="40">
        <v>4.04666674</v>
      </c>
      <c r="D13" s="40">
        <v>1.53538766E-2</v>
      </c>
      <c r="E13" s="40">
        <v>-5.4703932099999999E-6</v>
      </c>
      <c r="F13" s="40">
        <v>8.7782622800000003E-10</v>
      </c>
      <c r="G13" s="40">
        <v>-5.2316730500000003E-14</v>
      </c>
      <c r="I13">
        <f t="shared" si="11"/>
        <v>800</v>
      </c>
      <c r="J13">
        <f t="shared" si="0"/>
        <v>63.999052770499432</v>
      </c>
      <c r="K13">
        <f t="shared" si="1"/>
        <v>107.97336245710616</v>
      </c>
      <c r="L13">
        <f t="shared" si="2"/>
        <v>51.43037333990268</v>
      </c>
      <c r="M13">
        <f t="shared" si="3"/>
        <v>29.615989619056688</v>
      </c>
      <c r="N13">
        <f t="shared" si="4"/>
        <v>31.428715146981656</v>
      </c>
      <c r="P13">
        <f t="shared" si="5"/>
        <v>3.9899658834475957</v>
      </c>
      <c r="Q13">
        <f t="shared" si="6"/>
        <v>3.5907337032625928</v>
      </c>
      <c r="R13">
        <f t="shared" si="7"/>
        <v>1.1686065289684773</v>
      </c>
      <c r="S13">
        <f t="shared" si="8"/>
        <v>14.691345526051494</v>
      </c>
      <c r="T13">
        <f t="shared" si="9"/>
        <v>1.1219171948775106</v>
      </c>
      <c r="V13">
        <f t="shared" si="10"/>
        <v>3.4335953912524628</v>
      </c>
    </row>
    <row r="14" spans="1:22" x14ac:dyDescent="0.3">
      <c r="A14" s="13"/>
      <c r="I14">
        <f t="shared" si="11"/>
        <v>850</v>
      </c>
      <c r="J14">
        <f t="shared" si="0"/>
        <v>66.469394279506062</v>
      </c>
      <c r="K14">
        <f t="shared" si="1"/>
        <v>111.75873270613567</v>
      </c>
      <c r="L14">
        <f t="shared" si="2"/>
        <v>52.23295628198801</v>
      </c>
      <c r="M14">
        <f t="shared" si="3"/>
        <v>29.794850276258888</v>
      </c>
      <c r="N14">
        <f t="shared" si="4"/>
        <v>31.783460545548053</v>
      </c>
      <c r="P14">
        <f t="shared" si="5"/>
        <v>4.1439771994704531</v>
      </c>
      <c r="Q14">
        <f t="shared" si="6"/>
        <v>3.7166189792529321</v>
      </c>
      <c r="R14">
        <f t="shared" si="7"/>
        <v>1.1868429057484211</v>
      </c>
      <c r="S14">
        <f t="shared" si="8"/>
        <v>14.780071371440208</v>
      </c>
      <c r="T14">
        <f t="shared" si="9"/>
        <v>1.1345806130476148</v>
      </c>
      <c r="V14">
        <f t="shared" si="10"/>
        <v>3.552666526503784</v>
      </c>
    </row>
    <row r="15" spans="1:22" x14ac:dyDescent="0.3">
      <c r="A15" s="13"/>
      <c r="I15">
        <f t="shared" si="11"/>
        <v>900</v>
      </c>
      <c r="J15">
        <f t="shared" si="0"/>
        <v>68.851356358791904</v>
      </c>
      <c r="K15">
        <f t="shared" si="1"/>
        <v>115.37063647232755</v>
      </c>
      <c r="L15">
        <f t="shared" si="2"/>
        <v>52.974181282391108</v>
      </c>
      <c r="M15">
        <f t="shared" si="3"/>
        <v>29.97075191727777</v>
      </c>
      <c r="N15">
        <f t="shared" si="4"/>
        <v>32.121423421667195</v>
      </c>
      <c r="P15">
        <f t="shared" si="5"/>
        <v>4.292478575984533</v>
      </c>
      <c r="Q15">
        <f t="shared" si="6"/>
        <v>3.8367354995785683</v>
      </c>
      <c r="R15">
        <f t="shared" si="7"/>
        <v>1.2036851007132723</v>
      </c>
      <c r="S15">
        <f t="shared" si="8"/>
        <v>14.867329363492752</v>
      </c>
      <c r="T15">
        <f t="shared" si="9"/>
        <v>1.1466449421229552</v>
      </c>
      <c r="V15">
        <f t="shared" si="10"/>
        <v>3.667355516477707</v>
      </c>
    </row>
    <row r="16" spans="1:22" x14ac:dyDescent="0.3">
      <c r="I16">
        <f t="shared" si="11"/>
        <v>950</v>
      </c>
      <c r="J16">
        <f t="shared" si="0"/>
        <v>71.206478326150545</v>
      </c>
      <c r="K16">
        <f t="shared" si="1"/>
        <v>118.95370501891684</v>
      </c>
      <c r="L16">
        <f t="shared" si="2"/>
        <v>53.666247235130847</v>
      </c>
      <c r="M16">
        <f t="shared" si="3"/>
        <v>30.108404421932232</v>
      </c>
      <c r="N16">
        <f t="shared" si="4"/>
        <v>32.427041899177937</v>
      </c>
      <c r="P16">
        <f t="shared" si="5"/>
        <v>4.4393066288123784</v>
      </c>
      <c r="Q16">
        <f t="shared" si="6"/>
        <v>3.9558930834358774</v>
      </c>
      <c r="R16">
        <f t="shared" si="7"/>
        <v>1.2194102984578699</v>
      </c>
      <c r="S16">
        <f t="shared" si="8"/>
        <v>14.935613440250526</v>
      </c>
      <c r="T16">
        <f t="shared" si="9"/>
        <v>1.1575546666658791</v>
      </c>
      <c r="V16">
        <f t="shared" si="10"/>
        <v>3.7803359490827408</v>
      </c>
    </row>
    <row r="17" spans="1:22" x14ac:dyDescent="0.3">
      <c r="A17" s="11" t="s">
        <v>2</v>
      </c>
      <c r="I17">
        <f t="shared" si="11"/>
        <v>1000</v>
      </c>
      <c r="J17">
        <f t="shared" si="0"/>
        <v>73.617089177837258</v>
      </c>
      <c r="K17">
        <f t="shared" si="1"/>
        <v>122.6860794670862</v>
      </c>
      <c r="L17">
        <f t="shared" si="2"/>
        <v>54.321173815526727</v>
      </c>
      <c r="M17">
        <f t="shared" si="3"/>
        <v>30.163318349496613</v>
      </c>
      <c r="N17">
        <f t="shared" si="4"/>
        <v>32.682997064263262</v>
      </c>
      <c r="P17">
        <f t="shared" si="5"/>
        <v>4.5895940883938442</v>
      </c>
      <c r="Q17">
        <f t="shared" si="6"/>
        <v>4.0800159450311337</v>
      </c>
      <c r="R17">
        <f t="shared" si="7"/>
        <v>1.2342916113503006</v>
      </c>
      <c r="S17">
        <f t="shared" si="8"/>
        <v>14.962854113090367</v>
      </c>
      <c r="T17">
        <f t="shared" si="9"/>
        <v>1.1666915499105164</v>
      </c>
      <c r="V17">
        <f t="shared" si="10"/>
        <v>3.8951858902385617</v>
      </c>
    </row>
    <row r="18" spans="1:22" x14ac:dyDescent="0.3">
      <c r="A18" s="1" t="s">
        <v>60</v>
      </c>
      <c r="C18" s="1" t="s">
        <v>88</v>
      </c>
      <c r="D18" s="1" t="s">
        <v>89</v>
      </c>
      <c r="E18" s="1" t="s">
        <v>90</v>
      </c>
      <c r="F18" s="1" t="s">
        <v>91</v>
      </c>
      <c r="G18" s="1" t="s">
        <v>92</v>
      </c>
      <c r="H18" s="1"/>
      <c r="I18">
        <f t="shared" si="11"/>
        <v>1050</v>
      </c>
      <c r="J18">
        <f>($C$6+$D$6*$I18+$E$6*$I18^2+$F$6*$I18^3+$G$6*$I18^4)*$G$1</f>
        <v>75.582622631214164</v>
      </c>
      <c r="K18">
        <f>($C$13+$D$13*$I18+$E$13*$I18^2+$F$13*$I18^3+$G$13*$I18^4)*$G$1</f>
        <v>125.4637187169659</v>
      </c>
      <c r="L18">
        <f>($C$20+$D$20*$I18+$E$20*$I18^2+$F$20*$I18^3+$G$20*$I18^4)*$G$1</f>
        <v>54.805894117425588</v>
      </c>
      <c r="M18">
        <f>($C$27+$D$27*$I18+$E$27*$I18^2+$F$27*$I18^3+$G$27*$I18^4)*$G$1</f>
        <v>30.401152561102496</v>
      </c>
      <c r="N18">
        <f>($C$34+$D$34*$I18+$E$34*$I18^2+$F$34*$I18^3+$G$34*$I18^4)*$G$1</f>
        <v>32.938641711489957</v>
      </c>
      <c r="P18">
        <f t="shared" si="5"/>
        <v>4.7121335804996365</v>
      </c>
      <c r="Q18">
        <f t="shared" si="6"/>
        <v>4.1723883843354139</v>
      </c>
      <c r="R18">
        <f t="shared" si="7"/>
        <v>1.2453054786963325</v>
      </c>
      <c r="S18">
        <f t="shared" si="8"/>
        <v>15.080834454978715</v>
      </c>
      <c r="T18">
        <f t="shared" si="9"/>
        <v>1.1758173485364132</v>
      </c>
      <c r="V18">
        <f t="shared" si="10"/>
        <v>3.9896371655580318</v>
      </c>
    </row>
    <row r="19" spans="1:22" x14ac:dyDescent="0.3">
      <c r="A19" s="13"/>
      <c r="B19" s="1" t="s">
        <v>95</v>
      </c>
      <c r="C19" s="40">
        <v>2.35677352</v>
      </c>
      <c r="D19" s="40">
        <v>8.9845967700000005E-3</v>
      </c>
      <c r="E19" s="40">
        <v>-7.1235626899999998E-6</v>
      </c>
      <c r="F19" s="40">
        <v>2.4591902199999998E-9</v>
      </c>
      <c r="G19" s="40">
        <v>-1.4369954799999999E-13</v>
      </c>
      <c r="I19">
        <f t="shared" si="11"/>
        <v>1100</v>
      </c>
      <c r="J19">
        <f t="shared" ref="J19:J38" si="12">($C$6+$D$6*$I19+$E$6*$I19^2+$F$6*$I19^3+$G$6*$I19^4)*$G$1</f>
        <v>77.469466478292347</v>
      </c>
      <c r="K19">
        <f t="shared" ref="K19:K38" si="13">($C$13+$D$13*$I19+$E$13*$I19^2+$F$13*$I19^3+$G$13*$I19^4)*$G$1</f>
        <v>128.11450148997</v>
      </c>
      <c r="L19">
        <f t="shared" ref="L19:L38" si="14">($C$20+$D$20*$I19+$E$20*$I19^2+$F$20*$I19^3+$G$20*$I19^4)*$G$1</f>
        <v>55.267696330677268</v>
      </c>
      <c r="M19">
        <f t="shared" ref="M19:M38" si="15">($C$27+$D$27*$I19+$E$27*$I19^2+$F$27*$I19^3+$G$27*$I19^4)*$G$1</f>
        <v>30.634729012791027</v>
      </c>
      <c r="N19">
        <f t="shared" ref="N19:N38" si="16">($C$34+$D$34*$I19+$E$34*$I19^2+$F$34*$I19^3+$G$34*$I19^4)*$G$1</f>
        <v>33.182831948564612</v>
      </c>
      <c r="P19">
        <f t="shared" si="5"/>
        <v>4.8297672368012687</v>
      </c>
      <c r="Q19">
        <f t="shared" si="6"/>
        <v>4.2605421180568674</v>
      </c>
      <c r="R19">
        <f t="shared" si="7"/>
        <v>1.255798598742951</v>
      </c>
      <c r="S19">
        <f t="shared" si="8"/>
        <v>15.196702687060254</v>
      </c>
      <c r="T19">
        <f t="shared" si="9"/>
        <v>1.1845342567687112</v>
      </c>
      <c r="V19">
        <f t="shared" si="10"/>
        <v>4.0802903886467075</v>
      </c>
    </row>
    <row r="20" spans="1:22" x14ac:dyDescent="0.3">
      <c r="A20" s="13"/>
      <c r="B20" s="1" t="s">
        <v>96</v>
      </c>
      <c r="C20" s="40">
        <v>4.6365949300000002</v>
      </c>
      <c r="D20" s="40">
        <v>2.7413199100000001E-3</v>
      </c>
      <c r="E20" s="40">
        <v>-9.958285309999999E-7</v>
      </c>
      <c r="F20" s="40">
        <v>1.60373011E-10</v>
      </c>
      <c r="G20" s="40">
        <v>-9.1610346800000004E-15</v>
      </c>
      <c r="I20">
        <f t="shared" si="11"/>
        <v>1150</v>
      </c>
      <c r="J20">
        <f t="shared" si="12"/>
        <v>79.280110148855982</v>
      </c>
      <c r="K20">
        <f t="shared" si="13"/>
        <v>130.64249903343853</v>
      </c>
      <c r="L20">
        <f t="shared" si="14"/>
        <v>55.707334986599676</v>
      </c>
      <c r="M20">
        <f t="shared" si="15"/>
        <v>30.864125275619951</v>
      </c>
      <c r="N20">
        <f t="shared" si="16"/>
        <v>33.415934344842718</v>
      </c>
      <c r="P20">
        <f t="shared" si="5"/>
        <v>4.9426502586568573</v>
      </c>
      <c r="Q20">
        <f t="shared" si="6"/>
        <v>4.3446125385247267</v>
      </c>
      <c r="R20">
        <f t="shared" si="7"/>
        <v>1.2657881160327125</v>
      </c>
      <c r="S20">
        <f t="shared" si="8"/>
        <v>15.310497289332673</v>
      </c>
      <c r="T20">
        <f t="shared" si="9"/>
        <v>1.1928553601077598</v>
      </c>
      <c r="V20">
        <f t="shared" si="10"/>
        <v>4.1672655657652804</v>
      </c>
    </row>
    <row r="21" spans="1:22" x14ac:dyDescent="0.3">
      <c r="A21" s="13"/>
      <c r="I21">
        <f t="shared" si="11"/>
        <v>1200</v>
      </c>
      <c r="J21">
        <f t="shared" si="12"/>
        <v>81.017004190028743</v>
      </c>
      <c r="K21">
        <f t="shared" si="13"/>
        <v>133.0517172841559</v>
      </c>
      <c r="L21">
        <f t="shared" si="14"/>
        <v>56.125553080334278</v>
      </c>
      <c r="M21">
        <f t="shared" si="15"/>
        <v>31.089418115896684</v>
      </c>
      <c r="N21">
        <f t="shared" si="16"/>
        <v>33.638309752431539</v>
      </c>
      <c r="P21">
        <f t="shared" si="5"/>
        <v>5.0509354233185002</v>
      </c>
      <c r="Q21">
        <f t="shared" si="6"/>
        <v>4.4247328661175889</v>
      </c>
      <c r="R21">
        <f t="shared" si="7"/>
        <v>1.2752909129819197</v>
      </c>
      <c r="S21">
        <f t="shared" si="8"/>
        <v>15.422256342588192</v>
      </c>
      <c r="T21">
        <f t="shared" si="9"/>
        <v>1.2007935399641436</v>
      </c>
      <c r="V21">
        <f t="shared" si="10"/>
        <v>4.2506808274153665</v>
      </c>
    </row>
    <row r="22" spans="1:22" x14ac:dyDescent="0.3">
      <c r="A22" s="13"/>
      <c r="I22">
        <f t="shared" si="11"/>
        <v>1250</v>
      </c>
      <c r="J22">
        <f t="shared" si="12"/>
        <v>82.682559798166864</v>
      </c>
      <c r="K22">
        <f t="shared" si="13"/>
        <v>135.34609693070971</v>
      </c>
      <c r="L22">
        <f t="shared" si="14"/>
        <v>56.523082181595392</v>
      </c>
      <c r="M22">
        <f t="shared" si="15"/>
        <v>31.310683440867965</v>
      </c>
      <c r="N22">
        <f t="shared" si="16"/>
        <v>33.850313277006322</v>
      </c>
      <c r="P22">
        <f t="shared" si="5"/>
        <v>5.1547730547485582</v>
      </c>
      <c r="Q22">
        <f t="shared" si="6"/>
        <v>4.501034151337203</v>
      </c>
      <c r="R22">
        <f t="shared" si="7"/>
        <v>1.2843236123970778</v>
      </c>
      <c r="S22">
        <f t="shared" si="8"/>
        <v>15.532017501472291</v>
      </c>
      <c r="T22">
        <f t="shared" si="9"/>
        <v>1.2083614726169019</v>
      </c>
      <c r="V22">
        <f t="shared" si="10"/>
        <v>4.3306524079434965</v>
      </c>
    </row>
    <row r="23" spans="1:22" x14ac:dyDescent="0.3">
      <c r="I23">
        <f t="shared" si="11"/>
        <v>1300</v>
      </c>
      <c r="J23">
        <f t="shared" si="12"/>
        <v>84.279148818859298</v>
      </c>
      <c r="K23">
        <f t="shared" si="13"/>
        <v>137.52951341349063</v>
      </c>
      <c r="L23">
        <f t="shared" si="14"/>
        <v>56.900642434670154</v>
      </c>
      <c r="M23">
        <f t="shared" si="15"/>
        <v>31.527996298719813</v>
      </c>
      <c r="N23">
        <f t="shared" si="16"/>
        <v>34.052294277810169</v>
      </c>
      <c r="P23">
        <f t="shared" si="5"/>
        <v>5.2543110236196569</v>
      </c>
      <c r="Q23">
        <f t="shared" si="6"/>
        <v>4.5736452748084684</v>
      </c>
      <c r="R23">
        <f t="shared" si="7"/>
        <v>1.2929025774748957</v>
      </c>
      <c r="S23">
        <f t="shared" si="8"/>
        <v>15.639817994483705</v>
      </c>
      <c r="T23">
        <f t="shared" si="9"/>
        <v>1.2155716292135252</v>
      </c>
      <c r="V23">
        <f t="shared" si="10"/>
        <v>4.4072946455411177</v>
      </c>
    </row>
    <row r="24" spans="1:22" x14ac:dyDescent="0.3">
      <c r="A24" s="11" t="s">
        <v>1</v>
      </c>
      <c r="I24">
        <f t="shared" si="11"/>
        <v>1350</v>
      </c>
      <c r="J24">
        <f t="shared" si="12"/>
        <v>85.809103746927548</v>
      </c>
      <c r="K24">
        <f t="shared" si="13"/>
        <v>139.60577692469258</v>
      </c>
      <c r="L24">
        <f t="shared" si="14"/>
        <v>57.258942558418511</v>
      </c>
      <c r="M24">
        <f t="shared" si="15"/>
        <v>31.741430878577557</v>
      </c>
      <c r="N24">
        <f t="shared" si="16"/>
        <v>34.244596367654154</v>
      </c>
      <c r="P24">
        <f t="shared" si="5"/>
        <v>5.3496947473146852</v>
      </c>
      <c r="Q24">
        <f t="shared" si="6"/>
        <v>4.6426929472794338</v>
      </c>
      <c r="R24">
        <f t="shared" si="7"/>
        <v>1.3010439118022838</v>
      </c>
      <c r="S24">
        <f t="shared" si="8"/>
        <v>15.745694623974421</v>
      </c>
      <c r="T24">
        <f t="shared" si="9"/>
        <v>1.2224362757699585</v>
      </c>
      <c r="V24">
        <f t="shared" si="10"/>
        <v>4.4807199822445902</v>
      </c>
    </row>
    <row r="25" spans="1:22" x14ac:dyDescent="0.3">
      <c r="A25" s="1" t="s">
        <v>60</v>
      </c>
      <c r="C25" s="1" t="s">
        <v>88</v>
      </c>
      <c r="D25" s="1" t="s">
        <v>89</v>
      </c>
      <c r="E25" s="1" t="s">
        <v>90</v>
      </c>
      <c r="F25" s="1" t="s">
        <v>91</v>
      </c>
      <c r="G25" s="1" t="s">
        <v>92</v>
      </c>
      <c r="H25" s="1"/>
      <c r="I25">
        <f t="shared" si="11"/>
        <v>1400</v>
      </c>
      <c r="J25">
        <f t="shared" si="12"/>
        <v>87.274717726425735</v>
      </c>
      <c r="K25">
        <f t="shared" si="13"/>
        <v>141.5786324083127</v>
      </c>
      <c r="L25">
        <f t="shared" si="14"/>
        <v>57.598679846273306</v>
      </c>
      <c r="M25">
        <f t="shared" si="15"/>
        <v>31.951060510505819</v>
      </c>
      <c r="N25">
        <f t="shared" si="16"/>
        <v>34.427557412917238</v>
      </c>
      <c r="P25">
        <f t="shared" si="5"/>
        <v>5.4410671899267919</v>
      </c>
      <c r="Q25">
        <f t="shared" si="6"/>
        <v>4.7083017096213071</v>
      </c>
      <c r="R25">
        <f t="shared" si="7"/>
        <v>1.3087634593563577</v>
      </c>
      <c r="S25">
        <f t="shared" si="8"/>
        <v>15.849683766149679</v>
      </c>
      <c r="T25">
        <f t="shared" si="9"/>
        <v>1.2289674731705982</v>
      </c>
      <c r="V25">
        <f t="shared" si="10"/>
        <v>4.5510389639351914</v>
      </c>
    </row>
    <row r="26" spans="1:22" x14ac:dyDescent="0.3">
      <c r="A26" s="13"/>
      <c r="B26" s="1" t="s">
        <v>95</v>
      </c>
      <c r="C26" s="40">
        <v>2.3443311200000001</v>
      </c>
      <c r="D26" s="40">
        <v>7.9805207499999992E-3</v>
      </c>
      <c r="E26" s="40">
        <v>-1.9478150999999999E-5</v>
      </c>
      <c r="F26" s="40">
        <v>2.01572094E-8</v>
      </c>
      <c r="G26" s="40">
        <v>-7.3761176100000006E-12</v>
      </c>
      <c r="I26">
        <f t="shared" si="11"/>
        <v>1450</v>
      </c>
      <c r="J26">
        <f t="shared" si="12"/>
        <v>88.678244550640571</v>
      </c>
      <c r="K26">
        <f t="shared" si="13"/>
        <v>143.45175956015112</v>
      </c>
      <c r="L26">
        <f t="shared" si="14"/>
        <v>57.920540166240137</v>
      </c>
      <c r="M26">
        <f t="shared" si="15"/>
        <v>32.156957665508529</v>
      </c>
      <c r="N26">
        <f t="shared" si="16"/>
        <v>34.601509533546277</v>
      </c>
      <c r="P26">
        <f t="shared" si="5"/>
        <v>5.5285688622593874</v>
      </c>
      <c r="Q26">
        <f t="shared" si="6"/>
        <v>4.7705939328284375</v>
      </c>
      <c r="R26">
        <f t="shared" si="7"/>
        <v>1.316076804504434</v>
      </c>
      <c r="S26">
        <f t="shared" si="8"/>
        <v>15.951821371067984</v>
      </c>
      <c r="T26">
        <f t="shared" si="9"/>
        <v>1.2351770771682937</v>
      </c>
      <c r="V26">
        <f t="shared" si="10"/>
        <v>4.6183602403391122</v>
      </c>
    </row>
    <row r="27" spans="1:22" x14ac:dyDescent="0.3">
      <c r="A27" s="13"/>
      <c r="B27" s="1" t="s">
        <v>96</v>
      </c>
      <c r="C27" s="40">
        <v>2.9328657900000001</v>
      </c>
      <c r="D27" s="40">
        <v>8.2660796699999997E-4</v>
      </c>
      <c r="E27" s="40">
        <v>-1.4640233499999999E-7</v>
      </c>
      <c r="F27" s="40">
        <v>1.54100359E-11</v>
      </c>
      <c r="G27" s="40">
        <v>-6.88804432E-16</v>
      </c>
      <c r="I27">
        <f t="shared" si="11"/>
        <v>1500</v>
      </c>
      <c r="J27">
        <f t="shared" si="12"/>
        <v>90.021898662091516</v>
      </c>
      <c r="K27">
        <f t="shared" si="13"/>
        <v>145.22877282781124</v>
      </c>
      <c r="L27">
        <f t="shared" si="14"/>
        <v>58.225197960897454</v>
      </c>
      <c r="M27">
        <f t="shared" si="15"/>
        <v>32.359193955528902</v>
      </c>
      <c r="N27">
        <f t="shared" si="16"/>
        <v>34.766779103056081</v>
      </c>
      <c r="P27">
        <f t="shared" si="5"/>
        <v>5.6123378218261548</v>
      </c>
      <c r="Q27">
        <f t="shared" si="6"/>
        <v>4.8296898180183323</v>
      </c>
      <c r="R27">
        <f t="shared" si="7"/>
        <v>1.3229992720040322</v>
      </c>
      <c r="S27">
        <f t="shared" si="8"/>
        <v>16.052142962641081</v>
      </c>
      <c r="T27">
        <f t="shared" si="9"/>
        <v>1.2410767383843475</v>
      </c>
      <c r="V27">
        <f t="shared" si="10"/>
        <v>4.6827905650274619</v>
      </c>
    </row>
    <row r="28" spans="1:22" x14ac:dyDescent="0.3">
      <c r="A28" s="13"/>
      <c r="I28">
        <f t="shared" si="11"/>
        <v>1550</v>
      </c>
      <c r="J28">
        <f t="shared" si="12"/>
        <v>91.307855152530465</v>
      </c>
      <c r="K28">
        <f t="shared" si="13"/>
        <v>146.91322141069966</v>
      </c>
      <c r="L28">
        <f t="shared" si="14"/>
        <v>58.513316247396581</v>
      </c>
      <c r="M28">
        <f t="shared" si="15"/>
        <v>32.557840133449467</v>
      </c>
      <c r="N28">
        <f t="shared" si="16"/>
        <v>34.923686748529335</v>
      </c>
      <c r="P28">
        <f t="shared" si="5"/>
        <v>5.6925096728510267</v>
      </c>
      <c r="Q28">
        <f t="shared" si="6"/>
        <v>4.8857073964316484</v>
      </c>
      <c r="R28">
        <f t="shared" si="7"/>
        <v>1.3295459270028762</v>
      </c>
      <c r="S28">
        <f t="shared" si="8"/>
        <v>16.150683638633978</v>
      </c>
      <c r="T28">
        <f t="shared" si="9"/>
        <v>1.2466779023085142</v>
      </c>
      <c r="V28">
        <f t="shared" si="10"/>
        <v>4.7444347954162618</v>
      </c>
    </row>
    <row r="29" spans="1:22" x14ac:dyDescent="0.3">
      <c r="A29" s="13"/>
      <c r="I29">
        <f t="shared" si="11"/>
        <v>1600</v>
      </c>
      <c r="J29">
        <f t="shared" si="12"/>
        <v>92.538249762942087</v>
      </c>
      <c r="K29">
        <f t="shared" si="13"/>
        <v>148.50858926002607</v>
      </c>
      <c r="L29">
        <f t="shared" si="14"/>
        <v>58.785546617461648</v>
      </c>
      <c r="M29">
        <f t="shared" si="15"/>
        <v>32.752966093092041</v>
      </c>
      <c r="N29">
        <f t="shared" si="16"/>
        <v>35.072547350616645</v>
      </c>
      <c r="P29">
        <f t="shared" si="5"/>
        <v>5.7692175662682104</v>
      </c>
      <c r="Q29">
        <f t="shared" si="6"/>
        <v>4.9387625294321937</v>
      </c>
      <c r="R29">
        <f t="shared" si="7"/>
        <v>1.3357315750388923</v>
      </c>
      <c r="S29">
        <f t="shared" si="8"/>
        <v>16.24747807066494</v>
      </c>
      <c r="T29">
        <f t="shared" si="9"/>
        <v>1.2519918092990014</v>
      </c>
      <c r="V29">
        <f t="shared" si="10"/>
        <v>4.803395892766452</v>
      </c>
    </row>
    <row r="30" spans="1:22" x14ac:dyDescent="0.3">
      <c r="I30">
        <f t="shared" si="11"/>
        <v>1650</v>
      </c>
      <c r="J30">
        <f t="shared" si="12"/>
        <v>93.71517888354353</v>
      </c>
      <c r="K30">
        <f t="shared" si="13"/>
        <v>150.01829507880328</v>
      </c>
      <c r="L30">
        <f t="shared" si="14"/>
        <v>59.042529237389573</v>
      </c>
      <c r="M30">
        <f t="shared" si="15"/>
        <v>32.944640869217757</v>
      </c>
      <c r="N30">
        <f t="shared" si="16"/>
        <v>35.213670043536574</v>
      </c>
      <c r="P30">
        <f t="shared" si="5"/>
        <v>5.8425921997221657</v>
      </c>
      <c r="Q30">
        <f t="shared" si="6"/>
        <v>4.9889689085069264</v>
      </c>
      <c r="R30">
        <f t="shared" si="7"/>
        <v>1.3415707620402084</v>
      </c>
      <c r="S30">
        <f t="shared" si="8"/>
        <v>16.342560504205487</v>
      </c>
      <c r="T30">
        <f t="shared" si="9"/>
        <v>1.2570294945824703</v>
      </c>
      <c r="V30">
        <f t="shared" si="10"/>
        <v>4.8597749221838837</v>
      </c>
    </row>
    <row r="31" spans="1:22" x14ac:dyDescent="0.3">
      <c r="A31" s="11" t="s">
        <v>3</v>
      </c>
      <c r="I31">
        <f t="shared" si="11"/>
        <v>1700</v>
      </c>
      <c r="J31">
        <f t="shared" si="12"/>
        <v>94.840699553784745</v>
      </c>
      <c r="K31">
        <f t="shared" si="13"/>
        <v>151.44569232184745</v>
      </c>
      <c r="L31">
        <f t="shared" si="14"/>
        <v>59.284892848050205</v>
      </c>
      <c r="M31">
        <f t="shared" si="15"/>
        <v>33.132932637527027</v>
      </c>
      <c r="N31">
        <f t="shared" si="16"/>
        <v>35.347358215075538</v>
      </c>
      <c r="P31">
        <f t="shared" si="5"/>
        <v>5.9127618175676275</v>
      </c>
      <c r="Q31">
        <f t="shared" si="6"/>
        <v>5.0364380552659611</v>
      </c>
      <c r="R31">
        <f t="shared" si="7"/>
        <v>1.3470777743251581</v>
      </c>
      <c r="S31">
        <f t="shared" si="8"/>
        <v>16.435964758580383</v>
      </c>
      <c r="T31">
        <f t="shared" si="9"/>
        <v>1.2618017882540333</v>
      </c>
      <c r="V31">
        <f t="shared" si="10"/>
        <v>4.9136710526193301</v>
      </c>
    </row>
    <row r="32" spans="1:22" x14ac:dyDescent="0.3">
      <c r="A32" s="1" t="s">
        <v>60</v>
      </c>
      <c r="C32" s="1" t="s">
        <v>88</v>
      </c>
      <c r="D32" s="1" t="s">
        <v>89</v>
      </c>
      <c r="E32" s="1" t="s">
        <v>90</v>
      </c>
      <c r="F32" s="1" t="s">
        <v>91</v>
      </c>
      <c r="G32" s="1" t="s">
        <v>92</v>
      </c>
      <c r="H32" s="1"/>
      <c r="I32">
        <f t="shared" si="11"/>
        <v>1750</v>
      </c>
      <c r="J32">
        <f t="shared" si="12"/>
        <v>95.916829462348048</v>
      </c>
      <c r="K32">
        <f t="shared" si="13"/>
        <v>152.79406919577772</v>
      </c>
      <c r="L32">
        <f t="shared" si="14"/>
        <v>59.513254764886092</v>
      </c>
      <c r="M32">
        <f t="shared" si="15"/>
        <v>33.317908714659573</v>
      </c>
      <c r="N32">
        <f t="shared" si="16"/>
        <v>35.473909506587901</v>
      </c>
      <c r="P32">
        <f t="shared" si="5"/>
        <v>5.9798522108695797</v>
      </c>
      <c r="Q32">
        <f t="shared" si="6"/>
        <v>5.0812793214425582</v>
      </c>
      <c r="R32">
        <f t="shared" si="7"/>
        <v>1.3522666386022744</v>
      </c>
      <c r="S32">
        <f t="shared" si="8"/>
        <v>16.527724226967663</v>
      </c>
      <c r="T32">
        <f t="shared" si="9"/>
        <v>1.2663193152772567</v>
      </c>
      <c r="V32">
        <f t="shared" si="10"/>
        <v>4.9651815568684716</v>
      </c>
    </row>
    <row r="33" spans="1:22" x14ac:dyDescent="0.3">
      <c r="A33" s="13"/>
      <c r="B33" s="1" t="s">
        <v>95</v>
      </c>
      <c r="C33" s="40">
        <v>3.53100528</v>
      </c>
      <c r="D33" s="40">
        <v>-1.2366098700000001E-4</v>
      </c>
      <c r="E33" s="40">
        <v>-5.0299943699999996E-7</v>
      </c>
      <c r="F33" s="40">
        <v>2.43530612E-9</v>
      </c>
      <c r="G33" s="40">
        <v>-1.4088123500000001E-12</v>
      </c>
      <c r="I33">
        <f t="shared" si="11"/>
        <v>1800</v>
      </c>
      <c r="J33">
        <f t="shared" si="12"/>
        <v>96.945546947148586</v>
      </c>
      <c r="K33">
        <f t="shared" si="13"/>
        <v>154.06664865901647</v>
      </c>
      <c r="L33">
        <f t="shared" si="14"/>
        <v>59.728220877912733</v>
      </c>
      <c r="M33">
        <f t="shared" si="15"/>
        <v>33.499635558194406</v>
      </c>
      <c r="N33">
        <f t="shared" si="16"/>
        <v>35.593615812995942</v>
      </c>
      <c r="P33">
        <f t="shared" si="5"/>
        <v>6.0439867174032784</v>
      </c>
      <c r="Q33">
        <f t="shared" si="6"/>
        <v>5.1235998888931311</v>
      </c>
      <c r="R33">
        <f t="shared" si="7"/>
        <v>1.3571511219702963</v>
      </c>
      <c r="S33">
        <f t="shared" si="8"/>
        <v>16.617871876398596</v>
      </c>
      <c r="T33">
        <f t="shared" si="9"/>
        <v>1.270592495484159</v>
      </c>
      <c r="V33">
        <f t="shared" si="10"/>
        <v>5.014401811571906</v>
      </c>
    </row>
    <row r="34" spans="1:22" x14ac:dyDescent="0.3">
      <c r="A34" s="13"/>
      <c r="B34" s="1" t="s">
        <v>96</v>
      </c>
      <c r="C34" s="40">
        <v>2.9525762599999998</v>
      </c>
      <c r="D34" s="40">
        <v>1.3969005700000001E-3</v>
      </c>
      <c r="E34" s="40">
        <v>-4.9263169100000003E-7</v>
      </c>
      <c r="F34" s="40">
        <v>7.8601036699999999E-11</v>
      </c>
      <c r="G34" s="40">
        <v>-4.6075532099999999E-15</v>
      </c>
      <c r="I34">
        <f t="shared" si="11"/>
        <v>1850</v>
      </c>
      <c r="J34">
        <f t="shared" si="12"/>
        <v>97.92879099533404</v>
      </c>
      <c r="K34">
        <f t="shared" si="13"/>
        <v>155.26658842178927</v>
      </c>
      <c r="L34">
        <f t="shared" si="14"/>
        <v>59.93038565171841</v>
      </c>
      <c r="M34">
        <f t="shared" si="15"/>
        <v>33.678178766649864</v>
      </c>
      <c r="N34">
        <f t="shared" si="16"/>
        <v>35.706763282789829</v>
      </c>
      <c r="P34">
        <f t="shared" si="5"/>
        <v>6.1052862216542421</v>
      </c>
      <c r="Q34">
        <f t="shared" si="6"/>
        <v>5.1635047695972487</v>
      </c>
      <c r="R34">
        <f t="shared" si="7"/>
        <v>1.3617447319181644</v>
      </c>
      <c r="S34">
        <f t="shared" si="8"/>
        <v>16.706440247757733</v>
      </c>
      <c r="T34">
        <f t="shared" si="9"/>
        <v>1.2746315435752114</v>
      </c>
      <c r="V34">
        <f t="shared" si="10"/>
        <v>5.0614252972151554</v>
      </c>
    </row>
    <row r="35" spans="1:22" x14ac:dyDescent="0.3">
      <c r="A35" s="13"/>
      <c r="I35">
        <f>I34+50</f>
        <v>1900</v>
      </c>
      <c r="J35">
        <f t="shared" si="12"/>
        <v>98.868461243284756</v>
      </c>
      <c r="K35">
        <f t="shared" si="13"/>
        <v>156.3969809461247</v>
      </c>
      <c r="L35">
        <f t="shared" si="14"/>
        <v>60.120332125464202</v>
      </c>
      <c r="M35">
        <f t="shared" si="15"/>
        <v>33.853603079483555</v>
      </c>
      <c r="N35">
        <f t="shared" si="16"/>
        <v>35.8136323180277</v>
      </c>
      <c r="P35">
        <f t="shared" si="5"/>
        <v>6.1638691548182516</v>
      </c>
      <c r="Q35">
        <f t="shared" si="6"/>
        <v>5.2010968056576221</v>
      </c>
      <c r="R35">
        <f t="shared" si="7"/>
        <v>1.3660607163250218</v>
      </c>
      <c r="S35">
        <f t="shared" si="8"/>
        <v>16.793461455782861</v>
      </c>
      <c r="T35">
        <f t="shared" si="9"/>
        <v>1.2784464691193393</v>
      </c>
      <c r="V35">
        <f t="shared" si="10"/>
        <v>5.1063435981286451</v>
      </c>
    </row>
    <row r="36" spans="1:22" x14ac:dyDescent="0.3">
      <c r="A36" s="13"/>
      <c r="I36">
        <f t="shared" si="11"/>
        <v>1950</v>
      </c>
      <c r="J36">
        <f t="shared" si="12"/>
        <v>99.766417976613596</v>
      </c>
      <c r="K36">
        <f t="shared" si="13"/>
        <v>157.46085344585472</v>
      </c>
      <c r="L36">
        <f t="shared" si="14"/>
        <v>60.298631912884105</v>
      </c>
      <c r="M36">
        <f t="shared" si="15"/>
        <v>34.02597237709238</v>
      </c>
      <c r="N36">
        <f t="shared" si="16"/>
        <v>35.914497574335535</v>
      </c>
      <c r="P36">
        <f t="shared" si="5"/>
        <v>6.2198514948013468</v>
      </c>
      <c r="Q36">
        <f t="shared" si="6"/>
        <v>5.2364766693001235</v>
      </c>
      <c r="R36">
        <f t="shared" si="7"/>
        <v>1.370112063460216</v>
      </c>
      <c r="S36">
        <f t="shared" si="8"/>
        <v>16.878967189065012</v>
      </c>
      <c r="T36">
        <f t="shared" si="9"/>
        <v>1.2820470765539183</v>
      </c>
      <c r="V36">
        <f t="shared" si="10"/>
        <v>5.1492464024877229</v>
      </c>
    </row>
    <row r="37" spans="1:22" x14ac:dyDescent="0.3">
      <c r="I37">
        <f t="shared" si="11"/>
        <v>2000</v>
      </c>
      <c r="J37">
        <f t="shared" si="12"/>
        <v>100.6244821301661</v>
      </c>
      <c r="K37">
        <f t="shared" si="13"/>
        <v>158.46116788661433</v>
      </c>
      <c r="L37">
        <f t="shared" si="14"/>
        <v>60.465845202284839</v>
      </c>
      <c r="M37">
        <f t="shared" si="15"/>
        <v>34.195349680812583</v>
      </c>
      <c r="N37">
        <f t="shared" si="16"/>
        <v>36.009627960907267</v>
      </c>
      <c r="P37">
        <f t="shared" si="5"/>
        <v>6.2733467662198317</v>
      </c>
      <c r="Q37">
        <f t="shared" si="6"/>
        <v>5.2697428628737724</v>
      </c>
      <c r="R37">
        <f t="shared" si="7"/>
        <v>1.3739115019832957</v>
      </c>
      <c r="S37">
        <f t="shared" si="8"/>
        <v>16.962988710048506</v>
      </c>
      <c r="T37">
        <f t="shared" si="9"/>
        <v>1.2854429651847783</v>
      </c>
      <c r="V37">
        <f t="shared" si="10"/>
        <v>5.1902215023126468</v>
      </c>
    </row>
    <row r="38" spans="1:22" x14ac:dyDescent="0.3">
      <c r="D38" t="s">
        <v>115</v>
      </c>
      <c r="E38" t="s">
        <v>116</v>
      </c>
      <c r="I38">
        <f>I37+50</f>
        <v>2050</v>
      </c>
      <c r="J38">
        <f t="shared" si="12"/>
        <v>101.44443528802049</v>
      </c>
      <c r="K38">
        <f t="shared" si="13"/>
        <v>159.40082098584182</v>
      </c>
      <c r="L38">
        <f t="shared" si="14"/>
        <v>60.622520756546059</v>
      </c>
      <c r="M38">
        <f t="shared" si="15"/>
        <v>34.361797152919671</v>
      </c>
      <c r="N38">
        <f t="shared" si="16"/>
        <v>36.099286640504737</v>
      </c>
      <c r="P38">
        <f t="shared" si="5"/>
        <v>6.3244660404002797</v>
      </c>
      <c r="Q38">
        <f t="shared" si="6"/>
        <v>5.3009917188507423</v>
      </c>
      <c r="R38">
        <f t="shared" si="7"/>
        <v>1.3774715009440142</v>
      </c>
      <c r="S38">
        <f t="shared" si="8"/>
        <v>17.045556855030888</v>
      </c>
      <c r="T38">
        <f t="shared" si="9"/>
        <v>1.2886435291862015</v>
      </c>
      <c r="V38">
        <f t="shared" si="10"/>
        <v>5.2293547934685991</v>
      </c>
    </row>
    <row r="39" spans="1:22" x14ac:dyDescent="0.3">
      <c r="C39" s="1" t="s">
        <v>7</v>
      </c>
      <c r="D39" s="1" t="s">
        <v>14</v>
      </c>
    </row>
    <row r="40" spans="1:22" x14ac:dyDescent="0.3">
      <c r="B40" t="s">
        <v>111</v>
      </c>
      <c r="C40" s="2">
        <v>30.07</v>
      </c>
      <c r="D40">
        <f>'weight etc_10'!J11</f>
        <v>7.0152064038448564E-2</v>
      </c>
    </row>
    <row r="41" spans="1:22" x14ac:dyDescent="0.3">
      <c r="B41" t="s">
        <v>1</v>
      </c>
      <c r="C41" s="2">
        <v>2.0158800000000001</v>
      </c>
      <c r="D41">
        <f>'weight etc_10'!J12</f>
        <v>1.1876173008252437E-2</v>
      </c>
    </row>
    <row r="42" spans="1:22" x14ac:dyDescent="0.3">
      <c r="B42" t="s">
        <v>9</v>
      </c>
      <c r="C42" s="2">
        <v>16.04</v>
      </c>
      <c r="D42">
        <f>'weight etc_10'!J13</f>
        <v>0.68888024670703141</v>
      </c>
    </row>
    <row r="43" spans="1:22" x14ac:dyDescent="0.3">
      <c r="B43" t="s">
        <v>2</v>
      </c>
      <c r="C43" s="2">
        <v>44.01</v>
      </c>
      <c r="D43">
        <f>'weight etc_10'!J14</f>
        <v>3.4068936224301606E-2</v>
      </c>
    </row>
    <row r="44" spans="1:22" x14ac:dyDescent="0.3">
      <c r="B44" t="s">
        <v>3</v>
      </c>
      <c r="C44" s="2">
        <v>28.013400000000001</v>
      </c>
      <c r="D44">
        <f>'weight etc_10'!J15</f>
        <v>0.19502258002196604</v>
      </c>
    </row>
    <row r="45" spans="1:22" x14ac:dyDescent="0.3">
      <c r="B45" t="s">
        <v>4</v>
      </c>
      <c r="C45" s="2">
        <f>15.999*2</f>
        <v>31.998000000000001</v>
      </c>
    </row>
    <row r="46" spans="1:22" x14ac:dyDescent="0.3">
      <c r="B46" t="s">
        <v>11</v>
      </c>
      <c r="C46" s="2">
        <v>12.0107</v>
      </c>
    </row>
    <row r="47" spans="1:22" x14ac:dyDescent="0.3">
      <c r="B47" t="s">
        <v>12</v>
      </c>
      <c r="C47" s="2">
        <v>15.999000000000001</v>
      </c>
    </row>
    <row r="48" spans="1:22" x14ac:dyDescent="0.3">
      <c r="B48" t="s">
        <v>13</v>
      </c>
      <c r="C48" s="2">
        <v>1.0079400000000001</v>
      </c>
    </row>
    <row r="50" spans="4:4" x14ac:dyDescent="0.3">
      <c r="D50" s="1">
        <f>SUM(D40:D44)</f>
        <v>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"/>
  <sheetViews>
    <sheetView topLeftCell="A11" zoomScale="75" zoomScaleNormal="75" workbookViewId="0">
      <selection activeCell="E48" sqref="E48"/>
    </sheetView>
  </sheetViews>
  <sheetFormatPr defaultRowHeight="14.4" x14ac:dyDescent="0.3"/>
  <cols>
    <col min="2" max="2" width="18.109375" customWidth="1"/>
    <col min="3" max="3" width="18.44140625" customWidth="1"/>
    <col min="4" max="4" width="17.33203125" customWidth="1"/>
    <col min="5" max="5" width="18.109375" customWidth="1"/>
    <col min="6" max="6" width="20.77734375" customWidth="1"/>
    <col min="7" max="7" width="18.21875" customWidth="1"/>
  </cols>
  <sheetData>
    <row r="1" spans="1:22" ht="18" x14ac:dyDescent="0.35">
      <c r="A1" s="10" t="s">
        <v>50</v>
      </c>
      <c r="F1" s="1" t="s">
        <v>101</v>
      </c>
      <c r="G1" s="1">
        <v>8.3145100000000003</v>
      </c>
      <c r="I1" s="1" t="s">
        <v>28</v>
      </c>
      <c r="J1" s="1" t="s">
        <v>97</v>
      </c>
      <c r="K1" s="1" t="s">
        <v>114</v>
      </c>
      <c r="L1" s="1" t="s">
        <v>98</v>
      </c>
      <c r="M1" s="1" t="s">
        <v>99</v>
      </c>
      <c r="N1" s="1" t="s">
        <v>100</v>
      </c>
      <c r="P1" s="1" t="s">
        <v>97</v>
      </c>
      <c r="Q1" s="1" t="s">
        <v>114</v>
      </c>
      <c r="R1" s="1" t="s">
        <v>98</v>
      </c>
      <c r="S1" s="1" t="s">
        <v>99</v>
      </c>
      <c r="T1" s="1" t="s">
        <v>100</v>
      </c>
      <c r="V1" s="1" t="s">
        <v>104</v>
      </c>
    </row>
    <row r="2" spans="1:22" x14ac:dyDescent="0.3">
      <c r="J2" s="41" t="s">
        <v>102</v>
      </c>
      <c r="K2" s="41" t="s">
        <v>102</v>
      </c>
      <c r="L2" s="41" t="s">
        <v>102</v>
      </c>
      <c r="M2" s="41" t="s">
        <v>102</v>
      </c>
      <c r="N2" s="41" t="s">
        <v>102</v>
      </c>
      <c r="P2" s="41" t="s">
        <v>103</v>
      </c>
      <c r="Q2" s="41" t="s">
        <v>103</v>
      </c>
      <c r="R2" s="41" t="s">
        <v>103</v>
      </c>
      <c r="S2" s="41" t="s">
        <v>103</v>
      </c>
      <c r="T2" s="41" t="s">
        <v>103</v>
      </c>
      <c r="V2" s="41" t="s">
        <v>103</v>
      </c>
    </row>
    <row r="3" spans="1:22" x14ac:dyDescent="0.3">
      <c r="A3" s="11" t="s">
        <v>5</v>
      </c>
      <c r="I3">
        <v>300</v>
      </c>
      <c r="J3">
        <f>($C$5+$D$5*$I3+$E$5*$I3^2+$F$5*$I3^3+$G$5*$I3^4)*$G$1</f>
        <v>35.76073923118598</v>
      </c>
      <c r="K3">
        <f>($C$12+$D$12*$I3+$E$12*$I3^2+$F$12*$I3^3+$G$12*$I3^4)*$G$1</f>
        <v>52.719673931516716</v>
      </c>
      <c r="L3">
        <f>($C$19+$D$19*$I3+$E$19*$I3^2+$F$19*$I3^3+$G$19*$I3^4)*$G$1</f>
        <v>37.217959072359022</v>
      </c>
      <c r="M3">
        <f>($C$26+$D$26*$I3+$E$26*$I3^2+$F$26*$I3^3+$G$26*$I3^4)*$G$1</f>
        <v>28.850949407552562</v>
      </c>
      <c r="N3">
        <f>($C$33+$D$33*$I3+$E$33*$I3^2+$F$33*$I3^3+$G$33*$I3^4)*$G$1</f>
        <v>29.125553258258435</v>
      </c>
      <c r="P3">
        <f>J3/$C$42</f>
        <v>2.229472520647505</v>
      </c>
      <c r="Q3">
        <f>K3/$C$40</f>
        <v>1.7532315906723217</v>
      </c>
      <c r="R3">
        <f>L3/$C$43</f>
        <v>0.84567050834717161</v>
      </c>
      <c r="S3">
        <f>M3/$C$41</f>
        <v>14.311838704462845</v>
      </c>
      <c r="T3">
        <f>N3/$C$44</f>
        <v>1.0397007595742906</v>
      </c>
      <c r="V3">
        <f>D$42*P3+D$40*Q3+D$43*R3+D$41*S3+D$44*T3</f>
        <v>2.2395935762679033</v>
      </c>
    </row>
    <row r="4" spans="1:22" x14ac:dyDescent="0.3">
      <c r="A4" s="1" t="s">
        <v>60</v>
      </c>
      <c r="C4" s="1" t="s">
        <v>88</v>
      </c>
      <c r="D4" s="1" t="s">
        <v>89</v>
      </c>
      <c r="E4" s="1" t="s">
        <v>90</v>
      </c>
      <c r="F4" s="1" t="s">
        <v>91</v>
      </c>
      <c r="G4" s="1" t="s">
        <v>92</v>
      </c>
      <c r="I4">
        <f>I3+50</f>
        <v>350</v>
      </c>
      <c r="J4">
        <f t="shared" ref="J4:J17" si="0">($C$5+$D$5*$I4+$E$5*$I4^2+$F$5*$I4^3+$G$5*$I4^4)*$G$1</f>
        <v>37.925808254513782</v>
      </c>
      <c r="K4">
        <f t="shared" ref="K4:K17" si="1">($C$12+$D$12*$I4+$E$12*$I4^2+$F$12*$I4^3+$G$12*$I4^4)*$G$1</f>
        <v>58.822259738391693</v>
      </c>
      <c r="L4">
        <f t="shared" ref="L4:L17" si="2">($C$19+$D$19*$I4+$E$19*$I4^2+$F$19*$I4^3+$G$19*$I4^4)*$G$1</f>
        <v>39.344488716155759</v>
      </c>
      <c r="M4">
        <f t="shared" ref="M4:M17" si="3">($C$26+$D$26*$I4+$E$26*$I4^2+$F$26*$I4^3+$G$26*$I4^4)*$G$1</f>
        <v>29.142294136395741</v>
      </c>
      <c r="N4">
        <f t="shared" ref="N4:N17" si="4">($C$33+$D$33*$I4+$E$33*$I4^2+$F$33*$I4^3+$G$33*$I4^4)*$G$1</f>
        <v>29.178768976715464</v>
      </c>
      <c r="P4">
        <f t="shared" ref="P4:P38" si="5">J4/C$42</f>
        <v>2.3644518861916324</v>
      </c>
      <c r="Q4">
        <f t="shared" ref="Q4:Q38" si="6">K4/$C$40</f>
        <v>1.9561775769335448</v>
      </c>
      <c r="R4">
        <f t="shared" ref="R4:R38" si="7">L4/$C$43</f>
        <v>0.89398974587947655</v>
      </c>
      <c r="S4">
        <f t="shared" ref="S4:S38" si="8">M4/$C$41</f>
        <v>14.456363541676954</v>
      </c>
      <c r="T4">
        <f t="shared" ref="T4:T38" si="9">N4/$C$44</f>
        <v>1.041600411828463</v>
      </c>
      <c r="V4">
        <f t="shared" ref="V4:V38" si="10">D$42*P4+D$40*Q4+D$43*R4+D$41*S4+D$44*T4</f>
        <v>2.3510394018860556</v>
      </c>
    </row>
    <row r="5" spans="1:22" x14ac:dyDescent="0.3">
      <c r="A5" s="13"/>
      <c r="B5" s="1" t="s">
        <v>95</v>
      </c>
      <c r="C5" s="40">
        <v>5.14987613</v>
      </c>
      <c r="D5" s="40">
        <v>-1.3670978800000001E-2</v>
      </c>
      <c r="E5" s="40">
        <v>4.9180059899999999E-5</v>
      </c>
      <c r="F5" s="40">
        <v>-4.8474302600000002E-8</v>
      </c>
      <c r="G5" s="40">
        <v>1.6669395599999999E-11</v>
      </c>
      <c r="I5">
        <f t="shared" ref="I5:I37" si="11">I4+50</f>
        <v>400</v>
      </c>
      <c r="J5">
        <f t="shared" si="0"/>
        <v>40.530536985568467</v>
      </c>
      <c r="K5">
        <f t="shared" si="1"/>
        <v>65.1481086171935</v>
      </c>
      <c r="L5">
        <f t="shared" si="2"/>
        <v>41.277814449618745</v>
      </c>
      <c r="M5">
        <f t="shared" si="3"/>
        <v>29.277618420924082</v>
      </c>
      <c r="N5">
        <f t="shared" si="4"/>
        <v>29.274183863266309</v>
      </c>
      <c r="P5">
        <f t="shared" si="5"/>
        <v>2.5268414579531466</v>
      </c>
      <c r="Q5">
        <f t="shared" si="6"/>
        <v>2.1665483411105253</v>
      </c>
      <c r="R5">
        <f t="shared" si="7"/>
        <v>0.93791898317697675</v>
      </c>
      <c r="S5">
        <f t="shared" si="8"/>
        <v>14.523492678594003</v>
      </c>
      <c r="T5">
        <f t="shared" si="9"/>
        <v>1.0450064563125614</v>
      </c>
      <c r="V5">
        <f t="shared" si="10"/>
        <v>2.4797088494545414</v>
      </c>
    </row>
    <row r="6" spans="1:22" x14ac:dyDescent="0.3">
      <c r="A6" s="13"/>
      <c r="B6" s="1" t="s">
        <v>96</v>
      </c>
      <c r="C6" s="40">
        <v>1.6355264300000001</v>
      </c>
      <c r="D6" s="40">
        <v>1.00842795E-2</v>
      </c>
      <c r="E6" s="40">
        <v>-3.3691625399999999E-6</v>
      </c>
      <c r="F6" s="40">
        <v>5.3495866700000002E-10</v>
      </c>
      <c r="G6" s="40">
        <v>-3.15518833E-14</v>
      </c>
      <c r="I6">
        <f t="shared" si="11"/>
        <v>450</v>
      </c>
      <c r="J6">
        <f t="shared" si="0"/>
        <v>43.428567957528422</v>
      </c>
      <c r="K6">
        <f t="shared" si="1"/>
        <v>71.506753251681715</v>
      </c>
      <c r="L6">
        <f t="shared" si="2"/>
        <v>43.031927353760047</v>
      </c>
      <c r="M6">
        <f t="shared" si="3"/>
        <v>29.313625346400649</v>
      </c>
      <c r="N6">
        <f t="shared" si="4"/>
        <v>29.413806418308102</v>
      </c>
      <c r="P6">
        <f t="shared" si="5"/>
        <v>2.7075167055815728</v>
      </c>
      <c r="Q6">
        <f t="shared" si="6"/>
        <v>2.3780097523006889</v>
      </c>
      <c r="R6">
        <f t="shared" si="7"/>
        <v>0.97777612710202333</v>
      </c>
      <c r="S6">
        <f t="shared" si="8"/>
        <v>14.541354319900314</v>
      </c>
      <c r="T6">
        <f t="shared" si="9"/>
        <v>1.0499905908710867</v>
      </c>
      <c r="V6">
        <f t="shared" si="10"/>
        <v>2.6197353860024681</v>
      </c>
    </row>
    <row r="7" spans="1:22" x14ac:dyDescent="0.3">
      <c r="A7" s="13"/>
      <c r="I7">
        <f t="shared" si="11"/>
        <v>500</v>
      </c>
      <c r="J7">
        <f t="shared" si="0"/>
        <v>46.494333382033552</v>
      </c>
      <c r="K7">
        <f t="shared" si="1"/>
        <v>77.741236183563402</v>
      </c>
      <c r="L7">
        <f t="shared" si="2"/>
        <v>44.620639290892512</v>
      </c>
      <c r="M7">
        <f t="shared" si="3"/>
        <v>29.297818677544136</v>
      </c>
      <c r="N7">
        <f t="shared" si="4"/>
        <v>29.597888104582143</v>
      </c>
      <c r="P7">
        <f t="shared" si="5"/>
        <v>2.898649213343738</v>
      </c>
      <c r="Q7">
        <f t="shared" si="6"/>
        <v>2.5853420746113533</v>
      </c>
      <c r="R7">
        <f t="shared" si="7"/>
        <v>1.0138750122902185</v>
      </c>
      <c r="S7">
        <f t="shared" si="8"/>
        <v>14.533513243617742</v>
      </c>
      <c r="T7">
        <f t="shared" si="9"/>
        <v>1.0565617920203239</v>
      </c>
      <c r="V7">
        <f t="shared" si="10"/>
        <v>2.7660769717348863</v>
      </c>
    </row>
    <row r="8" spans="1:22" x14ac:dyDescent="0.3">
      <c r="A8" s="13"/>
      <c r="I8">
        <f t="shared" si="11"/>
        <v>550</v>
      </c>
      <c r="J8">
        <f t="shared" si="0"/>
        <v>49.623055149185269</v>
      </c>
      <c r="K8">
        <f t="shared" si="1"/>
        <v>83.728109812493202</v>
      </c>
      <c r="L8">
        <f t="shared" si="2"/>
        <v>46.057582904629584</v>
      </c>
      <c r="M8">
        <f t="shared" si="3"/>
        <v>29.268502858528741</v>
      </c>
      <c r="N8">
        <f t="shared" si="4"/>
        <v>29.824923347173897</v>
      </c>
      <c r="P8">
        <f t="shared" si="5"/>
        <v>3.0937066801237703</v>
      </c>
      <c r="Q8">
        <f t="shared" si="6"/>
        <v>2.784439967159734</v>
      </c>
      <c r="R8">
        <f t="shared" si="7"/>
        <v>1.046525401150411</v>
      </c>
      <c r="S8">
        <f t="shared" si="8"/>
        <v>14.518970801103608</v>
      </c>
      <c r="T8">
        <f t="shared" si="9"/>
        <v>1.0646663149483424</v>
      </c>
      <c r="V8">
        <f t="shared" si="10"/>
        <v>2.9145160600327813</v>
      </c>
    </row>
    <row r="9" spans="1:22" x14ac:dyDescent="0.3">
      <c r="I9">
        <f t="shared" si="11"/>
        <v>600</v>
      </c>
      <c r="J9">
        <f t="shared" si="0"/>
        <v>52.730744827546538</v>
      </c>
      <c r="K9">
        <f t="shared" si="1"/>
        <v>89.37743639607335</v>
      </c>
      <c r="L9">
        <f t="shared" si="2"/>
        <v>47.3562116198854</v>
      </c>
      <c r="M9">
        <f t="shared" si="3"/>
        <v>29.254783012984266</v>
      </c>
      <c r="N9">
        <f t="shared" si="4"/>
        <v>30.091649533512999</v>
      </c>
      <c r="P9">
        <f t="shared" si="5"/>
        <v>3.2874529194231008</v>
      </c>
      <c r="Q9">
        <f t="shared" si="6"/>
        <v>2.9723124840729414</v>
      </c>
      <c r="R9">
        <f t="shared" si="7"/>
        <v>1.0760329838646989</v>
      </c>
      <c r="S9">
        <f t="shared" si="8"/>
        <v>14.512164917050749</v>
      </c>
      <c r="T9">
        <f t="shared" si="9"/>
        <v>1.0741876935149963</v>
      </c>
      <c r="V9">
        <f t="shared" si="10"/>
        <v>3.0616595974530791</v>
      </c>
    </row>
    <row r="10" spans="1:22" x14ac:dyDescent="0.3">
      <c r="A10" s="11" t="s">
        <v>111</v>
      </c>
      <c r="I10">
        <f t="shared" si="11"/>
        <v>650</v>
      </c>
      <c r="J10">
        <f t="shared" si="0"/>
        <v>55.754203664141819</v>
      </c>
      <c r="K10">
        <f t="shared" si="1"/>
        <v>94.632788049853616</v>
      </c>
      <c r="L10">
        <f t="shared" si="2"/>
        <v>48.529799642874792</v>
      </c>
      <c r="M10">
        <f t="shared" si="3"/>
        <v>29.276564943996107</v>
      </c>
      <c r="N10">
        <f t="shared" si="4"/>
        <v>30.393047013373266</v>
      </c>
      <c r="P10">
        <f t="shared" si="5"/>
        <v>3.4759478593604629</v>
      </c>
      <c r="Q10">
        <f t="shared" si="6"/>
        <v>3.1470830744879819</v>
      </c>
      <c r="R10">
        <f t="shared" si="7"/>
        <v>1.1026993783884298</v>
      </c>
      <c r="S10">
        <f t="shared" si="8"/>
        <v>14.522970089487522</v>
      </c>
      <c r="T10">
        <f t="shared" si="9"/>
        <v>1.0849467402519246</v>
      </c>
      <c r="V10">
        <f t="shared" si="10"/>
        <v>3.2049390237286457</v>
      </c>
    </row>
    <row r="11" spans="1:22" x14ac:dyDescent="0.3">
      <c r="A11" s="1" t="s">
        <v>60</v>
      </c>
      <c r="C11" s="1" t="s">
        <v>88</v>
      </c>
      <c r="D11" s="1" t="s">
        <v>89</v>
      </c>
      <c r="E11" s="1" t="s">
        <v>90</v>
      </c>
      <c r="F11" s="1" t="s">
        <v>91</v>
      </c>
      <c r="G11" s="1" t="s">
        <v>92</v>
      </c>
      <c r="H11" s="1"/>
      <c r="I11">
        <f t="shared" si="11"/>
        <v>700</v>
      </c>
      <c r="J11">
        <f t="shared" si="0"/>
        <v>58.651022584457152</v>
      </c>
      <c r="K11">
        <f t="shared" si="1"/>
        <v>99.47124674733135</v>
      </c>
      <c r="L11">
        <f t="shared" si="2"/>
        <v>49.591441961113254</v>
      </c>
      <c r="M11">
        <f t="shared" si="3"/>
        <v>29.344555134105182</v>
      </c>
      <c r="N11">
        <f t="shared" si="4"/>
        <v>30.72233909887267</v>
      </c>
      <c r="P11">
        <f t="shared" si="5"/>
        <v>3.6565475426718925</v>
      </c>
      <c r="Q11">
        <f t="shared" si="6"/>
        <v>3.3079895825517576</v>
      </c>
      <c r="R11">
        <f t="shared" si="7"/>
        <v>1.1268221304501991</v>
      </c>
      <c r="S11">
        <f t="shared" si="8"/>
        <v>14.556697389777755</v>
      </c>
      <c r="T11">
        <f t="shared" si="9"/>
        <v>1.0967015463625505</v>
      </c>
      <c r="V11">
        <f t="shared" si="10"/>
        <v>3.342610271768284</v>
      </c>
    </row>
    <row r="12" spans="1:22" x14ac:dyDescent="0.3">
      <c r="A12" s="13"/>
      <c r="B12" s="1" t="s">
        <v>95</v>
      </c>
      <c r="C12" s="40">
        <v>4.2914249199999999</v>
      </c>
      <c r="D12" s="40">
        <v>-5.5015426999999997E-3</v>
      </c>
      <c r="E12" s="40">
        <v>5.9943828800000003E-5</v>
      </c>
      <c r="F12" s="40">
        <v>-7.0846628500000001E-8</v>
      </c>
      <c r="G12" s="40">
        <v>2.6868577099999999E-11</v>
      </c>
      <c r="I12">
        <f t="shared" si="11"/>
        <v>750</v>
      </c>
      <c r="J12">
        <f t="shared" si="0"/>
        <v>61.399582192439986</v>
      </c>
      <c r="K12">
        <f t="shared" si="1"/>
        <v>103.90340431995136</v>
      </c>
      <c r="L12">
        <f t="shared" si="2"/>
        <v>50.554054343416944</v>
      </c>
      <c r="M12">
        <f t="shared" si="3"/>
        <v>29.460260745308002</v>
      </c>
      <c r="N12">
        <f t="shared" si="4"/>
        <v>31.070992064473359</v>
      </c>
      <c r="P12">
        <f t="shared" si="5"/>
        <v>3.8279041267107226</v>
      </c>
      <c r="Q12">
        <f t="shared" si="6"/>
        <v>3.4553842474210628</v>
      </c>
      <c r="R12">
        <f t="shared" si="7"/>
        <v>1.1486947135518506</v>
      </c>
      <c r="S12">
        <f t="shared" si="8"/>
        <v>14.614094462620791</v>
      </c>
      <c r="T12">
        <f t="shared" si="9"/>
        <v>1.1091474817220814</v>
      </c>
      <c r="V12">
        <f t="shared" si="10"/>
        <v>3.4737537676567358</v>
      </c>
    </row>
    <row r="13" spans="1:22" x14ac:dyDescent="0.3">
      <c r="A13" s="13"/>
      <c r="B13" s="1" t="s">
        <v>96</v>
      </c>
      <c r="C13" s="40">
        <v>4.04666674</v>
      </c>
      <c r="D13" s="40">
        <v>1.53538766E-2</v>
      </c>
      <c r="E13" s="40">
        <v>-5.4703932099999999E-6</v>
      </c>
      <c r="F13" s="40">
        <v>8.7782622800000003E-10</v>
      </c>
      <c r="G13" s="40">
        <v>-5.2316730500000003E-14</v>
      </c>
      <c r="I13">
        <f t="shared" si="11"/>
        <v>800</v>
      </c>
      <c r="J13">
        <f t="shared" si="0"/>
        <v>63.999052770499432</v>
      </c>
      <c r="K13">
        <f t="shared" si="1"/>
        <v>107.97336245710616</v>
      </c>
      <c r="L13">
        <f t="shared" si="2"/>
        <v>51.43037333990268</v>
      </c>
      <c r="M13">
        <f t="shared" si="3"/>
        <v>29.615989619056688</v>
      </c>
      <c r="N13">
        <f t="shared" si="4"/>
        <v>31.428715146981656</v>
      </c>
      <c r="P13">
        <f t="shared" si="5"/>
        <v>3.9899658834475957</v>
      </c>
      <c r="Q13">
        <f t="shared" si="6"/>
        <v>3.5907337032625928</v>
      </c>
      <c r="R13">
        <f t="shared" si="7"/>
        <v>1.1686065289684773</v>
      </c>
      <c r="S13">
        <f t="shared" si="8"/>
        <v>14.691345526051494</v>
      </c>
      <c r="T13">
        <f t="shared" si="9"/>
        <v>1.1219171948775106</v>
      </c>
      <c r="V13">
        <f t="shared" si="10"/>
        <v>3.5982744306546843</v>
      </c>
    </row>
    <row r="14" spans="1:22" x14ac:dyDescent="0.3">
      <c r="A14" s="13"/>
      <c r="I14">
        <f t="shared" si="11"/>
        <v>850</v>
      </c>
      <c r="J14">
        <f t="shared" si="0"/>
        <v>66.469394279506062</v>
      </c>
      <c r="K14">
        <f t="shared" si="1"/>
        <v>111.75873270613567</v>
      </c>
      <c r="L14">
        <f t="shared" si="2"/>
        <v>52.23295628198801</v>
      </c>
      <c r="M14">
        <f t="shared" si="3"/>
        <v>29.794850276258888</v>
      </c>
      <c r="N14">
        <f t="shared" si="4"/>
        <v>31.783460545548053</v>
      </c>
      <c r="P14">
        <f t="shared" si="5"/>
        <v>4.1439771994704531</v>
      </c>
      <c r="Q14">
        <f t="shared" si="6"/>
        <v>3.7166189792529321</v>
      </c>
      <c r="R14">
        <f t="shared" si="7"/>
        <v>1.1868429057484211</v>
      </c>
      <c r="S14">
        <f t="shared" si="8"/>
        <v>14.780071371440208</v>
      </c>
      <c r="T14">
        <f t="shared" si="9"/>
        <v>1.1345806130476148</v>
      </c>
      <c r="V14">
        <f t="shared" si="10"/>
        <v>3.7169016731987483</v>
      </c>
    </row>
    <row r="15" spans="1:22" x14ac:dyDescent="0.3">
      <c r="A15" s="13"/>
      <c r="I15">
        <f t="shared" si="11"/>
        <v>900</v>
      </c>
      <c r="J15">
        <f t="shared" si="0"/>
        <v>68.851356358791904</v>
      </c>
      <c r="K15">
        <f t="shared" si="1"/>
        <v>115.37063647232755</v>
      </c>
      <c r="L15">
        <f t="shared" si="2"/>
        <v>52.974181282391108</v>
      </c>
      <c r="M15">
        <f t="shared" si="3"/>
        <v>29.97075191727777</v>
      </c>
      <c r="N15">
        <f t="shared" si="4"/>
        <v>32.121423421667195</v>
      </c>
      <c r="P15">
        <f t="shared" si="5"/>
        <v>4.292478575984533</v>
      </c>
      <c r="Q15">
        <f t="shared" si="6"/>
        <v>3.8367354995785683</v>
      </c>
      <c r="R15">
        <f t="shared" si="7"/>
        <v>1.2036851007132723</v>
      </c>
      <c r="S15">
        <f t="shared" si="8"/>
        <v>14.867329363492752</v>
      </c>
      <c r="T15">
        <f t="shared" si="9"/>
        <v>1.1466449421229552</v>
      </c>
      <c r="V15">
        <f t="shared" si="10"/>
        <v>3.8311894009014851</v>
      </c>
    </row>
    <row r="16" spans="1:22" x14ac:dyDescent="0.3">
      <c r="I16">
        <f t="shared" si="11"/>
        <v>950</v>
      </c>
      <c r="J16">
        <f t="shared" si="0"/>
        <v>71.206478326150545</v>
      </c>
      <c r="K16">
        <f t="shared" si="1"/>
        <v>118.95370501891684</v>
      </c>
      <c r="L16">
        <f t="shared" si="2"/>
        <v>53.666247235130847</v>
      </c>
      <c r="M16">
        <f t="shared" si="3"/>
        <v>30.108404421932232</v>
      </c>
      <c r="N16">
        <f t="shared" si="4"/>
        <v>32.427041899177937</v>
      </c>
      <c r="P16">
        <f t="shared" si="5"/>
        <v>4.4393066288123784</v>
      </c>
      <c r="Q16">
        <f t="shared" si="6"/>
        <v>3.9558930834358774</v>
      </c>
      <c r="R16">
        <f t="shared" si="7"/>
        <v>1.2194102984578699</v>
      </c>
      <c r="S16">
        <f t="shared" si="8"/>
        <v>14.935613440250526</v>
      </c>
      <c r="T16">
        <f t="shared" si="9"/>
        <v>1.1575546666658791</v>
      </c>
      <c r="V16">
        <f t="shared" si="10"/>
        <v>3.9435160125513926</v>
      </c>
    </row>
    <row r="17" spans="1:22" x14ac:dyDescent="0.3">
      <c r="A17" s="11" t="s">
        <v>2</v>
      </c>
      <c r="I17">
        <f t="shared" si="11"/>
        <v>1000</v>
      </c>
      <c r="J17">
        <f t="shared" si="0"/>
        <v>73.617089177837258</v>
      </c>
      <c r="K17">
        <f t="shared" si="1"/>
        <v>122.6860794670862</v>
      </c>
      <c r="L17">
        <f t="shared" si="2"/>
        <v>54.321173815526727</v>
      </c>
      <c r="M17">
        <f t="shared" si="3"/>
        <v>30.163318349496613</v>
      </c>
      <c r="N17">
        <f t="shared" si="4"/>
        <v>32.682997064263262</v>
      </c>
      <c r="P17">
        <f t="shared" si="5"/>
        <v>4.5895940883938442</v>
      </c>
      <c r="Q17">
        <f t="shared" si="6"/>
        <v>4.0800159450311337</v>
      </c>
      <c r="R17">
        <f t="shared" si="7"/>
        <v>1.2342916113503006</v>
      </c>
      <c r="S17">
        <f t="shared" si="8"/>
        <v>14.962854113090367</v>
      </c>
      <c r="T17">
        <f t="shared" si="9"/>
        <v>1.1666915499105164</v>
      </c>
      <c r="V17">
        <f t="shared" si="10"/>
        <v>4.0570844001129114</v>
      </c>
    </row>
    <row r="18" spans="1:22" x14ac:dyDescent="0.3">
      <c r="A18" s="1" t="s">
        <v>60</v>
      </c>
      <c r="C18" s="1" t="s">
        <v>88</v>
      </c>
      <c r="D18" s="1" t="s">
        <v>89</v>
      </c>
      <c r="E18" s="1" t="s">
        <v>90</v>
      </c>
      <c r="F18" s="1" t="s">
        <v>91</v>
      </c>
      <c r="G18" s="1" t="s">
        <v>92</v>
      </c>
      <c r="H18" s="1"/>
      <c r="I18">
        <f t="shared" si="11"/>
        <v>1050</v>
      </c>
      <c r="J18">
        <f>($C$6+$D$6*$I18+$E$6*$I18^2+$F$6*$I18^3+$G$6*$I18^4)*$G$1</f>
        <v>75.582622631214164</v>
      </c>
      <c r="K18">
        <f>($C$13+$D$13*$I18+$E$13*$I18^2+$F$13*$I18^3+$G$13*$I18^4)*$G$1</f>
        <v>125.4637187169659</v>
      </c>
      <c r="L18">
        <f>($C$20+$D$20*$I18+$E$20*$I18^2+$F$20*$I18^3+$G$20*$I18^4)*$G$1</f>
        <v>54.805894117425588</v>
      </c>
      <c r="M18">
        <f>($C$27+$D$27*$I18+$E$27*$I18^2+$F$27*$I18^3+$G$27*$I18^4)*$G$1</f>
        <v>30.401152561102496</v>
      </c>
      <c r="N18">
        <f>($C$34+$D$34*$I18+$E$34*$I18^2+$F$34*$I18^3+$G$34*$I18^4)*$G$1</f>
        <v>32.938641711489957</v>
      </c>
      <c r="P18">
        <f t="shared" si="5"/>
        <v>4.7121335804996365</v>
      </c>
      <c r="Q18">
        <f t="shared" si="6"/>
        <v>4.1723883843354139</v>
      </c>
      <c r="R18">
        <f t="shared" si="7"/>
        <v>1.2453054786963325</v>
      </c>
      <c r="S18">
        <f t="shared" si="8"/>
        <v>15.080834454978715</v>
      </c>
      <c r="T18">
        <f t="shared" si="9"/>
        <v>1.1758173485364132</v>
      </c>
      <c r="V18">
        <f t="shared" si="10"/>
        <v>4.1518798600193731</v>
      </c>
    </row>
    <row r="19" spans="1:22" x14ac:dyDescent="0.3">
      <c r="A19" s="13"/>
      <c r="B19" s="1" t="s">
        <v>95</v>
      </c>
      <c r="C19" s="40">
        <v>2.35677352</v>
      </c>
      <c r="D19" s="40">
        <v>8.9845967700000005E-3</v>
      </c>
      <c r="E19" s="40">
        <v>-7.1235626899999998E-6</v>
      </c>
      <c r="F19" s="40">
        <v>2.4591902199999998E-9</v>
      </c>
      <c r="G19" s="40">
        <v>-1.4369954799999999E-13</v>
      </c>
      <c r="I19">
        <f t="shared" si="11"/>
        <v>1100</v>
      </c>
      <c r="J19">
        <f t="shared" ref="J19:J38" si="12">($C$6+$D$6*$I19+$E$6*$I19^2+$F$6*$I19^3+$G$6*$I19^4)*$G$1</f>
        <v>77.469466478292347</v>
      </c>
      <c r="K19">
        <f t="shared" ref="K19:K38" si="13">($C$13+$D$13*$I19+$E$13*$I19^2+$F$13*$I19^3+$G$13*$I19^4)*$G$1</f>
        <v>128.11450148997</v>
      </c>
      <c r="L19">
        <f t="shared" ref="L19:L38" si="14">($C$20+$D$20*$I19+$E$20*$I19^2+$F$20*$I19^3+$G$20*$I19^4)*$G$1</f>
        <v>55.267696330677268</v>
      </c>
      <c r="M19">
        <f t="shared" ref="M19:M38" si="15">($C$27+$D$27*$I19+$E$27*$I19^2+$F$27*$I19^3+$G$27*$I19^4)*$G$1</f>
        <v>30.634729012791027</v>
      </c>
      <c r="N19">
        <f t="shared" ref="N19:N38" si="16">($C$34+$D$34*$I19+$E$34*$I19^2+$F$34*$I19^3+$G$34*$I19^4)*$G$1</f>
        <v>33.182831948564612</v>
      </c>
      <c r="P19">
        <f t="shared" si="5"/>
        <v>4.8297672368012687</v>
      </c>
      <c r="Q19">
        <f t="shared" si="6"/>
        <v>4.2605421180568674</v>
      </c>
      <c r="R19">
        <f t="shared" si="7"/>
        <v>1.255798598742951</v>
      </c>
      <c r="S19">
        <f t="shared" si="8"/>
        <v>15.196702687060254</v>
      </c>
      <c r="T19">
        <f t="shared" si="9"/>
        <v>1.1845342567687112</v>
      </c>
      <c r="V19">
        <f t="shared" si="10"/>
        <v>4.2429019297612198</v>
      </c>
    </row>
    <row r="20" spans="1:22" x14ac:dyDescent="0.3">
      <c r="A20" s="13"/>
      <c r="B20" s="1" t="s">
        <v>96</v>
      </c>
      <c r="C20" s="40">
        <v>4.6365949300000002</v>
      </c>
      <c r="D20" s="40">
        <v>2.7413199100000001E-3</v>
      </c>
      <c r="E20" s="40">
        <v>-9.958285309999999E-7</v>
      </c>
      <c r="F20" s="40">
        <v>1.60373011E-10</v>
      </c>
      <c r="G20" s="40">
        <v>-9.1610346800000004E-15</v>
      </c>
      <c r="I20">
        <f t="shared" si="11"/>
        <v>1150</v>
      </c>
      <c r="J20">
        <f t="shared" si="12"/>
        <v>79.280110148855982</v>
      </c>
      <c r="K20">
        <f t="shared" si="13"/>
        <v>130.64249903343853</v>
      </c>
      <c r="L20">
        <f t="shared" si="14"/>
        <v>55.707334986599676</v>
      </c>
      <c r="M20">
        <f t="shared" si="15"/>
        <v>30.864125275619951</v>
      </c>
      <c r="N20">
        <f t="shared" si="16"/>
        <v>33.415934344842718</v>
      </c>
      <c r="P20">
        <f t="shared" si="5"/>
        <v>4.9426502586568573</v>
      </c>
      <c r="Q20">
        <f t="shared" si="6"/>
        <v>4.3446125385247267</v>
      </c>
      <c r="R20">
        <f t="shared" si="7"/>
        <v>1.2657881160327125</v>
      </c>
      <c r="S20">
        <f t="shared" si="8"/>
        <v>15.310497289332673</v>
      </c>
      <c r="T20">
        <f t="shared" si="9"/>
        <v>1.1928553601077598</v>
      </c>
      <c r="V20">
        <f t="shared" si="10"/>
        <v>4.3302694230281142</v>
      </c>
    </row>
    <row r="21" spans="1:22" x14ac:dyDescent="0.3">
      <c r="A21" s="13"/>
      <c r="I21">
        <f t="shared" si="11"/>
        <v>1200</v>
      </c>
      <c r="J21">
        <f t="shared" si="12"/>
        <v>81.017004190028743</v>
      </c>
      <c r="K21">
        <f t="shared" si="13"/>
        <v>133.0517172841559</v>
      </c>
      <c r="L21">
        <f t="shared" si="14"/>
        <v>56.125553080334278</v>
      </c>
      <c r="M21">
        <f t="shared" si="15"/>
        <v>31.089418115896684</v>
      </c>
      <c r="N21">
        <f t="shared" si="16"/>
        <v>33.638309752431539</v>
      </c>
      <c r="P21">
        <f t="shared" si="5"/>
        <v>5.0509354233185002</v>
      </c>
      <c r="Q21">
        <f t="shared" si="6"/>
        <v>4.4247328661175889</v>
      </c>
      <c r="R21">
        <f t="shared" si="7"/>
        <v>1.2752909129819197</v>
      </c>
      <c r="S21">
        <f t="shared" si="8"/>
        <v>15.422256342588192</v>
      </c>
      <c r="T21">
        <f t="shared" si="9"/>
        <v>1.2007935399641436</v>
      </c>
      <c r="V21">
        <f t="shared" si="10"/>
        <v>4.4140992993497576</v>
      </c>
    </row>
    <row r="22" spans="1:22" x14ac:dyDescent="0.3">
      <c r="A22" s="13"/>
      <c r="I22">
        <f t="shared" si="11"/>
        <v>1250</v>
      </c>
      <c r="J22">
        <f t="shared" si="12"/>
        <v>82.682559798166864</v>
      </c>
      <c r="K22">
        <f t="shared" si="13"/>
        <v>135.34609693070971</v>
      </c>
      <c r="L22">
        <f t="shared" si="14"/>
        <v>56.523082181595392</v>
      </c>
      <c r="M22">
        <f t="shared" si="15"/>
        <v>31.310683440867965</v>
      </c>
      <c r="N22">
        <f t="shared" si="16"/>
        <v>33.850313277006322</v>
      </c>
      <c r="P22">
        <f t="shared" si="5"/>
        <v>5.1547730547485582</v>
      </c>
      <c r="Q22">
        <f t="shared" si="6"/>
        <v>4.501034151337203</v>
      </c>
      <c r="R22">
        <f t="shared" si="7"/>
        <v>1.2843236123970778</v>
      </c>
      <c r="S22">
        <f t="shared" si="8"/>
        <v>15.532017501472291</v>
      </c>
      <c r="T22">
        <f t="shared" si="9"/>
        <v>1.2083614726169019</v>
      </c>
      <c r="V22">
        <f t="shared" si="10"/>
        <v>4.4945066436041312</v>
      </c>
    </row>
    <row r="23" spans="1:22" x14ac:dyDescent="0.3">
      <c r="I23">
        <f t="shared" si="11"/>
        <v>1300</v>
      </c>
      <c r="J23">
        <f t="shared" si="12"/>
        <v>84.279148818859298</v>
      </c>
      <c r="K23">
        <f t="shared" si="13"/>
        <v>137.52951341349063</v>
      </c>
      <c r="L23">
        <f t="shared" si="14"/>
        <v>56.900642434670154</v>
      </c>
      <c r="M23">
        <f t="shared" si="15"/>
        <v>31.527996298719813</v>
      </c>
      <c r="N23">
        <f t="shared" si="16"/>
        <v>34.052294277810169</v>
      </c>
      <c r="P23">
        <f t="shared" si="5"/>
        <v>5.2543110236196569</v>
      </c>
      <c r="Q23">
        <f t="shared" si="6"/>
        <v>4.5736452748084684</v>
      </c>
      <c r="R23">
        <f t="shared" si="7"/>
        <v>1.2929025774748957</v>
      </c>
      <c r="S23">
        <f t="shared" si="8"/>
        <v>15.639817994483705</v>
      </c>
      <c r="T23">
        <f t="shared" si="9"/>
        <v>1.2155716292135252</v>
      </c>
      <c r="V23">
        <f t="shared" si="10"/>
        <v>4.5716046660175049</v>
      </c>
    </row>
    <row r="24" spans="1:22" x14ac:dyDescent="0.3">
      <c r="A24" s="11" t="s">
        <v>1</v>
      </c>
      <c r="I24">
        <f t="shared" si="11"/>
        <v>1350</v>
      </c>
      <c r="J24">
        <f t="shared" si="12"/>
        <v>85.809103746927548</v>
      </c>
      <c r="K24">
        <f t="shared" si="13"/>
        <v>139.60577692469258</v>
      </c>
      <c r="L24">
        <f t="shared" si="14"/>
        <v>57.258942558418511</v>
      </c>
      <c r="M24">
        <f t="shared" si="15"/>
        <v>31.741430878577557</v>
      </c>
      <c r="N24">
        <f t="shared" si="16"/>
        <v>34.244596367654154</v>
      </c>
      <c r="P24">
        <f t="shared" si="5"/>
        <v>5.3496947473146852</v>
      </c>
      <c r="Q24">
        <f t="shared" si="6"/>
        <v>4.6426929472794338</v>
      </c>
      <c r="R24">
        <f t="shared" si="7"/>
        <v>1.3010439118022838</v>
      </c>
      <c r="S24">
        <f t="shared" si="8"/>
        <v>15.745694623974421</v>
      </c>
      <c r="T24">
        <f t="shared" si="9"/>
        <v>1.2224362757699585</v>
      </c>
      <c r="V24">
        <f t="shared" si="10"/>
        <v>4.6455047021644349</v>
      </c>
    </row>
    <row r="25" spans="1:22" x14ac:dyDescent="0.3">
      <c r="A25" s="1" t="s">
        <v>60</v>
      </c>
      <c r="C25" s="1" t="s">
        <v>88</v>
      </c>
      <c r="D25" s="1" t="s">
        <v>89</v>
      </c>
      <c r="E25" s="1" t="s">
        <v>90</v>
      </c>
      <c r="F25" s="1" t="s">
        <v>91</v>
      </c>
      <c r="G25" s="1" t="s">
        <v>92</v>
      </c>
      <c r="H25" s="1"/>
      <c r="I25">
        <f t="shared" si="11"/>
        <v>1400</v>
      </c>
      <c r="J25">
        <f t="shared" si="12"/>
        <v>87.274717726425735</v>
      </c>
      <c r="K25">
        <f t="shared" si="13"/>
        <v>141.5786324083127</v>
      </c>
      <c r="L25">
        <f t="shared" si="14"/>
        <v>57.598679846273306</v>
      </c>
      <c r="M25">
        <f t="shared" si="15"/>
        <v>31.951060510505819</v>
      </c>
      <c r="N25">
        <f t="shared" si="16"/>
        <v>34.427557412917238</v>
      </c>
      <c r="P25">
        <f t="shared" si="5"/>
        <v>5.4410671899267919</v>
      </c>
      <c r="Q25">
        <f t="shared" si="6"/>
        <v>4.7083017096213071</v>
      </c>
      <c r="R25">
        <f t="shared" si="7"/>
        <v>1.3087634593563577</v>
      </c>
      <c r="S25">
        <f t="shared" si="8"/>
        <v>15.849683766149679</v>
      </c>
      <c r="T25">
        <f t="shared" si="9"/>
        <v>1.2289674731705982</v>
      </c>
      <c r="V25">
        <f t="shared" si="10"/>
        <v>4.7163162129677563</v>
      </c>
    </row>
    <row r="26" spans="1:22" x14ac:dyDescent="0.3">
      <c r="A26" s="13"/>
      <c r="B26" s="1" t="s">
        <v>95</v>
      </c>
      <c r="C26" s="40">
        <v>2.3443311200000001</v>
      </c>
      <c r="D26" s="40">
        <v>7.9805207499999992E-3</v>
      </c>
      <c r="E26" s="40">
        <v>-1.9478150999999999E-5</v>
      </c>
      <c r="F26" s="40">
        <v>2.01572094E-8</v>
      </c>
      <c r="G26" s="40">
        <v>-7.3761176100000006E-12</v>
      </c>
      <c r="I26">
        <f t="shared" si="11"/>
        <v>1450</v>
      </c>
      <c r="J26">
        <f t="shared" si="12"/>
        <v>88.678244550640571</v>
      </c>
      <c r="K26">
        <f t="shared" si="13"/>
        <v>143.45175956015112</v>
      </c>
      <c r="L26">
        <f t="shared" si="14"/>
        <v>57.920540166240137</v>
      </c>
      <c r="M26">
        <f t="shared" si="15"/>
        <v>32.156957665508529</v>
      </c>
      <c r="N26">
        <f t="shared" si="16"/>
        <v>34.601509533546277</v>
      </c>
      <c r="P26">
        <f t="shared" si="5"/>
        <v>5.5285688622593874</v>
      </c>
      <c r="Q26">
        <f t="shared" si="6"/>
        <v>4.7705939328284375</v>
      </c>
      <c r="R26">
        <f t="shared" si="7"/>
        <v>1.316076804504434</v>
      </c>
      <c r="S26">
        <f t="shared" si="8"/>
        <v>15.951821371067984</v>
      </c>
      <c r="T26">
        <f t="shared" si="9"/>
        <v>1.2351770771682937</v>
      </c>
      <c r="V26">
        <f t="shared" si="10"/>
        <v>4.7841467846985957</v>
      </c>
    </row>
    <row r="27" spans="1:22" x14ac:dyDescent="0.3">
      <c r="A27" s="13"/>
      <c r="B27" s="1" t="s">
        <v>96</v>
      </c>
      <c r="C27" s="40">
        <v>2.9328657900000001</v>
      </c>
      <c r="D27" s="40">
        <v>8.2660796699999997E-4</v>
      </c>
      <c r="E27" s="40">
        <v>-1.4640233499999999E-7</v>
      </c>
      <c r="F27" s="40">
        <v>1.54100359E-11</v>
      </c>
      <c r="G27" s="40">
        <v>-6.88804432E-16</v>
      </c>
      <c r="I27">
        <f t="shared" si="11"/>
        <v>1500</v>
      </c>
      <c r="J27">
        <f t="shared" si="12"/>
        <v>90.021898662091516</v>
      </c>
      <c r="K27">
        <f t="shared" si="13"/>
        <v>145.22877282781124</v>
      </c>
      <c r="L27">
        <f t="shared" si="14"/>
        <v>58.225197960897454</v>
      </c>
      <c r="M27">
        <f t="shared" si="15"/>
        <v>32.359193955528902</v>
      </c>
      <c r="N27">
        <f t="shared" si="16"/>
        <v>34.766779103056081</v>
      </c>
      <c r="P27">
        <f t="shared" si="5"/>
        <v>5.6123378218261548</v>
      </c>
      <c r="Q27">
        <f t="shared" si="6"/>
        <v>4.8296898180183323</v>
      </c>
      <c r="R27">
        <f t="shared" si="7"/>
        <v>1.3229992720040322</v>
      </c>
      <c r="S27">
        <f t="shared" si="8"/>
        <v>16.052142962641081</v>
      </c>
      <c r="T27">
        <f t="shared" si="9"/>
        <v>1.2410767383843475</v>
      </c>
      <c r="V27">
        <f t="shared" si="10"/>
        <v>4.8491021289763605</v>
      </c>
    </row>
    <row r="28" spans="1:22" x14ac:dyDescent="0.3">
      <c r="A28" s="13"/>
      <c r="I28">
        <f t="shared" si="11"/>
        <v>1550</v>
      </c>
      <c r="J28">
        <f t="shared" si="12"/>
        <v>91.307855152530465</v>
      </c>
      <c r="K28">
        <f t="shared" si="13"/>
        <v>146.91322141069966</v>
      </c>
      <c r="L28">
        <f t="shared" si="14"/>
        <v>58.513316247396581</v>
      </c>
      <c r="M28">
        <f t="shared" si="15"/>
        <v>32.557840133449467</v>
      </c>
      <c r="N28">
        <f t="shared" si="16"/>
        <v>34.923686748529335</v>
      </c>
      <c r="P28">
        <f t="shared" si="5"/>
        <v>5.6925096728510267</v>
      </c>
      <c r="Q28">
        <f t="shared" si="6"/>
        <v>4.8857073964316484</v>
      </c>
      <c r="R28">
        <f t="shared" si="7"/>
        <v>1.3295459270028762</v>
      </c>
      <c r="S28">
        <f t="shared" si="8"/>
        <v>16.150683638633978</v>
      </c>
      <c r="T28">
        <f t="shared" si="9"/>
        <v>1.2466779023085142</v>
      </c>
      <c r="V28">
        <f t="shared" si="10"/>
        <v>4.9112860827687435</v>
      </c>
    </row>
    <row r="29" spans="1:22" x14ac:dyDescent="0.3">
      <c r="A29" s="13"/>
      <c r="I29">
        <f t="shared" si="11"/>
        <v>1600</v>
      </c>
      <c r="J29">
        <f t="shared" si="12"/>
        <v>92.538249762942087</v>
      </c>
      <c r="K29">
        <f t="shared" si="13"/>
        <v>148.50858926002607</v>
      </c>
      <c r="L29">
        <f t="shared" si="14"/>
        <v>58.785546617461648</v>
      </c>
      <c r="M29">
        <f t="shared" si="15"/>
        <v>32.752966093092041</v>
      </c>
      <c r="N29">
        <f t="shared" si="16"/>
        <v>35.072547350616645</v>
      </c>
      <c r="P29">
        <f t="shared" si="5"/>
        <v>5.7692175662682104</v>
      </c>
      <c r="Q29">
        <f t="shared" si="6"/>
        <v>4.9387625294321937</v>
      </c>
      <c r="R29">
        <f t="shared" si="7"/>
        <v>1.3357315750388923</v>
      </c>
      <c r="S29">
        <f t="shared" si="8"/>
        <v>16.24747807066494</v>
      </c>
      <c r="T29">
        <f t="shared" si="9"/>
        <v>1.2519918092990014</v>
      </c>
      <c r="V29">
        <f t="shared" si="10"/>
        <v>4.9708006083917242</v>
      </c>
    </row>
    <row r="30" spans="1:22" x14ac:dyDescent="0.3">
      <c r="I30">
        <f t="shared" si="11"/>
        <v>1650</v>
      </c>
      <c r="J30">
        <f t="shared" si="12"/>
        <v>93.71517888354353</v>
      </c>
      <c r="K30">
        <f t="shared" si="13"/>
        <v>150.01829507880328</v>
      </c>
      <c r="L30">
        <f t="shared" si="14"/>
        <v>59.042529237389573</v>
      </c>
      <c r="M30">
        <f t="shared" si="15"/>
        <v>32.944640869217757</v>
      </c>
      <c r="N30">
        <f t="shared" si="16"/>
        <v>35.213670043536574</v>
      </c>
      <c r="P30">
        <f t="shared" si="5"/>
        <v>5.8425921997221657</v>
      </c>
      <c r="Q30">
        <f t="shared" si="6"/>
        <v>4.9889689085069264</v>
      </c>
      <c r="R30">
        <f t="shared" si="7"/>
        <v>1.3415707620402084</v>
      </c>
      <c r="S30">
        <f t="shared" si="8"/>
        <v>16.342560504205487</v>
      </c>
      <c r="T30">
        <f t="shared" si="9"/>
        <v>1.2570294945824703</v>
      </c>
      <c r="V30">
        <f t="shared" si="10"/>
        <v>5.0277457935095642</v>
      </c>
    </row>
    <row r="31" spans="1:22" x14ac:dyDescent="0.3">
      <c r="A31" s="11" t="s">
        <v>3</v>
      </c>
      <c r="I31">
        <f t="shared" si="11"/>
        <v>1700</v>
      </c>
      <c r="J31">
        <f t="shared" si="12"/>
        <v>94.840699553784745</v>
      </c>
      <c r="K31">
        <f t="shared" si="13"/>
        <v>151.44569232184745</v>
      </c>
      <c r="L31">
        <f t="shared" si="14"/>
        <v>59.284892848050205</v>
      </c>
      <c r="M31">
        <f t="shared" si="15"/>
        <v>33.132932637527027</v>
      </c>
      <c r="N31">
        <f t="shared" si="16"/>
        <v>35.347358215075538</v>
      </c>
      <c r="P31">
        <f t="shared" si="5"/>
        <v>5.9127618175676275</v>
      </c>
      <c r="Q31">
        <f t="shared" si="6"/>
        <v>5.0364380552659611</v>
      </c>
      <c r="R31">
        <f t="shared" si="7"/>
        <v>1.3470777743251581</v>
      </c>
      <c r="S31">
        <f t="shared" si="8"/>
        <v>16.435964758580383</v>
      </c>
      <c r="T31">
        <f t="shared" si="9"/>
        <v>1.2618017882540333</v>
      </c>
      <c r="V31">
        <f t="shared" si="10"/>
        <v>5.0822198511348171</v>
      </c>
    </row>
    <row r="32" spans="1:22" x14ac:dyDescent="0.3">
      <c r="A32" s="1" t="s">
        <v>60</v>
      </c>
      <c r="C32" s="1" t="s">
        <v>88</v>
      </c>
      <c r="D32" s="1" t="s">
        <v>89</v>
      </c>
      <c r="E32" s="1" t="s">
        <v>90</v>
      </c>
      <c r="F32" s="1" t="s">
        <v>91</v>
      </c>
      <c r="G32" s="1" t="s">
        <v>92</v>
      </c>
      <c r="H32" s="1"/>
      <c r="I32">
        <f t="shared" si="11"/>
        <v>1750</v>
      </c>
      <c r="J32">
        <f t="shared" si="12"/>
        <v>95.916829462348048</v>
      </c>
      <c r="K32">
        <f t="shared" si="13"/>
        <v>152.79406919577772</v>
      </c>
      <c r="L32">
        <f t="shared" si="14"/>
        <v>59.513254764886092</v>
      </c>
      <c r="M32">
        <f t="shared" si="15"/>
        <v>33.317908714659573</v>
      </c>
      <c r="N32">
        <f t="shared" si="16"/>
        <v>35.473909506587901</v>
      </c>
      <c r="P32">
        <f t="shared" si="5"/>
        <v>5.9798522108695797</v>
      </c>
      <c r="Q32">
        <f t="shared" si="6"/>
        <v>5.0812793214425582</v>
      </c>
      <c r="R32">
        <f t="shared" si="7"/>
        <v>1.3522666386022744</v>
      </c>
      <c r="S32">
        <f t="shared" si="8"/>
        <v>16.527724226967663</v>
      </c>
      <c r="T32">
        <f t="shared" si="9"/>
        <v>1.2663193152772567</v>
      </c>
      <c r="V32">
        <f t="shared" si="10"/>
        <v>5.1343191196283078</v>
      </c>
    </row>
    <row r="33" spans="1:22" x14ac:dyDescent="0.3">
      <c r="A33" s="13"/>
      <c r="B33" s="1" t="s">
        <v>95</v>
      </c>
      <c r="C33" s="40">
        <v>3.53100528</v>
      </c>
      <c r="D33" s="40">
        <v>-1.2366098700000001E-4</v>
      </c>
      <c r="E33" s="40">
        <v>-5.0299943699999996E-7</v>
      </c>
      <c r="F33" s="40">
        <v>2.43530612E-9</v>
      </c>
      <c r="G33" s="40">
        <v>-1.4088123500000001E-12</v>
      </c>
      <c r="I33">
        <f t="shared" si="11"/>
        <v>1800</v>
      </c>
      <c r="J33">
        <f t="shared" si="12"/>
        <v>96.945546947148586</v>
      </c>
      <c r="K33">
        <f t="shared" si="13"/>
        <v>154.06664865901647</v>
      </c>
      <c r="L33">
        <f t="shared" si="14"/>
        <v>59.728220877912733</v>
      </c>
      <c r="M33">
        <f t="shared" si="15"/>
        <v>33.499635558194406</v>
      </c>
      <c r="N33">
        <f t="shared" si="16"/>
        <v>35.593615812995942</v>
      </c>
      <c r="P33">
        <f t="shared" si="5"/>
        <v>6.0439867174032784</v>
      </c>
      <c r="Q33">
        <f t="shared" si="6"/>
        <v>5.1235998888931311</v>
      </c>
      <c r="R33">
        <f t="shared" si="7"/>
        <v>1.3571511219702963</v>
      </c>
      <c r="S33">
        <f t="shared" si="8"/>
        <v>16.617871876398596</v>
      </c>
      <c r="T33">
        <f t="shared" si="9"/>
        <v>1.270592495484159</v>
      </c>
      <c r="V33">
        <f t="shared" si="10"/>
        <v>5.1841380626991578</v>
      </c>
    </row>
    <row r="34" spans="1:22" x14ac:dyDescent="0.3">
      <c r="A34" s="13"/>
      <c r="B34" s="1" t="s">
        <v>96</v>
      </c>
      <c r="C34" s="40">
        <v>2.9525762599999998</v>
      </c>
      <c r="D34" s="40">
        <v>1.3969005700000001E-3</v>
      </c>
      <c r="E34" s="40">
        <v>-4.9263169100000003E-7</v>
      </c>
      <c r="F34" s="40">
        <v>7.8601036699999999E-11</v>
      </c>
      <c r="G34" s="40">
        <v>-4.6075532099999999E-15</v>
      </c>
      <c r="I34">
        <f t="shared" si="11"/>
        <v>1850</v>
      </c>
      <c r="J34">
        <f t="shared" si="12"/>
        <v>97.92879099533404</v>
      </c>
      <c r="K34">
        <f t="shared" si="13"/>
        <v>155.26658842178927</v>
      </c>
      <c r="L34">
        <f t="shared" si="14"/>
        <v>59.93038565171841</v>
      </c>
      <c r="M34">
        <f t="shared" si="15"/>
        <v>33.678178766649864</v>
      </c>
      <c r="N34">
        <f t="shared" si="16"/>
        <v>35.706763282789829</v>
      </c>
      <c r="P34">
        <f t="shared" si="5"/>
        <v>6.1052862216542421</v>
      </c>
      <c r="Q34">
        <f t="shared" si="6"/>
        <v>5.1635047695972487</v>
      </c>
      <c r="R34">
        <f t="shared" si="7"/>
        <v>1.3617447319181644</v>
      </c>
      <c r="S34">
        <f t="shared" si="8"/>
        <v>16.706440247757733</v>
      </c>
      <c r="T34">
        <f t="shared" si="9"/>
        <v>1.2746315435752114</v>
      </c>
      <c r="V34">
        <f t="shared" si="10"/>
        <v>5.2317692694047704</v>
      </c>
    </row>
    <row r="35" spans="1:22" x14ac:dyDescent="0.3">
      <c r="A35" s="13"/>
      <c r="I35">
        <f>I34+50</f>
        <v>1900</v>
      </c>
      <c r="J35">
        <f t="shared" si="12"/>
        <v>98.868461243284756</v>
      </c>
      <c r="K35">
        <f t="shared" si="13"/>
        <v>156.3969809461247</v>
      </c>
      <c r="L35">
        <f t="shared" si="14"/>
        <v>60.120332125464202</v>
      </c>
      <c r="M35">
        <f t="shared" si="15"/>
        <v>33.853603079483555</v>
      </c>
      <c r="N35">
        <f t="shared" si="16"/>
        <v>35.8136323180277</v>
      </c>
      <c r="P35">
        <f t="shared" si="5"/>
        <v>6.1638691548182516</v>
      </c>
      <c r="Q35">
        <f t="shared" si="6"/>
        <v>5.2010968056576221</v>
      </c>
      <c r="R35">
        <f t="shared" si="7"/>
        <v>1.3660607163250218</v>
      </c>
      <c r="S35">
        <f t="shared" si="8"/>
        <v>16.793461455782861</v>
      </c>
      <c r="T35">
        <f t="shared" si="9"/>
        <v>1.2784464691193393</v>
      </c>
      <c r="V35">
        <f t="shared" si="10"/>
        <v>5.2773034541508368</v>
      </c>
    </row>
    <row r="36" spans="1:22" x14ac:dyDescent="0.3">
      <c r="A36" s="13"/>
      <c r="I36">
        <f t="shared" si="11"/>
        <v>1950</v>
      </c>
      <c r="J36">
        <f t="shared" si="12"/>
        <v>99.766417976613596</v>
      </c>
      <c r="K36">
        <f t="shared" si="13"/>
        <v>157.46085344585472</v>
      </c>
      <c r="L36">
        <f t="shared" si="14"/>
        <v>60.298631912884105</v>
      </c>
      <c r="M36">
        <f t="shared" si="15"/>
        <v>34.02597237709238</v>
      </c>
      <c r="N36">
        <f t="shared" si="16"/>
        <v>35.914497574335535</v>
      </c>
      <c r="P36">
        <f t="shared" si="5"/>
        <v>6.2198514948013468</v>
      </c>
      <c r="Q36">
        <f t="shared" si="6"/>
        <v>5.2364766693001235</v>
      </c>
      <c r="R36">
        <f t="shared" si="7"/>
        <v>1.370112063460216</v>
      </c>
      <c r="S36">
        <f t="shared" si="8"/>
        <v>16.878967189065012</v>
      </c>
      <c r="T36">
        <f t="shared" si="9"/>
        <v>1.2820470765539183</v>
      </c>
      <c r="V36">
        <f t="shared" si="10"/>
        <v>5.3208294566913237</v>
      </c>
    </row>
    <row r="37" spans="1:22" x14ac:dyDescent="0.3">
      <c r="I37">
        <f t="shared" si="11"/>
        <v>2000</v>
      </c>
      <c r="J37">
        <f t="shared" si="12"/>
        <v>100.6244821301661</v>
      </c>
      <c r="K37">
        <f t="shared" si="13"/>
        <v>158.46116788661433</v>
      </c>
      <c r="L37">
        <f t="shared" si="14"/>
        <v>60.465845202284839</v>
      </c>
      <c r="M37">
        <f t="shared" si="15"/>
        <v>34.195349680812583</v>
      </c>
      <c r="N37">
        <f t="shared" si="16"/>
        <v>36.009627960907267</v>
      </c>
      <c r="P37">
        <f t="shared" si="5"/>
        <v>6.2733467662198317</v>
      </c>
      <c r="Q37">
        <f t="shared" si="6"/>
        <v>5.2697428628737724</v>
      </c>
      <c r="R37">
        <f t="shared" si="7"/>
        <v>1.3739115019832957</v>
      </c>
      <c r="S37">
        <f t="shared" si="8"/>
        <v>16.962988710048506</v>
      </c>
      <c r="T37">
        <f t="shared" si="9"/>
        <v>1.2854429651847783</v>
      </c>
      <c r="V37">
        <f t="shared" si="10"/>
        <v>5.3624342421284892</v>
      </c>
    </row>
    <row r="38" spans="1:22" x14ac:dyDescent="0.3">
      <c r="D38" t="s">
        <v>115</v>
      </c>
      <c r="E38" t="s">
        <v>116</v>
      </c>
      <c r="I38">
        <f>I37+50</f>
        <v>2050</v>
      </c>
      <c r="J38">
        <f t="shared" si="12"/>
        <v>101.44443528802049</v>
      </c>
      <c r="K38">
        <f t="shared" si="13"/>
        <v>159.40082098584182</v>
      </c>
      <c r="L38">
        <f t="shared" si="14"/>
        <v>60.622520756546059</v>
      </c>
      <c r="M38">
        <f t="shared" si="15"/>
        <v>34.361797152919671</v>
      </c>
      <c r="N38">
        <f t="shared" si="16"/>
        <v>36.099286640504737</v>
      </c>
      <c r="P38">
        <f t="shared" si="5"/>
        <v>6.3244660404002797</v>
      </c>
      <c r="Q38">
        <f t="shared" si="6"/>
        <v>5.3009917188507423</v>
      </c>
      <c r="R38">
        <f t="shared" si="7"/>
        <v>1.3774715009440142</v>
      </c>
      <c r="S38">
        <f t="shared" si="8"/>
        <v>17.045556855030888</v>
      </c>
      <c r="T38">
        <f t="shared" si="9"/>
        <v>1.2886435291862015</v>
      </c>
      <c r="V38">
        <f t="shared" si="10"/>
        <v>5.4022029009128802</v>
      </c>
    </row>
    <row r="39" spans="1:22" x14ac:dyDescent="0.3">
      <c r="C39" s="1" t="s">
        <v>7</v>
      </c>
      <c r="D39" s="1" t="s">
        <v>14</v>
      </c>
    </row>
    <row r="40" spans="1:22" x14ac:dyDescent="0.3">
      <c r="B40" t="s">
        <v>111</v>
      </c>
      <c r="C40" s="2">
        <v>30.07</v>
      </c>
      <c r="D40">
        <f>'weight etc_20'!J11</f>
        <v>6.9125875467943312E-2</v>
      </c>
    </row>
    <row r="41" spans="1:22" x14ac:dyDescent="0.3">
      <c r="B41" t="s">
        <v>1</v>
      </c>
      <c r="C41" s="2">
        <v>2.0158800000000001</v>
      </c>
      <c r="D41">
        <f>'weight etc_20'!J12</f>
        <v>2.6330507195014199E-2</v>
      </c>
    </row>
    <row r="42" spans="1:22" x14ac:dyDescent="0.3">
      <c r="B42" t="s">
        <v>9</v>
      </c>
      <c r="C42" s="2">
        <v>16.04</v>
      </c>
      <c r="D42">
        <f>'weight etc_20'!J13</f>
        <v>0.67880326543346325</v>
      </c>
    </row>
    <row r="43" spans="1:22" x14ac:dyDescent="0.3">
      <c r="B43" t="s">
        <v>2</v>
      </c>
      <c r="C43" s="2">
        <v>44.01</v>
      </c>
      <c r="D43">
        <f>'weight etc_20'!J14</f>
        <v>3.3570573796312467E-2</v>
      </c>
    </row>
    <row r="44" spans="1:22" x14ac:dyDescent="0.3">
      <c r="B44" t="s">
        <v>3</v>
      </c>
      <c r="C44" s="2">
        <v>28.013400000000001</v>
      </c>
      <c r="D44">
        <f>'weight etc_20'!J15</f>
        <v>0.19216977810726682</v>
      </c>
    </row>
    <row r="45" spans="1:22" x14ac:dyDescent="0.3">
      <c r="B45" t="s">
        <v>4</v>
      </c>
      <c r="C45" s="2">
        <f>15.999*2</f>
        <v>31.998000000000001</v>
      </c>
    </row>
    <row r="46" spans="1:22" x14ac:dyDescent="0.3">
      <c r="B46" t="s">
        <v>11</v>
      </c>
      <c r="C46" s="2">
        <v>12.0107</v>
      </c>
    </row>
    <row r="47" spans="1:22" x14ac:dyDescent="0.3">
      <c r="B47" t="s">
        <v>12</v>
      </c>
      <c r="C47" s="2">
        <v>15.999000000000001</v>
      </c>
    </row>
    <row r="48" spans="1:22" x14ac:dyDescent="0.3">
      <c r="B48" t="s">
        <v>13</v>
      </c>
      <c r="C48" s="2">
        <v>1.0079400000000001</v>
      </c>
    </row>
    <row r="50" spans="4:4" x14ac:dyDescent="0.3">
      <c r="D50" s="1">
        <f>SUM(D40:D44)</f>
        <v>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zoomScale="75" zoomScaleNormal="75" workbookViewId="0"/>
  </sheetViews>
  <sheetFormatPr defaultRowHeight="14.4" x14ac:dyDescent="0.3"/>
  <sheetData>
    <row r="1" spans="1:4" x14ac:dyDescent="0.3">
      <c r="A1">
        <v>0.3</v>
      </c>
      <c r="B1">
        <f>D1*1000</f>
        <v>1913.2633838923718</v>
      </c>
      <c r="D1">
        <f>cp_data_NASA!V3</f>
        <v>1.9132633838923718</v>
      </c>
    </row>
    <row r="2" spans="1:4" x14ac:dyDescent="0.3">
      <c r="A2">
        <f>A1+0.05</f>
        <v>0.35</v>
      </c>
      <c r="B2">
        <f t="shared" ref="B2:B36" si="0">D2*1000</f>
        <v>2023.8150361315816</v>
      </c>
      <c r="D2">
        <f>cp_data_NASA!V4</f>
        <v>2.0238150361315816</v>
      </c>
    </row>
    <row r="3" spans="1:4" x14ac:dyDescent="0.3">
      <c r="A3">
        <f t="shared" ref="A3:A36" si="1">A2+0.05</f>
        <v>0.39999999999999997</v>
      </c>
      <c r="B3">
        <f t="shared" si="0"/>
        <v>2154.1480070298594</v>
      </c>
      <c r="D3">
        <f>cp_data_NASA!V5</f>
        <v>2.1541480070298595</v>
      </c>
    </row>
    <row r="4" spans="1:4" x14ac:dyDescent="0.3">
      <c r="A4">
        <f t="shared" si="1"/>
        <v>0.44999999999999996</v>
      </c>
      <c r="B4">
        <f t="shared" si="0"/>
        <v>2297.476836841583</v>
      </c>
      <c r="D4">
        <f>cp_data_NASA!V6</f>
        <v>2.2974768368415832</v>
      </c>
    </row>
    <row r="5" spans="1:4" x14ac:dyDescent="0.3">
      <c r="A5">
        <f t="shared" si="1"/>
        <v>0.49999999999999994</v>
      </c>
      <c r="B5">
        <f t="shared" si="0"/>
        <v>2447.9862022390121</v>
      </c>
      <c r="D5">
        <f>cp_data_NASA!V7</f>
        <v>2.447986202239012</v>
      </c>
    </row>
    <row r="6" spans="1:4" x14ac:dyDescent="0.3">
      <c r="A6">
        <f t="shared" si="1"/>
        <v>0.54999999999999993</v>
      </c>
      <c r="B6">
        <f t="shared" si="0"/>
        <v>2600.8309163122926</v>
      </c>
      <c r="D6">
        <f>cp_data_NASA!V8</f>
        <v>2.6008309163122925</v>
      </c>
    </row>
    <row r="7" spans="1:4" x14ac:dyDescent="0.3">
      <c r="A7">
        <f t="shared" si="1"/>
        <v>0.6</v>
      </c>
      <c r="B7">
        <f t="shared" si="0"/>
        <v>2752.1359285694552</v>
      </c>
      <c r="D7">
        <f>cp_data_NASA!V9</f>
        <v>2.7521359285694551</v>
      </c>
    </row>
    <row r="8" spans="1:4" x14ac:dyDescent="0.3">
      <c r="A8">
        <f t="shared" si="1"/>
        <v>0.65</v>
      </c>
      <c r="B8">
        <f t="shared" si="0"/>
        <v>2898.9963249364132</v>
      </c>
      <c r="D8">
        <f>cp_data_NASA!V10</f>
        <v>2.8989963249364132</v>
      </c>
    </row>
    <row r="9" spans="1:4" x14ac:dyDescent="0.3">
      <c r="A9">
        <f t="shared" si="1"/>
        <v>0.70000000000000007</v>
      </c>
      <c r="B9">
        <f t="shared" si="0"/>
        <v>3039.477327756968</v>
      </c>
      <c r="D9">
        <f>cp_data_NASA!V11</f>
        <v>3.039477327756968</v>
      </c>
    </row>
    <row r="10" spans="1:4" x14ac:dyDescent="0.3">
      <c r="A10">
        <f t="shared" si="1"/>
        <v>0.75000000000000011</v>
      </c>
      <c r="B10">
        <f t="shared" si="0"/>
        <v>3172.6142957928014</v>
      </c>
      <c r="D10">
        <f>cp_data_NASA!V12</f>
        <v>3.1726142957928012</v>
      </c>
    </row>
    <row r="11" spans="1:4" x14ac:dyDescent="0.3">
      <c r="A11">
        <f t="shared" si="1"/>
        <v>0.80000000000000016</v>
      </c>
      <c r="B11">
        <f t="shared" si="0"/>
        <v>3298.4127242234817</v>
      </c>
      <c r="D11">
        <f>cp_data_NASA!V13</f>
        <v>3.298412724223482</v>
      </c>
    </row>
    <row r="12" spans="1:4" x14ac:dyDescent="0.3">
      <c r="A12">
        <f t="shared" si="1"/>
        <v>0.8500000000000002</v>
      </c>
      <c r="B12">
        <f t="shared" si="0"/>
        <v>3417.8482446464659</v>
      </c>
      <c r="D12">
        <f>cp_data_NASA!V14</f>
        <v>3.417848244646466</v>
      </c>
    </row>
    <row r="13" spans="1:4" x14ac:dyDescent="0.3">
      <c r="A13">
        <f t="shared" si="1"/>
        <v>0.90000000000000024</v>
      </c>
      <c r="B13">
        <f t="shared" si="0"/>
        <v>3532.8666250770857</v>
      </c>
      <c r="D13">
        <f>cp_data_NASA!V15</f>
        <v>3.5328666250770855</v>
      </c>
    </row>
    <row r="14" spans="1:4" x14ac:dyDescent="0.3">
      <c r="A14">
        <f t="shared" si="1"/>
        <v>0.95000000000000029</v>
      </c>
      <c r="B14">
        <f t="shared" si="0"/>
        <v>3646.383769948563</v>
      </c>
      <c r="D14">
        <f>cp_data_NASA!V16</f>
        <v>3.6463837699485628</v>
      </c>
    </row>
    <row r="15" spans="1:4" x14ac:dyDescent="0.3">
      <c r="A15">
        <f t="shared" si="1"/>
        <v>1.0000000000000002</v>
      </c>
      <c r="B15">
        <f t="shared" si="0"/>
        <v>3762.28572011201</v>
      </c>
      <c r="D15">
        <f>cp_data_NASA!V17</f>
        <v>3.7622857201120099</v>
      </c>
    </row>
    <row r="16" spans="1:4" x14ac:dyDescent="0.3">
      <c r="A16">
        <f t="shared" si="1"/>
        <v>1.0500000000000003</v>
      </c>
      <c r="B16">
        <f t="shared" si="0"/>
        <v>3856.4544592290072</v>
      </c>
      <c r="D16">
        <f>cp_data_NASA!V18</f>
        <v>3.8564544592290071</v>
      </c>
    </row>
    <row r="17" spans="1:4" x14ac:dyDescent="0.3">
      <c r="A17">
        <f t="shared" si="1"/>
        <v>1.1000000000000003</v>
      </c>
      <c r="B17">
        <f t="shared" si="0"/>
        <v>3946.8049013779732</v>
      </c>
      <c r="D17">
        <f>cp_data_NASA!V19</f>
        <v>3.9468049013779734</v>
      </c>
    </row>
    <row r="18" spans="1:4" x14ac:dyDescent="0.3">
      <c r="A18">
        <f t="shared" si="1"/>
        <v>1.1500000000000004</v>
      </c>
      <c r="B18">
        <f t="shared" si="0"/>
        <v>4033.4580317840978</v>
      </c>
      <c r="D18">
        <f>cp_data_NASA!V20</f>
        <v>4.0334580317840976</v>
      </c>
    </row>
    <row r="19" spans="1:4" x14ac:dyDescent="0.3">
      <c r="A19">
        <f t="shared" si="1"/>
        <v>1.2000000000000004</v>
      </c>
      <c r="B19">
        <f t="shared" si="0"/>
        <v>4116.5329421830857</v>
      </c>
      <c r="D19">
        <f>cp_data_NASA!V21</f>
        <v>4.1165329421830856</v>
      </c>
    </row>
    <row r="20" spans="1:4" x14ac:dyDescent="0.3">
      <c r="A20">
        <f t="shared" si="1"/>
        <v>1.2500000000000004</v>
      </c>
      <c r="B20">
        <f t="shared" si="0"/>
        <v>4196.1468105037493</v>
      </c>
      <c r="D20">
        <f>cp_data_NASA!V22</f>
        <v>4.1961468105037492</v>
      </c>
    </row>
    <row r="21" spans="1:4" x14ac:dyDescent="0.3">
      <c r="A21">
        <f t="shared" si="1"/>
        <v>1.3000000000000005</v>
      </c>
      <c r="B21">
        <f t="shared" si="0"/>
        <v>4272.4149008680079</v>
      </c>
      <c r="D21">
        <f>cp_data_NASA!V23</f>
        <v>4.2724149008680081</v>
      </c>
    </row>
    <row r="22" spans="1:4" x14ac:dyDescent="0.3">
      <c r="A22">
        <f t="shared" si="1"/>
        <v>1.3500000000000005</v>
      </c>
      <c r="B22">
        <f t="shared" si="0"/>
        <v>4345.4505635908909</v>
      </c>
      <c r="D22">
        <f>cp_data_NASA!V24</f>
        <v>4.3454505635908909</v>
      </c>
    </row>
    <row r="23" spans="1:4" x14ac:dyDescent="0.3">
      <c r="A23">
        <f t="shared" si="1"/>
        <v>1.4000000000000006</v>
      </c>
      <c r="B23">
        <f t="shared" si="0"/>
        <v>4415.3652351805295</v>
      </c>
      <c r="D23">
        <f>cp_data_NASA!V25</f>
        <v>4.4153652351805297</v>
      </c>
    </row>
    <row r="24" spans="1:4" x14ac:dyDescent="0.3">
      <c r="A24">
        <f t="shared" si="1"/>
        <v>1.4500000000000006</v>
      </c>
      <c r="B24">
        <f t="shared" si="0"/>
        <v>4482.2684383381638</v>
      </c>
      <c r="D24">
        <f>cp_data_NASA!V26</f>
        <v>4.4822684383381635</v>
      </c>
    </row>
    <row r="25" spans="1:4" x14ac:dyDescent="0.3">
      <c r="A25">
        <f t="shared" si="1"/>
        <v>1.5000000000000007</v>
      </c>
      <c r="B25">
        <f t="shared" si="0"/>
        <v>4546.2677819581459</v>
      </c>
      <c r="D25">
        <f>cp_data_NASA!V27</f>
        <v>4.5462677819581456</v>
      </c>
    </row>
    <row r="26" spans="1:4" x14ac:dyDescent="0.3">
      <c r="A26">
        <f t="shared" si="1"/>
        <v>1.5500000000000007</v>
      </c>
      <c r="B26">
        <f t="shared" si="0"/>
        <v>4607.4689611279246</v>
      </c>
      <c r="D26">
        <f>cp_data_NASA!V28</f>
        <v>4.6074689611279247</v>
      </c>
    </row>
    <row r="27" spans="1:4" x14ac:dyDescent="0.3">
      <c r="A27">
        <f t="shared" si="1"/>
        <v>1.6000000000000008</v>
      </c>
      <c r="B27">
        <f t="shared" si="0"/>
        <v>4665.9757571280661</v>
      </c>
      <c r="D27">
        <f>cp_data_NASA!V29</f>
        <v>4.6659757571280664</v>
      </c>
    </row>
    <row r="28" spans="1:4" x14ac:dyDescent="0.3">
      <c r="A28">
        <f t="shared" si="1"/>
        <v>1.6500000000000008</v>
      </c>
      <c r="B28">
        <f t="shared" si="0"/>
        <v>4721.8900374322366</v>
      </c>
      <c r="D28">
        <f>cp_data_NASA!V30</f>
        <v>4.7218900374322361</v>
      </c>
    </row>
    <row r="29" spans="1:4" x14ac:dyDescent="0.3">
      <c r="A29">
        <f t="shared" si="1"/>
        <v>1.7000000000000008</v>
      </c>
      <c r="B29">
        <f t="shared" si="0"/>
        <v>4775.3117557072155</v>
      </c>
      <c r="D29">
        <f>cp_data_NASA!V31</f>
        <v>4.7753117557072153</v>
      </c>
    </row>
    <row r="30" spans="1:4" x14ac:dyDescent="0.3">
      <c r="A30">
        <f t="shared" si="1"/>
        <v>1.7500000000000009</v>
      </c>
      <c r="B30">
        <f t="shared" si="0"/>
        <v>4826.3389518128824</v>
      </c>
      <c r="D30">
        <f>cp_data_NASA!V32</f>
        <v>4.8263389518128825</v>
      </c>
    </row>
    <row r="31" spans="1:4" x14ac:dyDescent="0.3">
      <c r="A31">
        <f t="shared" si="1"/>
        <v>1.8000000000000009</v>
      </c>
      <c r="B31">
        <f t="shared" si="0"/>
        <v>4875.0677518022276</v>
      </c>
      <c r="D31">
        <f>cp_data_NASA!V33</f>
        <v>4.8750677518022272</v>
      </c>
    </row>
    <row r="32" spans="1:4" x14ac:dyDescent="0.3">
      <c r="A32">
        <f t="shared" si="1"/>
        <v>1.850000000000001</v>
      </c>
      <c r="B32">
        <f t="shared" si="0"/>
        <v>4921.5923679213474</v>
      </c>
      <c r="D32">
        <f>cp_data_NASA!V34</f>
        <v>4.9215923679213471</v>
      </c>
    </row>
    <row r="33" spans="1:4" x14ac:dyDescent="0.3">
      <c r="A33">
        <f t="shared" si="1"/>
        <v>1.900000000000001</v>
      </c>
      <c r="B33">
        <f t="shared" si="0"/>
        <v>4966.0050986094484</v>
      </c>
      <c r="D33">
        <f>cp_data_NASA!V35</f>
        <v>4.9660050986094486</v>
      </c>
    </row>
    <row r="34" spans="1:4" x14ac:dyDescent="0.3">
      <c r="A34">
        <f t="shared" si="1"/>
        <v>1.9500000000000011</v>
      </c>
      <c r="B34">
        <f t="shared" si="0"/>
        <v>5008.3963284988413</v>
      </c>
      <c r="D34">
        <f>cp_data_NASA!V36</f>
        <v>5.0083963284988409</v>
      </c>
    </row>
    <row r="35" spans="1:4" x14ac:dyDescent="0.3">
      <c r="A35">
        <f t="shared" si="1"/>
        <v>2.0000000000000009</v>
      </c>
      <c r="B35">
        <f t="shared" si="0"/>
        <v>5048.8545284149386</v>
      </c>
      <c r="D35">
        <f>cp_data_NASA!V37</f>
        <v>5.0488545284149389</v>
      </c>
    </row>
    <row r="36" spans="1:4" x14ac:dyDescent="0.3">
      <c r="A36">
        <f t="shared" si="1"/>
        <v>2.0500000000000007</v>
      </c>
      <c r="B36">
        <f t="shared" si="0"/>
        <v>5087.4662553762719</v>
      </c>
      <c r="D36">
        <f>cp_data_NASA!V38</f>
        <v>5.0874662553762722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zoomScale="75" zoomScaleNormal="75" workbookViewId="0">
      <selection activeCell="D1" sqref="D1"/>
    </sheetView>
  </sheetViews>
  <sheetFormatPr defaultRowHeight="14.4" x14ac:dyDescent="0.3"/>
  <sheetData>
    <row r="1" spans="1:4" x14ac:dyDescent="0.3">
      <c r="A1">
        <v>0.3</v>
      </c>
      <c r="B1">
        <f>D1*1000</f>
        <v>2060.3784865923085</v>
      </c>
      <c r="D1">
        <f>cp_data_NASA_10H!V3</f>
        <v>2.0603784865923087</v>
      </c>
    </row>
    <row r="2" spans="1:4" x14ac:dyDescent="0.3">
      <c r="A2">
        <f>A1+0.05</f>
        <v>0.35</v>
      </c>
      <c r="B2">
        <f t="shared" ref="B2:B36" si="0">D2*1000</f>
        <v>2171.3332471296417</v>
      </c>
      <c r="D2">
        <f>cp_data_NASA_10H!V4</f>
        <v>2.1713332471296418</v>
      </c>
    </row>
    <row r="3" spans="1:4" x14ac:dyDescent="0.3">
      <c r="A3">
        <f t="shared" ref="A3:A36" si="1">A2+0.05</f>
        <v>0.39999999999999997</v>
      </c>
      <c r="B3">
        <f t="shared" si="0"/>
        <v>2300.9162739184744</v>
      </c>
      <c r="D3">
        <f>cp_data_NASA_10H!V5</f>
        <v>2.3009162739184745</v>
      </c>
    </row>
    <row r="4" spans="1:4" x14ac:dyDescent="0.3">
      <c r="A4">
        <f t="shared" si="1"/>
        <v>0.44999999999999996</v>
      </c>
      <c r="B4">
        <f t="shared" si="0"/>
        <v>2442.7563747556824</v>
      </c>
      <c r="D4">
        <f>cp_data_NASA_10H!V6</f>
        <v>2.4427563747556822</v>
      </c>
    </row>
    <row r="5" spans="1:4" x14ac:dyDescent="0.3">
      <c r="A5">
        <f t="shared" si="1"/>
        <v>0.49999999999999994</v>
      </c>
      <c r="B5">
        <f t="shared" si="0"/>
        <v>2591.3868354493043</v>
      </c>
      <c r="D5">
        <f>cp_data_NASA_10H!V7</f>
        <v>2.5913868354493044</v>
      </c>
    </row>
    <row r="6" spans="1:4" x14ac:dyDescent="0.3">
      <c r="A6">
        <f t="shared" si="1"/>
        <v>0.54999999999999993</v>
      </c>
      <c r="B6">
        <f t="shared" si="0"/>
        <v>2742.2454198185414</v>
      </c>
      <c r="D6">
        <f>cp_data_NASA_10H!V8</f>
        <v>2.7422454198185413</v>
      </c>
    </row>
    <row r="7" spans="1:4" x14ac:dyDescent="0.3">
      <c r="A7">
        <f t="shared" si="1"/>
        <v>0.6</v>
      </c>
      <c r="B7">
        <f t="shared" si="0"/>
        <v>2891.6743696937583</v>
      </c>
      <c r="D7">
        <f>cp_data_NASA_10H!V9</f>
        <v>2.8916743696937584</v>
      </c>
    </row>
    <row r="8" spans="1:4" x14ac:dyDescent="0.3">
      <c r="A8">
        <f t="shared" si="1"/>
        <v>0.65</v>
      </c>
      <c r="B8">
        <f t="shared" si="0"/>
        <v>3036.9204049164855</v>
      </c>
      <c r="D8">
        <f>cp_data_NASA_10H!V10</f>
        <v>3.0369204049164855</v>
      </c>
    </row>
    <row r="9" spans="1:4" x14ac:dyDescent="0.3">
      <c r="A9">
        <f t="shared" si="1"/>
        <v>0.70000000000000007</v>
      </c>
      <c r="B9">
        <f t="shared" si="0"/>
        <v>3176.1347233394154</v>
      </c>
      <c r="D9">
        <f>cp_data_NASA_10H!V11</f>
        <v>3.1761347233394153</v>
      </c>
    </row>
    <row r="10" spans="1:4" x14ac:dyDescent="0.3">
      <c r="A10">
        <f t="shared" si="1"/>
        <v>0.75000000000000011</v>
      </c>
      <c r="B10">
        <f t="shared" si="0"/>
        <v>3308.373000826401</v>
      </c>
      <c r="D10">
        <f>cp_data_NASA_10H!V12</f>
        <v>3.3083730008264012</v>
      </c>
    </row>
    <row r="11" spans="1:4" x14ac:dyDescent="0.3">
      <c r="A11">
        <f t="shared" si="1"/>
        <v>0.80000000000000016</v>
      </c>
      <c r="B11">
        <f t="shared" si="0"/>
        <v>3433.5953912524628</v>
      </c>
      <c r="D11">
        <f>cp_data_NASA_10H!V13</f>
        <v>3.4335953912524628</v>
      </c>
    </row>
    <row r="12" spans="1:4" x14ac:dyDescent="0.3">
      <c r="A12">
        <f t="shared" si="1"/>
        <v>0.8500000000000002</v>
      </c>
      <c r="B12">
        <f t="shared" si="0"/>
        <v>3552.6665265037841</v>
      </c>
      <c r="D12">
        <f>cp_data_NASA_10H!V14</f>
        <v>3.552666526503784</v>
      </c>
    </row>
    <row r="13" spans="1:4" x14ac:dyDescent="0.3">
      <c r="A13">
        <f t="shared" si="1"/>
        <v>0.90000000000000024</v>
      </c>
      <c r="B13">
        <f t="shared" si="0"/>
        <v>3667.3555164777072</v>
      </c>
      <c r="D13">
        <f>cp_data_NASA_10H!V15</f>
        <v>3.667355516477707</v>
      </c>
    </row>
    <row r="14" spans="1:4" x14ac:dyDescent="0.3">
      <c r="A14">
        <f t="shared" si="1"/>
        <v>0.95000000000000029</v>
      </c>
      <c r="B14">
        <f t="shared" si="0"/>
        <v>3780.3359490827406</v>
      </c>
      <c r="D14">
        <f>cp_data_NASA_10H!V16</f>
        <v>3.7803359490827408</v>
      </c>
    </row>
    <row r="15" spans="1:4" x14ac:dyDescent="0.3">
      <c r="A15">
        <f t="shared" si="1"/>
        <v>1.0000000000000002</v>
      </c>
      <c r="B15">
        <f t="shared" si="0"/>
        <v>3895.1858902385616</v>
      </c>
      <c r="D15">
        <f>cp_data_NASA_10H!V17</f>
        <v>3.8951858902385617</v>
      </c>
    </row>
    <row r="16" spans="1:4" x14ac:dyDescent="0.3">
      <c r="A16">
        <f t="shared" si="1"/>
        <v>1.0500000000000003</v>
      </c>
      <c r="B16">
        <f t="shared" si="0"/>
        <v>3989.6371655580319</v>
      </c>
      <c r="D16">
        <f>cp_data_NASA_10H!V18</f>
        <v>3.9896371655580318</v>
      </c>
    </row>
    <row r="17" spans="1:4" x14ac:dyDescent="0.3">
      <c r="A17">
        <f t="shared" si="1"/>
        <v>1.1000000000000003</v>
      </c>
      <c r="B17">
        <f t="shared" si="0"/>
        <v>4080.2903886467075</v>
      </c>
      <c r="D17">
        <f>cp_data_NASA_10H!V19</f>
        <v>4.0802903886467075</v>
      </c>
    </row>
    <row r="18" spans="1:4" x14ac:dyDescent="0.3">
      <c r="A18">
        <f t="shared" si="1"/>
        <v>1.1500000000000004</v>
      </c>
      <c r="B18">
        <f t="shared" si="0"/>
        <v>4167.2655657652804</v>
      </c>
      <c r="D18">
        <f>cp_data_NASA_10H!V20</f>
        <v>4.1672655657652804</v>
      </c>
    </row>
    <row r="19" spans="1:4" x14ac:dyDescent="0.3">
      <c r="A19">
        <f t="shared" si="1"/>
        <v>1.2000000000000004</v>
      </c>
      <c r="B19">
        <f t="shared" si="0"/>
        <v>4250.6808274153664</v>
      </c>
      <c r="D19">
        <f>cp_data_NASA_10H!V21</f>
        <v>4.2506808274153665</v>
      </c>
    </row>
    <row r="20" spans="1:4" x14ac:dyDescent="0.3">
      <c r="A20">
        <f t="shared" si="1"/>
        <v>1.2500000000000004</v>
      </c>
      <c r="B20">
        <f t="shared" si="0"/>
        <v>4330.6524079434967</v>
      </c>
      <c r="D20">
        <f>cp_data_NASA_10H!V22</f>
        <v>4.3306524079434965</v>
      </c>
    </row>
    <row r="21" spans="1:4" x14ac:dyDescent="0.3">
      <c r="A21">
        <f t="shared" si="1"/>
        <v>1.3000000000000005</v>
      </c>
      <c r="B21">
        <f t="shared" si="0"/>
        <v>4407.2946455411175</v>
      </c>
      <c r="D21">
        <f>cp_data_NASA_10H!V23</f>
        <v>4.4072946455411177</v>
      </c>
    </row>
    <row r="22" spans="1:4" x14ac:dyDescent="0.3">
      <c r="A22">
        <f t="shared" si="1"/>
        <v>1.3500000000000005</v>
      </c>
      <c r="B22">
        <f t="shared" si="0"/>
        <v>4480.71998224459</v>
      </c>
      <c r="D22">
        <f>cp_data_NASA_10H!V24</f>
        <v>4.4807199822445902</v>
      </c>
    </row>
    <row r="23" spans="1:4" x14ac:dyDescent="0.3">
      <c r="A23">
        <f t="shared" si="1"/>
        <v>1.4000000000000006</v>
      </c>
      <c r="B23">
        <f t="shared" si="0"/>
        <v>4551.0389639351915</v>
      </c>
      <c r="D23">
        <f>cp_data_NASA_10H!V25</f>
        <v>4.5510389639351914</v>
      </c>
    </row>
    <row r="24" spans="1:4" x14ac:dyDescent="0.3">
      <c r="A24">
        <f t="shared" si="1"/>
        <v>1.4500000000000006</v>
      </c>
      <c r="B24">
        <f t="shared" si="0"/>
        <v>4618.3602403391124</v>
      </c>
      <c r="D24">
        <f>cp_data_NASA_10H!V26</f>
        <v>4.6183602403391122</v>
      </c>
    </row>
    <row r="25" spans="1:4" x14ac:dyDescent="0.3">
      <c r="A25">
        <f t="shared" si="1"/>
        <v>1.5000000000000007</v>
      </c>
      <c r="B25">
        <f t="shared" si="0"/>
        <v>4682.7905650274615</v>
      </c>
      <c r="D25">
        <f>cp_data_NASA_10H!V27</f>
        <v>4.6827905650274619</v>
      </c>
    </row>
    <row r="26" spans="1:4" x14ac:dyDescent="0.3">
      <c r="A26">
        <f t="shared" si="1"/>
        <v>1.5500000000000007</v>
      </c>
      <c r="B26">
        <f t="shared" si="0"/>
        <v>4744.4347954162622</v>
      </c>
      <c r="D26">
        <f>cp_data_NASA_10H!V28</f>
        <v>4.7444347954162618</v>
      </c>
    </row>
    <row r="27" spans="1:4" x14ac:dyDescent="0.3">
      <c r="A27">
        <f t="shared" si="1"/>
        <v>1.6000000000000008</v>
      </c>
      <c r="B27">
        <f t="shared" si="0"/>
        <v>4803.3958927664517</v>
      </c>
      <c r="D27">
        <f>cp_data_NASA_10H!V29</f>
        <v>4.803395892766452</v>
      </c>
    </row>
    <row r="28" spans="1:4" x14ac:dyDescent="0.3">
      <c r="A28">
        <f t="shared" si="1"/>
        <v>1.6500000000000008</v>
      </c>
      <c r="B28">
        <f t="shared" si="0"/>
        <v>4859.774922183884</v>
      </c>
      <c r="D28">
        <f>cp_data_NASA_10H!V30</f>
        <v>4.8597749221838837</v>
      </c>
    </row>
    <row r="29" spans="1:4" x14ac:dyDescent="0.3">
      <c r="A29">
        <f t="shared" si="1"/>
        <v>1.7000000000000008</v>
      </c>
      <c r="B29">
        <f t="shared" si="0"/>
        <v>4913.6710526193301</v>
      </c>
      <c r="D29">
        <f>cp_data_NASA_10H!V31</f>
        <v>4.9136710526193301</v>
      </c>
    </row>
    <row r="30" spans="1:4" x14ac:dyDescent="0.3">
      <c r="A30">
        <f t="shared" si="1"/>
        <v>1.7500000000000009</v>
      </c>
      <c r="B30">
        <f t="shared" si="0"/>
        <v>4965.1815568684715</v>
      </c>
      <c r="D30">
        <f>cp_data_NASA_10H!V32</f>
        <v>4.9651815568684716</v>
      </c>
    </row>
    <row r="31" spans="1:4" x14ac:dyDescent="0.3">
      <c r="A31">
        <f t="shared" si="1"/>
        <v>1.8000000000000009</v>
      </c>
      <c r="B31">
        <f t="shared" si="0"/>
        <v>5014.4018115719064</v>
      </c>
      <c r="D31">
        <f>cp_data_NASA_10H!V33</f>
        <v>5.014401811571906</v>
      </c>
    </row>
    <row r="32" spans="1:4" x14ac:dyDescent="0.3">
      <c r="A32">
        <f t="shared" si="1"/>
        <v>1.850000000000001</v>
      </c>
      <c r="B32">
        <f t="shared" si="0"/>
        <v>5061.4252972151553</v>
      </c>
      <c r="D32">
        <f>cp_data_NASA_10H!V34</f>
        <v>5.0614252972151554</v>
      </c>
    </row>
    <row r="33" spans="1:4" x14ac:dyDescent="0.3">
      <c r="A33">
        <f t="shared" si="1"/>
        <v>1.900000000000001</v>
      </c>
      <c r="B33">
        <f t="shared" si="0"/>
        <v>5106.3435981286448</v>
      </c>
      <c r="D33">
        <f>cp_data_NASA_10H!V35</f>
        <v>5.1063435981286451</v>
      </c>
    </row>
    <row r="34" spans="1:4" x14ac:dyDescent="0.3">
      <c r="A34">
        <f t="shared" si="1"/>
        <v>1.9500000000000011</v>
      </c>
      <c r="B34">
        <f t="shared" si="0"/>
        <v>5149.2464024877227</v>
      </c>
      <c r="D34">
        <f>cp_data_NASA_10H!V36</f>
        <v>5.1492464024877229</v>
      </c>
    </row>
    <row r="35" spans="1:4" x14ac:dyDescent="0.3">
      <c r="A35">
        <f t="shared" si="1"/>
        <v>2.0000000000000009</v>
      </c>
      <c r="B35">
        <f t="shared" si="0"/>
        <v>5190.2215023126464</v>
      </c>
      <c r="D35">
        <f>cp_data_NASA_10H!V37</f>
        <v>5.1902215023126468</v>
      </c>
    </row>
    <row r="36" spans="1:4" x14ac:dyDescent="0.3">
      <c r="A36">
        <f t="shared" si="1"/>
        <v>2.0500000000000007</v>
      </c>
      <c r="B36">
        <f t="shared" si="0"/>
        <v>5229.3547934685994</v>
      </c>
      <c r="D36">
        <f>cp_data_NASA_10H!V38</f>
        <v>5.2293547934685991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zoomScale="75" zoomScaleNormal="75" workbookViewId="0">
      <selection activeCell="F26" sqref="F26"/>
    </sheetView>
  </sheetViews>
  <sheetFormatPr defaultRowHeight="14.4" x14ac:dyDescent="0.3"/>
  <sheetData>
    <row r="1" spans="1:4" x14ac:dyDescent="0.3">
      <c r="A1">
        <v>0.3</v>
      </c>
      <c r="B1">
        <f>D1*1000</f>
        <v>2239.5935762679032</v>
      </c>
      <c r="D1">
        <f>cp_data_NASA_20H!V3</f>
        <v>2.2395935762679033</v>
      </c>
    </row>
    <row r="2" spans="1:4" x14ac:dyDescent="0.3">
      <c r="A2">
        <f>A1+0.05</f>
        <v>0.35</v>
      </c>
      <c r="B2">
        <f t="shared" ref="B2:B36" si="0">D2*1000</f>
        <v>2351.0394018860557</v>
      </c>
      <c r="D2">
        <f>cp_data_NASA_20H!V4</f>
        <v>2.3510394018860556</v>
      </c>
    </row>
    <row r="3" spans="1:4" x14ac:dyDescent="0.3">
      <c r="A3">
        <f t="shared" ref="A3:A36" si="1">A2+0.05</f>
        <v>0.39999999999999997</v>
      </c>
      <c r="B3">
        <f t="shared" si="0"/>
        <v>2479.7088494545415</v>
      </c>
      <c r="D3">
        <f>cp_data_NASA_20H!V5</f>
        <v>2.4797088494545414</v>
      </c>
    </row>
    <row r="4" spans="1:4" x14ac:dyDescent="0.3">
      <c r="A4">
        <f t="shared" si="1"/>
        <v>0.44999999999999996</v>
      </c>
      <c r="B4">
        <f t="shared" si="0"/>
        <v>2619.7353860024682</v>
      </c>
      <c r="D4">
        <f>cp_data_NASA_20H!V6</f>
        <v>2.6197353860024681</v>
      </c>
    </row>
    <row r="5" spans="1:4" x14ac:dyDescent="0.3">
      <c r="A5">
        <f t="shared" si="1"/>
        <v>0.49999999999999994</v>
      </c>
      <c r="B5">
        <f t="shared" si="0"/>
        <v>2766.0769717348862</v>
      </c>
      <c r="D5">
        <f>cp_data_NASA_20H!V7</f>
        <v>2.7660769717348863</v>
      </c>
    </row>
    <row r="6" spans="1:4" x14ac:dyDescent="0.3">
      <c r="A6">
        <f t="shared" si="1"/>
        <v>0.54999999999999993</v>
      </c>
      <c r="B6">
        <f t="shared" si="0"/>
        <v>2914.5160600327813</v>
      </c>
      <c r="D6">
        <f>cp_data_NASA_20H!V8</f>
        <v>2.9145160600327813</v>
      </c>
    </row>
    <row r="7" spans="1:4" x14ac:dyDescent="0.3">
      <c r="A7">
        <f t="shared" si="1"/>
        <v>0.6</v>
      </c>
      <c r="B7">
        <f t="shared" si="0"/>
        <v>3061.6595974530792</v>
      </c>
      <c r="D7">
        <f>cp_data_NASA_20H!V9</f>
        <v>3.0616595974530791</v>
      </c>
    </row>
    <row r="8" spans="1:4" x14ac:dyDescent="0.3">
      <c r="A8">
        <f t="shared" si="1"/>
        <v>0.65</v>
      </c>
      <c r="B8">
        <f t="shared" si="0"/>
        <v>3204.9390237286457</v>
      </c>
      <c r="D8">
        <f>cp_data_NASA_20H!V10</f>
        <v>3.2049390237286457</v>
      </c>
    </row>
    <row r="9" spans="1:4" x14ac:dyDescent="0.3">
      <c r="A9">
        <f t="shared" si="1"/>
        <v>0.70000000000000007</v>
      </c>
      <c r="B9">
        <f t="shared" si="0"/>
        <v>3342.6102717682838</v>
      </c>
      <c r="D9">
        <f>cp_data_NASA_20H!V11</f>
        <v>3.342610271768284</v>
      </c>
    </row>
    <row r="10" spans="1:4" x14ac:dyDescent="0.3">
      <c r="A10">
        <f t="shared" si="1"/>
        <v>0.75000000000000011</v>
      </c>
      <c r="B10">
        <f t="shared" si="0"/>
        <v>3473.7537676567358</v>
      </c>
      <c r="D10">
        <f>cp_data_NASA_20H!V12</f>
        <v>3.4737537676567358</v>
      </c>
    </row>
    <row r="11" spans="1:4" x14ac:dyDescent="0.3">
      <c r="A11">
        <f t="shared" si="1"/>
        <v>0.80000000000000016</v>
      </c>
      <c r="B11">
        <f t="shared" si="0"/>
        <v>3598.2744306546842</v>
      </c>
      <c r="D11">
        <f>cp_data_NASA_20H!V13</f>
        <v>3.5982744306546843</v>
      </c>
    </row>
    <row r="12" spans="1:4" x14ac:dyDescent="0.3">
      <c r="A12">
        <f t="shared" si="1"/>
        <v>0.8500000000000002</v>
      </c>
      <c r="B12">
        <f t="shared" si="0"/>
        <v>3716.9016731987485</v>
      </c>
      <c r="D12">
        <f>cp_data_NASA_20H!V14</f>
        <v>3.7169016731987483</v>
      </c>
    </row>
    <row r="13" spans="1:4" x14ac:dyDescent="0.3">
      <c r="A13">
        <f t="shared" si="1"/>
        <v>0.90000000000000024</v>
      </c>
      <c r="B13">
        <f t="shared" si="0"/>
        <v>3831.189400901485</v>
      </c>
      <c r="D13">
        <f>cp_data_NASA_20H!V15</f>
        <v>3.8311894009014851</v>
      </c>
    </row>
    <row r="14" spans="1:4" x14ac:dyDescent="0.3">
      <c r="A14">
        <f t="shared" si="1"/>
        <v>0.95000000000000029</v>
      </c>
      <c r="B14">
        <f t="shared" si="0"/>
        <v>3943.5160125513926</v>
      </c>
      <c r="D14">
        <f>cp_data_NASA_20H!V16</f>
        <v>3.9435160125513926</v>
      </c>
    </row>
    <row r="15" spans="1:4" x14ac:dyDescent="0.3">
      <c r="A15">
        <f t="shared" si="1"/>
        <v>1.0000000000000002</v>
      </c>
      <c r="B15">
        <f t="shared" si="0"/>
        <v>4057.0844001129112</v>
      </c>
      <c r="D15">
        <f>cp_data_NASA_20H!V17</f>
        <v>4.0570844001129114</v>
      </c>
    </row>
    <row r="16" spans="1:4" x14ac:dyDescent="0.3">
      <c r="A16">
        <f t="shared" si="1"/>
        <v>1.0500000000000003</v>
      </c>
      <c r="B16">
        <f t="shared" si="0"/>
        <v>4151.8798600193732</v>
      </c>
      <c r="D16">
        <f>cp_data_NASA_20H!V18</f>
        <v>4.1518798600193731</v>
      </c>
    </row>
    <row r="17" spans="1:4" x14ac:dyDescent="0.3">
      <c r="A17">
        <f t="shared" si="1"/>
        <v>1.1000000000000003</v>
      </c>
      <c r="B17">
        <f t="shared" si="0"/>
        <v>4242.9019297612194</v>
      </c>
      <c r="D17">
        <f>cp_data_NASA_20H!V19</f>
        <v>4.2429019297612198</v>
      </c>
    </row>
    <row r="18" spans="1:4" x14ac:dyDescent="0.3">
      <c r="A18">
        <f t="shared" si="1"/>
        <v>1.1500000000000004</v>
      </c>
      <c r="B18">
        <f t="shared" si="0"/>
        <v>4330.269423028114</v>
      </c>
      <c r="D18">
        <f>cp_data_NASA_20H!V20</f>
        <v>4.3302694230281142</v>
      </c>
    </row>
    <row r="19" spans="1:4" x14ac:dyDescent="0.3">
      <c r="A19">
        <f t="shared" si="1"/>
        <v>1.2000000000000004</v>
      </c>
      <c r="B19">
        <f t="shared" si="0"/>
        <v>4414.0992993497575</v>
      </c>
      <c r="D19">
        <f>cp_data_NASA_20H!V21</f>
        <v>4.4140992993497576</v>
      </c>
    </row>
    <row r="20" spans="1:4" x14ac:dyDescent="0.3">
      <c r="A20">
        <f t="shared" si="1"/>
        <v>1.2500000000000004</v>
      </c>
      <c r="B20">
        <f t="shared" si="0"/>
        <v>4494.5066436041316</v>
      </c>
      <c r="D20">
        <f>cp_data_NASA_20H!V22</f>
        <v>4.4945066436041312</v>
      </c>
    </row>
    <row r="21" spans="1:4" x14ac:dyDescent="0.3">
      <c r="A21">
        <f t="shared" si="1"/>
        <v>1.3000000000000005</v>
      </c>
      <c r="B21">
        <f t="shared" si="0"/>
        <v>4571.6046660175052</v>
      </c>
      <c r="D21">
        <f>cp_data_NASA_20H!V23</f>
        <v>4.5716046660175049</v>
      </c>
    </row>
    <row r="22" spans="1:4" x14ac:dyDescent="0.3">
      <c r="A22">
        <f t="shared" si="1"/>
        <v>1.3500000000000005</v>
      </c>
      <c r="B22">
        <f t="shared" si="0"/>
        <v>4645.504702164435</v>
      </c>
      <c r="D22">
        <f>cp_data_NASA_20H!V24</f>
        <v>4.6455047021644349</v>
      </c>
    </row>
    <row r="23" spans="1:4" x14ac:dyDescent="0.3">
      <c r="A23">
        <f t="shared" si="1"/>
        <v>1.4000000000000006</v>
      </c>
      <c r="B23">
        <f t="shared" si="0"/>
        <v>4716.3162129677567</v>
      </c>
      <c r="D23">
        <f>cp_data_NASA_20H!V25</f>
        <v>4.7163162129677563</v>
      </c>
    </row>
    <row r="24" spans="1:4" x14ac:dyDescent="0.3">
      <c r="A24">
        <f t="shared" si="1"/>
        <v>1.4500000000000006</v>
      </c>
      <c r="B24">
        <f t="shared" si="0"/>
        <v>4784.1467846985961</v>
      </c>
      <c r="D24">
        <f>cp_data_NASA_20H!V26</f>
        <v>4.7841467846985957</v>
      </c>
    </row>
    <row r="25" spans="1:4" x14ac:dyDescent="0.3">
      <c r="A25">
        <f t="shared" si="1"/>
        <v>1.5000000000000007</v>
      </c>
      <c r="B25">
        <f t="shared" si="0"/>
        <v>4849.1021289763603</v>
      </c>
      <c r="D25">
        <f>cp_data_NASA_20H!V27</f>
        <v>4.8491021289763605</v>
      </c>
    </row>
    <row r="26" spans="1:4" x14ac:dyDescent="0.3">
      <c r="A26">
        <f t="shared" si="1"/>
        <v>1.5500000000000007</v>
      </c>
      <c r="B26">
        <f t="shared" si="0"/>
        <v>4911.2860827687437</v>
      </c>
      <c r="D26">
        <f>cp_data_NASA_20H!V28</f>
        <v>4.9112860827687435</v>
      </c>
    </row>
    <row r="27" spans="1:4" x14ac:dyDescent="0.3">
      <c r="A27">
        <f t="shared" si="1"/>
        <v>1.6000000000000008</v>
      </c>
      <c r="B27">
        <f t="shared" si="0"/>
        <v>4970.8006083917244</v>
      </c>
      <c r="D27">
        <f>cp_data_NASA_20H!V29</f>
        <v>4.9708006083917242</v>
      </c>
    </row>
    <row r="28" spans="1:4" x14ac:dyDescent="0.3">
      <c r="A28">
        <f t="shared" si="1"/>
        <v>1.6500000000000008</v>
      </c>
      <c r="B28">
        <f t="shared" si="0"/>
        <v>5027.7457935095645</v>
      </c>
      <c r="D28">
        <f>cp_data_NASA_20H!V30</f>
        <v>5.0277457935095642</v>
      </c>
    </row>
    <row r="29" spans="1:4" x14ac:dyDescent="0.3">
      <c r="A29">
        <f t="shared" si="1"/>
        <v>1.7000000000000008</v>
      </c>
      <c r="B29">
        <f t="shared" si="0"/>
        <v>5082.219851134817</v>
      </c>
      <c r="D29">
        <f>cp_data_NASA_20H!V31</f>
        <v>5.0822198511348171</v>
      </c>
    </row>
    <row r="30" spans="1:4" x14ac:dyDescent="0.3">
      <c r="A30">
        <f t="shared" si="1"/>
        <v>1.7500000000000009</v>
      </c>
      <c r="B30">
        <f t="shared" si="0"/>
        <v>5134.3191196283078</v>
      </c>
      <c r="D30">
        <f>cp_data_NASA_20H!V32</f>
        <v>5.1343191196283078</v>
      </c>
    </row>
    <row r="31" spans="1:4" x14ac:dyDescent="0.3">
      <c r="A31">
        <f t="shared" si="1"/>
        <v>1.8000000000000009</v>
      </c>
      <c r="B31">
        <f t="shared" si="0"/>
        <v>5184.1380626991577</v>
      </c>
      <c r="D31">
        <f>cp_data_NASA_20H!V33</f>
        <v>5.1841380626991578</v>
      </c>
    </row>
    <row r="32" spans="1:4" x14ac:dyDescent="0.3">
      <c r="A32">
        <f t="shared" si="1"/>
        <v>1.850000000000001</v>
      </c>
      <c r="B32">
        <f t="shared" si="0"/>
        <v>5231.7692694047701</v>
      </c>
      <c r="D32">
        <f>cp_data_NASA_20H!V34</f>
        <v>5.2317692694047704</v>
      </c>
    </row>
    <row r="33" spans="1:4" x14ac:dyDescent="0.3">
      <c r="A33">
        <f t="shared" si="1"/>
        <v>1.900000000000001</v>
      </c>
      <c r="B33">
        <f t="shared" si="0"/>
        <v>5277.3034541508368</v>
      </c>
      <c r="D33">
        <f>cp_data_NASA_20H!V35</f>
        <v>5.2773034541508368</v>
      </c>
    </row>
    <row r="34" spans="1:4" x14ac:dyDescent="0.3">
      <c r="A34">
        <f t="shared" si="1"/>
        <v>1.9500000000000011</v>
      </c>
      <c r="B34">
        <f t="shared" si="0"/>
        <v>5320.8294566913237</v>
      </c>
      <c r="D34">
        <f>cp_data_NASA_20H!V36</f>
        <v>5.3208294566913237</v>
      </c>
    </row>
    <row r="35" spans="1:4" x14ac:dyDescent="0.3">
      <c r="A35">
        <f t="shared" si="1"/>
        <v>2.0000000000000009</v>
      </c>
      <c r="B35">
        <f t="shared" si="0"/>
        <v>5362.4342421284891</v>
      </c>
      <c r="D35">
        <f>cp_data_NASA_20H!V37</f>
        <v>5.3624342421284892</v>
      </c>
    </row>
    <row r="36" spans="1:4" x14ac:dyDescent="0.3">
      <c r="A36">
        <f t="shared" si="1"/>
        <v>2.0500000000000007</v>
      </c>
      <c r="B36">
        <f t="shared" si="0"/>
        <v>5402.2029009128801</v>
      </c>
      <c r="D36">
        <f>cp_data_NASA_20H!V38</f>
        <v>5.4022029009128802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zoomScale="75" zoomScaleNormal="75" workbookViewId="0">
      <selection activeCell="D36" sqref="D36"/>
    </sheetView>
  </sheetViews>
  <sheetFormatPr defaultRowHeight="14.4" x14ac:dyDescent="0.3"/>
  <sheetData>
    <row r="1" spans="1:4" x14ac:dyDescent="0.3">
      <c r="A1">
        <v>0.3</v>
      </c>
      <c r="B1">
        <f>D1*1000</f>
        <v>1826.8508177266838</v>
      </c>
      <c r="D1">
        <f>cp_data_NASA_5CO2!V3</f>
        <v>1.8268508177266838</v>
      </c>
    </row>
    <row r="2" spans="1:4" x14ac:dyDescent="0.3">
      <c r="A2">
        <f>A1+0.05</f>
        <v>0.35</v>
      </c>
      <c r="B2">
        <f t="shared" ref="B2:B36" si="0">D2*1000</f>
        <v>1931.4448267902901</v>
      </c>
      <c r="D2">
        <f>cp_data_NASA_5CO2!V4</f>
        <v>1.9314448267902902</v>
      </c>
    </row>
    <row r="3" spans="1:4" x14ac:dyDescent="0.3">
      <c r="A3">
        <f t="shared" ref="A3:A36" si="1">A2+0.05</f>
        <v>0.39999999999999997</v>
      </c>
      <c r="B3">
        <f t="shared" si="0"/>
        <v>2053.9414721119924</v>
      </c>
      <c r="D3">
        <f>cp_data_NASA_5CO2!V5</f>
        <v>2.0539414721119926</v>
      </c>
    </row>
    <row r="4" spans="1:4" x14ac:dyDescent="0.3">
      <c r="A4">
        <f t="shared" si="1"/>
        <v>0.44999999999999996</v>
      </c>
      <c r="B4">
        <f t="shared" si="0"/>
        <v>2188.1360523536114</v>
      </c>
      <c r="D4">
        <f>cp_data_NASA_5CO2!V6</f>
        <v>2.1881360523536113</v>
      </c>
    </row>
    <row r="5" spans="1:4" x14ac:dyDescent="0.3">
      <c r="A5">
        <f t="shared" si="1"/>
        <v>0.49999999999999994</v>
      </c>
      <c r="B5">
        <f t="shared" si="0"/>
        <v>2328.712496541516</v>
      </c>
      <c r="D5">
        <f>cp_data_NASA_5CO2!V7</f>
        <v>2.3287124965415158</v>
      </c>
    </row>
    <row r="6" spans="1:4" x14ac:dyDescent="0.3">
      <c r="A6">
        <f t="shared" si="1"/>
        <v>0.54999999999999993</v>
      </c>
      <c r="B6">
        <f t="shared" si="0"/>
        <v>2471.2433640666231</v>
      </c>
      <c r="D6">
        <f>cp_data_NASA_5CO2!V8</f>
        <v>2.4712433640666234</v>
      </c>
    </row>
    <row r="7" spans="1:4" x14ac:dyDescent="0.3">
      <c r="A7">
        <f t="shared" si="1"/>
        <v>0.6</v>
      </c>
      <c r="B7">
        <f t="shared" si="0"/>
        <v>2612.1898446844002</v>
      </c>
      <c r="D7">
        <f>cp_data_NASA_5CO2!V9</f>
        <v>2.6121898446844001</v>
      </c>
    </row>
    <row r="8" spans="1:4" x14ac:dyDescent="0.3">
      <c r="A8">
        <f t="shared" si="1"/>
        <v>0.65</v>
      </c>
      <c r="B8">
        <f t="shared" si="0"/>
        <v>2748.901758514864</v>
      </c>
      <c r="D8">
        <f>cp_data_NASA_5CO2!V10</f>
        <v>2.7489017585148638</v>
      </c>
    </row>
    <row r="9" spans="1:4" x14ac:dyDescent="0.3">
      <c r="A9">
        <f t="shared" si="1"/>
        <v>0.70000000000000007</v>
      </c>
      <c r="B9">
        <f t="shared" si="0"/>
        <v>2879.61755604258</v>
      </c>
      <c r="D9">
        <f>cp_data_NASA_5CO2!V11</f>
        <v>2.8796175560425801</v>
      </c>
    </row>
    <row r="10" spans="1:4" x14ac:dyDescent="0.3">
      <c r="A10">
        <f t="shared" si="1"/>
        <v>0.75000000000000011</v>
      </c>
      <c r="B10">
        <f t="shared" si="0"/>
        <v>3003.4643181166593</v>
      </c>
      <c r="D10">
        <f>cp_data_NASA_5CO2!V12</f>
        <v>3.0034643181166594</v>
      </c>
    </row>
    <row r="11" spans="1:4" x14ac:dyDescent="0.3">
      <c r="A11">
        <f t="shared" si="1"/>
        <v>0.80000000000000016</v>
      </c>
      <c r="B11">
        <f t="shared" si="0"/>
        <v>3120.4577559507675</v>
      </c>
      <c r="D11">
        <f>cp_data_NASA_5CO2!V13</f>
        <v>3.1204577559507674</v>
      </c>
    </row>
    <row r="12" spans="1:4" x14ac:dyDescent="0.3">
      <c r="A12">
        <f t="shared" si="1"/>
        <v>0.8500000000000002</v>
      </c>
      <c r="B12">
        <f t="shared" si="0"/>
        <v>3231.5022111231165</v>
      </c>
      <c r="D12">
        <f>cp_data_NASA_5CO2!V14</f>
        <v>3.2315022111231166</v>
      </c>
    </row>
    <row r="13" spans="1:4" x14ac:dyDescent="0.3">
      <c r="A13">
        <f t="shared" si="1"/>
        <v>0.90000000000000024</v>
      </c>
      <c r="B13">
        <f t="shared" si="0"/>
        <v>3338.3906555764652</v>
      </c>
      <c r="D13">
        <f>cp_data_NASA_5CO2!V15</f>
        <v>3.3383906555764651</v>
      </c>
    </row>
    <row r="14" spans="1:4" x14ac:dyDescent="0.3">
      <c r="A14">
        <f t="shared" si="1"/>
        <v>0.95000000000000029</v>
      </c>
      <c r="B14">
        <f t="shared" si="0"/>
        <v>3443.8046916181229</v>
      </c>
      <c r="D14">
        <f>cp_data_NASA_5CO2!V16</f>
        <v>3.4438046916181229</v>
      </c>
    </row>
    <row r="15" spans="1:4" x14ac:dyDescent="0.3">
      <c r="A15">
        <f t="shared" si="1"/>
        <v>1.0000000000000002</v>
      </c>
      <c r="B15">
        <f t="shared" si="0"/>
        <v>3551.3145519199525</v>
      </c>
      <c r="D15">
        <f>cp_data_NASA_5CO2!V17</f>
        <v>3.5513145519199525</v>
      </c>
    </row>
    <row r="16" spans="1:4" x14ac:dyDescent="0.3">
      <c r="A16">
        <f t="shared" si="1"/>
        <v>1.0500000000000003</v>
      </c>
      <c r="B16">
        <f t="shared" si="0"/>
        <v>3638.6521143423952</v>
      </c>
      <c r="D16">
        <f>cp_data_NASA_5CO2!V18</f>
        <v>3.6386521143423951</v>
      </c>
    </row>
    <row r="17" spans="1:4" x14ac:dyDescent="0.3">
      <c r="A17">
        <f t="shared" si="1"/>
        <v>1.1000000000000003</v>
      </c>
      <c r="B17">
        <f t="shared" si="0"/>
        <v>3722.4464573887408</v>
      </c>
      <c r="D17">
        <f>cp_data_NASA_5CO2!V19</f>
        <v>3.7224464573887408</v>
      </c>
    </row>
    <row r="18" spans="1:4" x14ac:dyDescent="0.3">
      <c r="A18">
        <f t="shared" si="1"/>
        <v>1.1500000000000004</v>
      </c>
      <c r="B18">
        <f t="shared" si="0"/>
        <v>3802.8098879264444</v>
      </c>
      <c r="D18">
        <f>cp_data_NASA_5CO2!V20</f>
        <v>3.8028098879264443</v>
      </c>
    </row>
    <row r="19" spans="1:4" x14ac:dyDescent="0.3">
      <c r="A19">
        <f t="shared" si="1"/>
        <v>1.2000000000000004</v>
      </c>
      <c r="B19">
        <f t="shared" si="0"/>
        <v>3879.8529561314358</v>
      </c>
      <c r="D19">
        <f>cp_data_NASA_5CO2!V21</f>
        <v>3.8798529561314359</v>
      </c>
    </row>
    <row r="20" spans="1:4" x14ac:dyDescent="0.3">
      <c r="A20">
        <f t="shared" si="1"/>
        <v>1.2500000000000004</v>
      </c>
      <c r="B20">
        <f t="shared" si="0"/>
        <v>3953.6844368514057</v>
      </c>
      <c r="D20">
        <f>cp_data_NASA_5CO2!V22</f>
        <v>3.9536844368514057</v>
      </c>
    </row>
    <row r="21" spans="1:4" x14ac:dyDescent="0.3">
      <c r="A21">
        <f t="shared" si="1"/>
        <v>1.3000000000000005</v>
      </c>
      <c r="B21">
        <f t="shared" si="0"/>
        <v>4024.4113296058035</v>
      </c>
      <c r="D21">
        <f>cp_data_NASA_5CO2!V23</f>
        <v>4.0244113296058037</v>
      </c>
    </row>
    <row r="22" spans="1:4" x14ac:dyDescent="0.3">
      <c r="A22">
        <f t="shared" si="1"/>
        <v>1.3500000000000005</v>
      </c>
      <c r="B22">
        <f t="shared" si="0"/>
        <v>4092.1388585858381</v>
      </c>
      <c r="D22">
        <f>cp_data_NASA_5CO2!V24</f>
        <v>4.0921388585858383</v>
      </c>
    </row>
    <row r="23" spans="1:4" x14ac:dyDescent="0.3">
      <c r="A23">
        <f t="shared" si="1"/>
        <v>1.4000000000000006</v>
      </c>
      <c r="B23">
        <f t="shared" si="0"/>
        <v>4156.9704726544751</v>
      </c>
      <c r="D23">
        <f>cp_data_NASA_5CO2!V25</f>
        <v>4.1569704726544749</v>
      </c>
    </row>
    <row r="24" spans="1:4" x14ac:dyDescent="0.3">
      <c r="A24">
        <f t="shared" si="1"/>
        <v>1.4500000000000006</v>
      </c>
      <c r="B24">
        <f t="shared" si="0"/>
        <v>4219.0078453464366</v>
      </c>
      <c r="D24">
        <f>cp_data_NASA_5CO2!V26</f>
        <v>4.2190078453464368</v>
      </c>
    </row>
    <row r="25" spans="1:4" x14ac:dyDescent="0.3">
      <c r="A25">
        <f t="shared" si="1"/>
        <v>1.5000000000000007</v>
      </c>
      <c r="B25">
        <f t="shared" si="0"/>
        <v>4278.3508748682152</v>
      </c>
      <c r="D25">
        <f>cp_data_NASA_5CO2!V27</f>
        <v>4.2783508748682149</v>
      </c>
    </row>
    <row r="26" spans="1:4" x14ac:dyDescent="0.3">
      <c r="A26">
        <f t="shared" si="1"/>
        <v>1.5500000000000007</v>
      </c>
      <c r="B26">
        <f t="shared" si="0"/>
        <v>4335.0976840980438</v>
      </c>
      <c r="D26">
        <f>cp_data_NASA_5CO2!V28</f>
        <v>4.3350976840980442</v>
      </c>
    </row>
    <row r="27" spans="1:4" x14ac:dyDescent="0.3">
      <c r="A27">
        <f t="shared" si="1"/>
        <v>1.6000000000000008</v>
      </c>
      <c r="B27">
        <f t="shared" si="0"/>
        <v>4389.3446205859345</v>
      </c>
      <c r="D27">
        <f>cp_data_NASA_5CO2!V29</f>
        <v>4.3893446205859341</v>
      </c>
    </row>
    <row r="28" spans="1:4" x14ac:dyDescent="0.3">
      <c r="A28">
        <f t="shared" si="1"/>
        <v>1.6500000000000008</v>
      </c>
      <c r="B28">
        <f t="shared" si="0"/>
        <v>4441.1862565536394</v>
      </c>
      <c r="D28">
        <f>cp_data_NASA_5CO2!V30</f>
        <v>4.4411862565536397</v>
      </c>
    </row>
    <row r="29" spans="1:4" x14ac:dyDescent="0.3">
      <c r="A29">
        <f t="shared" si="1"/>
        <v>1.7000000000000008</v>
      </c>
      <c r="B29">
        <f t="shared" si="0"/>
        <v>4490.7153888946859</v>
      </c>
      <c r="D29">
        <f>cp_data_NASA_5CO2!V31</f>
        <v>4.490715388894686</v>
      </c>
    </row>
    <row r="30" spans="1:4" x14ac:dyDescent="0.3">
      <c r="A30">
        <f t="shared" si="1"/>
        <v>1.7500000000000009</v>
      </c>
      <c r="B30">
        <f t="shared" si="0"/>
        <v>4538.0230391743462</v>
      </c>
      <c r="D30">
        <f>cp_data_NASA_5CO2!V32</f>
        <v>4.5380230391743464</v>
      </c>
    </row>
    <row r="31" spans="1:4" x14ac:dyDescent="0.3">
      <c r="A31">
        <f t="shared" si="1"/>
        <v>1.8000000000000009</v>
      </c>
      <c r="B31">
        <f t="shared" si="0"/>
        <v>4583.1984536296623</v>
      </c>
      <c r="D31">
        <f>cp_data_NASA_5CO2!V33</f>
        <v>4.5831984536296622</v>
      </c>
    </row>
    <row r="32" spans="1:4" x14ac:dyDescent="0.3">
      <c r="A32">
        <f t="shared" si="1"/>
        <v>1.850000000000001</v>
      </c>
      <c r="B32">
        <f t="shared" si="0"/>
        <v>4626.3291031694289</v>
      </c>
      <c r="D32">
        <f>cp_data_NASA_5CO2!V34</f>
        <v>4.6263291031694287</v>
      </c>
    </row>
    <row r="33" spans="1:4" x14ac:dyDescent="0.3">
      <c r="A33">
        <f t="shared" si="1"/>
        <v>1.900000000000001</v>
      </c>
      <c r="B33">
        <f t="shared" si="0"/>
        <v>4667.5006833742009</v>
      </c>
      <c r="D33">
        <f>cp_data_NASA_5CO2!V35</f>
        <v>4.6675006833742012</v>
      </c>
    </row>
    <row r="34" spans="1:4" x14ac:dyDescent="0.3">
      <c r="A34">
        <f t="shared" si="1"/>
        <v>1.9500000000000011</v>
      </c>
      <c r="B34">
        <f t="shared" si="0"/>
        <v>4706.797114496293</v>
      </c>
      <c r="D34">
        <f>cp_data_NASA_5CO2!V36</f>
        <v>4.7067971144962932</v>
      </c>
    </row>
    <row r="35" spans="1:4" x14ac:dyDescent="0.3">
      <c r="A35">
        <f t="shared" si="1"/>
        <v>2.0000000000000009</v>
      </c>
      <c r="B35">
        <f t="shared" si="0"/>
        <v>4744.3005414597783</v>
      </c>
      <c r="D35">
        <f>cp_data_NASA_5CO2!V37</f>
        <v>4.7443005414597783</v>
      </c>
    </row>
    <row r="36" spans="1:4" x14ac:dyDescent="0.3">
      <c r="A36">
        <f t="shared" si="1"/>
        <v>2.0500000000000007</v>
      </c>
      <c r="B36">
        <f t="shared" si="0"/>
        <v>4780.0913338604878</v>
      </c>
      <c r="D36">
        <f>cp_data_NASA_5CO2!V38</f>
        <v>4.7800913338604882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workbookViewId="0">
      <selection activeCell="J11" sqref="J11"/>
    </sheetView>
  </sheetViews>
  <sheetFormatPr defaultRowHeight="14.4" x14ac:dyDescent="0.3"/>
  <cols>
    <col min="2" max="2" width="19.44140625" customWidth="1"/>
  </cols>
  <sheetData>
    <row r="1" spans="1:22" x14ac:dyDescent="0.3">
      <c r="A1" s="21" t="s">
        <v>105</v>
      </c>
      <c r="B1" s="17"/>
      <c r="C1" s="17" t="s">
        <v>117</v>
      </c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</row>
    <row r="2" spans="1:22" x14ac:dyDescent="0.3">
      <c r="A2" s="42" t="s">
        <v>111</v>
      </c>
      <c r="B2" s="42" t="s">
        <v>1</v>
      </c>
      <c r="C2" s="42" t="s">
        <v>5</v>
      </c>
      <c r="D2" s="42" t="s">
        <v>2</v>
      </c>
      <c r="E2" s="42" t="s">
        <v>3</v>
      </c>
      <c r="F2" s="42" t="s">
        <v>4</v>
      </c>
      <c r="G2" s="17" t="s">
        <v>6</v>
      </c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</row>
    <row r="3" spans="1:22" ht="25.8" x14ac:dyDescent="0.5">
      <c r="A3" s="17">
        <f>'weight etc'!A3*(100-B$3)/100</f>
        <v>3.9600000000000004</v>
      </c>
      <c r="B3" s="17">
        <f>10</f>
        <v>10</v>
      </c>
      <c r="C3" s="17">
        <f>'weight etc'!C3*((100-B$3)/100)</f>
        <v>72.900000000000006</v>
      </c>
      <c r="D3" s="17">
        <f>'weight etc'!D3*((100-B$3)/100)</f>
        <v>1.3140000000000001</v>
      </c>
      <c r="E3" s="17">
        <f>'weight etc'!E3*((100-B$3)/100)</f>
        <v>11.817</v>
      </c>
      <c r="F3" s="17">
        <v>0</v>
      </c>
      <c r="G3" s="17">
        <f>SUM(A3:F3)</f>
        <v>99.991000000000014</v>
      </c>
      <c r="H3" s="17"/>
      <c r="I3" s="17"/>
      <c r="J3" s="17"/>
      <c r="K3" s="17"/>
      <c r="L3" s="43" t="s">
        <v>106</v>
      </c>
      <c r="M3" s="17"/>
      <c r="N3" s="17"/>
      <c r="O3" s="17"/>
      <c r="P3" s="17"/>
      <c r="Q3" s="17"/>
      <c r="R3" s="17"/>
      <c r="S3" s="17"/>
    </row>
    <row r="4" spans="1:22" x14ac:dyDescent="0.3">
      <c r="A4" s="17">
        <f>A3/100</f>
        <v>3.9600000000000003E-2</v>
      </c>
      <c r="B4" s="17">
        <f t="shared" ref="B4:G4" si="0">B3/100</f>
        <v>0.1</v>
      </c>
      <c r="C4" s="17">
        <f t="shared" si="0"/>
        <v>0.72900000000000009</v>
      </c>
      <c r="D4" s="17">
        <f t="shared" si="0"/>
        <v>1.3140000000000001E-2</v>
      </c>
      <c r="E4" s="17">
        <f t="shared" si="0"/>
        <v>0.11817</v>
      </c>
      <c r="F4" s="17">
        <f t="shared" si="0"/>
        <v>0</v>
      </c>
      <c r="G4" s="17">
        <f t="shared" si="0"/>
        <v>0.99991000000000019</v>
      </c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</row>
    <row r="5" spans="1:22" x14ac:dyDescent="0.3">
      <c r="A5" s="21" t="s">
        <v>107</v>
      </c>
      <c r="B5" s="17"/>
      <c r="C5" s="17"/>
      <c r="D5" s="17"/>
      <c r="E5" s="17"/>
      <c r="F5" s="17"/>
      <c r="G5" s="21" t="s">
        <v>108</v>
      </c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 t="s">
        <v>26</v>
      </c>
      <c r="U5" s="17"/>
      <c r="V5" s="17"/>
    </row>
    <row r="6" spans="1:22" x14ac:dyDescent="0.3">
      <c r="A6" s="44">
        <f>A3/100*B11</f>
        <v>1.1907720000000002</v>
      </c>
      <c r="B6" s="44">
        <f>B3/100*B12</f>
        <v>0.20158800000000002</v>
      </c>
      <c r="C6" s="44">
        <f>C3/100*B13</f>
        <v>11.693160000000001</v>
      </c>
      <c r="D6" s="44">
        <f>D3/100*B14</f>
        <v>0.57829140000000001</v>
      </c>
      <c r="E6" s="44">
        <f>E3/100*B15</f>
        <v>3.3103434780000001</v>
      </c>
      <c r="F6" s="44">
        <f>F3/100*B16</f>
        <v>0</v>
      </c>
      <c r="G6" s="23">
        <f t="shared" ref="G6:G8" si="1">SUM(A6:F6)</f>
        <v>16.974154878</v>
      </c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>
        <f>Q11*G6/B17</f>
        <v>0.76860000000000017</v>
      </c>
      <c r="U6" s="17"/>
      <c r="V6" s="17"/>
    </row>
    <row r="7" spans="1:22" x14ac:dyDescent="0.3">
      <c r="A7" s="21" t="s">
        <v>8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 t="s">
        <v>27</v>
      </c>
      <c r="U7" s="17"/>
      <c r="V7" s="17"/>
    </row>
    <row r="8" spans="1:22" x14ac:dyDescent="0.3">
      <c r="A8" s="44">
        <f>A6/$G6</f>
        <v>7.0152064038448564E-2</v>
      </c>
      <c r="B8" s="44">
        <f t="shared" ref="B8:E8" si="2">B6/$G6</f>
        <v>1.1876173008252435E-2</v>
      </c>
      <c r="C8" s="44">
        <f t="shared" si="2"/>
        <v>0.68888024670703141</v>
      </c>
      <c r="D8" s="44">
        <f t="shared" si="2"/>
        <v>3.4068936224301606E-2</v>
      </c>
      <c r="E8" s="44">
        <f t="shared" si="2"/>
        <v>0.19502258002196604</v>
      </c>
      <c r="F8" s="44">
        <f>F6/$G6</f>
        <v>0</v>
      </c>
      <c r="G8" s="44">
        <f t="shared" si="1"/>
        <v>1</v>
      </c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>
        <f>Q12*G6/B19</f>
        <v>0.82900000000000018</v>
      </c>
      <c r="U8" s="17"/>
      <c r="V8" s="17"/>
    </row>
    <row r="9" spans="1:22" x14ac:dyDescent="0.3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 t="s">
        <v>31</v>
      </c>
      <c r="U9" s="17"/>
      <c r="V9" s="17"/>
    </row>
    <row r="10" spans="1:22" x14ac:dyDescent="0.3">
      <c r="A10" s="17"/>
      <c r="B10" s="21" t="s">
        <v>7</v>
      </c>
      <c r="C10" s="21"/>
      <c r="D10" s="21" t="s">
        <v>20</v>
      </c>
      <c r="E10" s="21"/>
      <c r="F10" s="21"/>
      <c r="G10" s="21" t="s">
        <v>24</v>
      </c>
      <c r="H10" s="21"/>
      <c r="I10" s="17"/>
      <c r="J10" s="21" t="s">
        <v>14</v>
      </c>
      <c r="K10" s="17"/>
      <c r="L10" s="17"/>
      <c r="M10" s="17"/>
      <c r="N10" s="17" t="s">
        <v>109</v>
      </c>
      <c r="O10" s="17"/>
      <c r="P10" s="17"/>
      <c r="Q10" s="17" t="s">
        <v>110</v>
      </c>
      <c r="R10" s="17"/>
      <c r="S10" s="17"/>
      <c r="T10" s="17">
        <f>Q13*G6/B18</f>
        <v>6.5880000000000008E-2</v>
      </c>
      <c r="U10" s="17"/>
      <c r="V10" s="17"/>
    </row>
    <row r="11" spans="1:22" x14ac:dyDescent="0.3">
      <c r="A11" s="42" t="s">
        <v>111</v>
      </c>
      <c r="B11" s="45">
        <v>30.07</v>
      </c>
      <c r="C11" s="17"/>
      <c r="D11" s="17">
        <v>1.1399999999999999</v>
      </c>
      <c r="E11" s="17" t="s">
        <v>21</v>
      </c>
      <c r="F11" s="17"/>
      <c r="G11" s="17">
        <f>A3/100*D11</f>
        <v>4.5143999999999997E-2</v>
      </c>
      <c r="H11" s="17" t="s">
        <v>22</v>
      </c>
      <c r="I11" s="17"/>
      <c r="J11" s="46">
        <f>B11/G6*A4</f>
        <v>7.0152064038448564E-2</v>
      </c>
      <c r="K11" s="17" t="s">
        <v>25</v>
      </c>
      <c r="L11" s="17">
        <f>B11/G$6*A3</f>
        <v>7.0152064038448572</v>
      </c>
      <c r="M11" s="17"/>
      <c r="N11" s="17" t="s">
        <v>11</v>
      </c>
      <c r="O11" s="17">
        <f>A6/(B11)*B17+C6/B13*B17</f>
        <v>9.2314240200000004</v>
      </c>
      <c r="P11" s="17"/>
      <c r="Q11" s="17">
        <f>O11/G6</f>
        <v>0.54385176088882869</v>
      </c>
      <c r="R11" s="17"/>
      <c r="S11" s="17"/>
      <c r="T11" s="17" t="s">
        <v>32</v>
      </c>
      <c r="U11" s="17"/>
      <c r="V11" s="17"/>
    </row>
    <row r="12" spans="1:22" x14ac:dyDescent="0.3">
      <c r="A12" s="42" t="s">
        <v>1</v>
      </c>
      <c r="B12" s="45">
        <v>2.0158800000000001</v>
      </c>
      <c r="C12" s="17"/>
      <c r="D12" s="17">
        <v>8.2000000000000003E-2</v>
      </c>
      <c r="E12" s="17" t="s">
        <v>21</v>
      </c>
      <c r="F12" s="17"/>
      <c r="G12" s="17">
        <f>B3/100*D12</f>
        <v>8.2000000000000007E-3</v>
      </c>
      <c r="H12" s="17" t="s">
        <v>22</v>
      </c>
      <c r="I12" s="17"/>
      <c r="J12" s="46">
        <f>B12/G6*B4</f>
        <v>1.1876173008252437E-2</v>
      </c>
      <c r="K12" s="17" t="s">
        <v>25</v>
      </c>
      <c r="L12" s="17">
        <f>B12/G6*B3</f>
        <v>1.1876173008252435</v>
      </c>
      <c r="M12" s="17"/>
      <c r="N12" s="17" t="s">
        <v>13</v>
      </c>
      <c r="O12" s="17">
        <f>B6/B12*B19+C6/B13*B19</f>
        <v>0.83558226000000013</v>
      </c>
      <c r="P12" s="17"/>
      <c r="Q12" s="17">
        <f>O12/G$6</f>
        <v>4.9226737119206353E-2</v>
      </c>
      <c r="R12" s="17"/>
      <c r="S12" s="17"/>
      <c r="T12" s="17">
        <f>Q14*G6/B15*2</f>
        <v>0.23633999999999999</v>
      </c>
      <c r="U12" s="17"/>
      <c r="V12" s="17"/>
    </row>
    <row r="13" spans="1:22" x14ac:dyDescent="0.3">
      <c r="A13" s="42" t="s">
        <v>9</v>
      </c>
      <c r="B13" s="45">
        <v>16.04</v>
      </c>
      <c r="C13" s="17"/>
      <c r="D13" s="17">
        <v>0.65600000000000003</v>
      </c>
      <c r="E13" s="17" t="s">
        <v>21</v>
      </c>
      <c r="F13" s="17"/>
      <c r="G13" s="17">
        <f>C3/100*D13</f>
        <v>0.47822400000000009</v>
      </c>
      <c r="H13" s="17" t="s">
        <v>22</v>
      </c>
      <c r="I13" s="17"/>
      <c r="J13" s="46">
        <f>B13/G6*C4</f>
        <v>0.68888024670703141</v>
      </c>
      <c r="K13" s="17" t="s">
        <v>25</v>
      </c>
      <c r="L13" s="17">
        <f>B13/G6*C3</f>
        <v>68.888024670703132</v>
      </c>
      <c r="M13" s="17"/>
      <c r="N13" s="17" t="s">
        <v>12</v>
      </c>
      <c r="O13" s="17">
        <f>A6/B11*B18+D6/B14*B16</f>
        <v>1.0540141200000002</v>
      </c>
      <c r="P13" s="17"/>
      <c r="Q13" s="17">
        <f t="shared" ref="Q13:Q14" si="3">O13/G$6</f>
        <v>6.2095234052924504E-2</v>
      </c>
      <c r="R13" s="17"/>
      <c r="S13" s="17"/>
    </row>
    <row r="14" spans="1:22" x14ac:dyDescent="0.3">
      <c r="A14" s="42" t="s">
        <v>2</v>
      </c>
      <c r="B14" s="45">
        <v>44.01</v>
      </c>
      <c r="C14" s="17"/>
      <c r="D14" s="17">
        <v>1.98</v>
      </c>
      <c r="E14" s="17" t="s">
        <v>21</v>
      </c>
      <c r="F14" s="17"/>
      <c r="G14" s="17">
        <f>D3/100*D14</f>
        <v>2.6017200000000001E-2</v>
      </c>
      <c r="H14" s="17" t="s">
        <v>22</v>
      </c>
      <c r="I14" s="17"/>
      <c r="J14" s="46">
        <f>B14/G6*D4</f>
        <v>3.4068936224301606E-2</v>
      </c>
      <c r="K14" s="17" t="s">
        <v>25</v>
      </c>
      <c r="L14" s="17">
        <f>B14/G6*D3</f>
        <v>3.4068936224301605</v>
      </c>
      <c r="M14" s="17"/>
      <c r="N14" s="17" t="s">
        <v>3</v>
      </c>
      <c r="O14" s="44">
        <f>E6</f>
        <v>3.3103434780000001</v>
      </c>
      <c r="P14" s="17"/>
      <c r="Q14" s="17">
        <f t="shared" si="3"/>
        <v>0.19502258002196604</v>
      </c>
      <c r="R14" s="17"/>
      <c r="S14" s="17"/>
    </row>
    <row r="15" spans="1:22" x14ac:dyDescent="0.3">
      <c r="A15" s="42" t="s">
        <v>3</v>
      </c>
      <c r="B15" s="45">
        <v>28.013400000000001</v>
      </c>
      <c r="C15" s="17"/>
      <c r="D15" s="17">
        <v>1.165</v>
      </c>
      <c r="E15" s="17" t="s">
        <v>21</v>
      </c>
      <c r="F15" s="17"/>
      <c r="G15" s="17">
        <f>E3/100*D15</f>
        <v>0.13766805000000001</v>
      </c>
      <c r="H15" s="17" t="s">
        <v>22</v>
      </c>
      <c r="I15" s="17"/>
      <c r="J15" s="46">
        <f>B15/G6*E4</f>
        <v>0.19502258002196604</v>
      </c>
      <c r="K15" s="17" t="s">
        <v>25</v>
      </c>
      <c r="L15" s="17">
        <f>B15/G6*E3</f>
        <v>19.502258002196605</v>
      </c>
      <c r="M15" s="17"/>
      <c r="N15" s="17"/>
      <c r="O15" s="21">
        <f>SUM(O11:O14)</f>
        <v>14.431363878000001</v>
      </c>
      <c r="P15" s="17"/>
      <c r="Q15" s="21">
        <f>SUM(Q11:Q14)</f>
        <v>0.85019631208292556</v>
      </c>
      <c r="R15" s="17"/>
      <c r="S15" s="17"/>
    </row>
    <row r="16" spans="1:22" x14ac:dyDescent="0.3">
      <c r="A16" s="42" t="s">
        <v>4</v>
      </c>
      <c r="B16" s="45">
        <f>15.999*2</f>
        <v>31.998000000000001</v>
      </c>
      <c r="C16" s="17"/>
      <c r="D16" s="17">
        <v>1.331</v>
      </c>
      <c r="E16" s="17" t="s">
        <v>21</v>
      </c>
      <c r="F16" s="17"/>
      <c r="G16" s="17"/>
      <c r="H16" s="17"/>
      <c r="I16" s="17"/>
      <c r="J16" s="17">
        <f>B16/G6*F4</f>
        <v>0</v>
      </c>
      <c r="K16" s="17"/>
      <c r="L16" s="17"/>
      <c r="M16" s="17"/>
      <c r="N16" s="17"/>
      <c r="O16" s="17"/>
      <c r="P16" s="17"/>
      <c r="Q16" s="17"/>
      <c r="R16" s="17"/>
      <c r="S16" s="17"/>
    </row>
    <row r="17" spans="1:19" x14ac:dyDescent="0.3">
      <c r="A17" s="42" t="s">
        <v>11</v>
      </c>
      <c r="B17" s="45">
        <v>12.0107</v>
      </c>
      <c r="C17" s="17"/>
      <c r="D17" s="17"/>
      <c r="E17" s="17"/>
      <c r="F17" s="17" t="s">
        <v>23</v>
      </c>
      <c r="G17" s="47">
        <f>SUM(G11:G15)</f>
        <v>0.69525325000000004</v>
      </c>
      <c r="H17" s="17" t="s">
        <v>21</v>
      </c>
      <c r="I17" s="17"/>
      <c r="J17" s="23">
        <f>SUM(J11:J15)</f>
        <v>1</v>
      </c>
      <c r="K17" s="17"/>
      <c r="L17" s="21">
        <f>SUM(L11:L15)</f>
        <v>100</v>
      </c>
      <c r="M17" s="17"/>
      <c r="N17" s="17"/>
      <c r="O17" s="17"/>
      <c r="P17" s="17"/>
      <c r="Q17" s="17"/>
      <c r="R17" s="17"/>
      <c r="S17" s="17"/>
    </row>
    <row r="18" spans="1:19" x14ac:dyDescent="0.3">
      <c r="A18" s="42" t="s">
        <v>12</v>
      </c>
      <c r="B18" s="45">
        <v>15.999000000000001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</row>
    <row r="19" spans="1:19" x14ac:dyDescent="0.3">
      <c r="A19" s="42" t="s">
        <v>13</v>
      </c>
      <c r="B19" s="45">
        <v>1.0079400000000001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</row>
    <row r="20" spans="1:19" x14ac:dyDescent="0.3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</row>
    <row r="21" spans="1:19" x14ac:dyDescent="0.3">
      <c r="N21">
        <f>Q13*G6/B18</f>
        <v>6.5880000000000008E-2</v>
      </c>
    </row>
    <row r="22" spans="1:19" x14ac:dyDescent="0.3">
      <c r="N22" t="s">
        <v>32</v>
      </c>
    </row>
    <row r="23" spans="1:19" x14ac:dyDescent="0.3">
      <c r="N23">
        <f>Q14*G6/B15*2</f>
        <v>0.23633999999999999</v>
      </c>
    </row>
    <row r="24" spans="1:19" x14ac:dyDescent="0.3">
      <c r="A24" s="1" t="s">
        <v>10</v>
      </c>
    </row>
    <row r="25" spans="1:19" x14ac:dyDescent="0.3">
      <c r="B25">
        <f>A6*B11+B6*B12+C6*B13+D6*B14+E6*B15</f>
        <v>341.95575815804523</v>
      </c>
    </row>
    <row r="26" spans="1:19" x14ac:dyDescent="0.3">
      <c r="B26">
        <f>B25/G6</f>
        <v>20.145672088879664</v>
      </c>
    </row>
    <row r="28" spans="1:19" x14ac:dyDescent="0.3">
      <c r="A28" t="s">
        <v>15</v>
      </c>
      <c r="B28">
        <v>30.36</v>
      </c>
      <c r="C28" t="s">
        <v>19</v>
      </c>
    </row>
    <row r="29" spans="1:19" x14ac:dyDescent="0.3">
      <c r="A29" t="s">
        <v>16</v>
      </c>
      <c r="B29">
        <v>25.02</v>
      </c>
      <c r="C29" t="s">
        <v>17</v>
      </c>
    </row>
    <row r="30" spans="1:19" x14ac:dyDescent="0.3">
      <c r="A30" t="s">
        <v>15</v>
      </c>
      <c r="B30" s="3">
        <f>B28/B29</f>
        <v>1.2134292565947242</v>
      </c>
      <c r="C30" t="s">
        <v>18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abSelected="1" zoomScale="75" zoomScaleNormal="75" workbookViewId="0">
      <selection activeCell="E12" sqref="E12"/>
    </sheetView>
  </sheetViews>
  <sheetFormatPr defaultRowHeight="14.4" x14ac:dyDescent="0.3"/>
  <sheetData>
    <row r="1" spans="1:4" x14ac:dyDescent="0.3">
      <c r="A1">
        <v>0.3</v>
      </c>
      <c r="B1">
        <f>D1*1000</f>
        <v>1769.4563917325756</v>
      </c>
      <c r="D1">
        <f>cp_data_NASA_5H10CO2!V3</f>
        <v>1.7694563917325756</v>
      </c>
    </row>
    <row r="2" spans="1:4" x14ac:dyDescent="0.3">
      <c r="A2">
        <f>A1+0.05</f>
        <v>0.35</v>
      </c>
      <c r="B2">
        <f t="shared" ref="B2:B36" si="0">D2*1000</f>
        <v>1867.3525436368284</v>
      </c>
      <c r="D2">
        <f>cp_data_NASA_5H10CO2!V4</f>
        <v>1.8673525436368283</v>
      </c>
    </row>
    <row r="3" spans="1:4" x14ac:dyDescent="0.3">
      <c r="A3">
        <f t="shared" ref="A3:A36" si="1">A2+0.05</f>
        <v>0.39999999999999997</v>
      </c>
      <c r="B3">
        <f t="shared" si="0"/>
        <v>1979.9397942179185</v>
      </c>
      <c r="D3">
        <f>cp_data_NASA_5H10CO2!V5</f>
        <v>1.9799397942179184</v>
      </c>
    </row>
    <row r="4" spans="1:4" x14ac:dyDescent="0.3">
      <c r="A4">
        <f t="shared" si="1"/>
        <v>0.44999999999999996</v>
      </c>
      <c r="B4">
        <f t="shared" si="0"/>
        <v>2101.9856305750586</v>
      </c>
      <c r="D4">
        <f>cp_data_NASA_5H10CO2!V6</f>
        <v>2.1019856305750588</v>
      </c>
    </row>
    <row r="5" spans="1:4" x14ac:dyDescent="0.3">
      <c r="A5">
        <f t="shared" si="1"/>
        <v>0.49999999999999994</v>
      </c>
      <c r="B5">
        <f t="shared" si="0"/>
        <v>2229.0093191121387</v>
      </c>
      <c r="D5">
        <f>cp_data_NASA_5H10CO2!V7</f>
        <v>2.2290093191121385</v>
      </c>
    </row>
    <row r="6" spans="1:4" x14ac:dyDescent="0.3">
      <c r="A6">
        <f t="shared" si="1"/>
        <v>0.54999999999999993</v>
      </c>
      <c r="B6">
        <f t="shared" si="0"/>
        <v>2357.281905537719</v>
      </c>
      <c r="D6">
        <f>cp_data_NASA_5H10CO2!V8</f>
        <v>2.357281905537719</v>
      </c>
    </row>
    <row r="7" spans="1:4" x14ac:dyDescent="0.3">
      <c r="A7">
        <f t="shared" si="1"/>
        <v>0.6</v>
      </c>
      <c r="B7">
        <f t="shared" si="0"/>
        <v>2483.8262148650379</v>
      </c>
      <c r="D7">
        <f>cp_data_NASA_5H10CO2!V9</f>
        <v>2.4838262148650379</v>
      </c>
    </row>
    <row r="8" spans="1:4" x14ac:dyDescent="0.3">
      <c r="A8">
        <f t="shared" si="1"/>
        <v>0.65</v>
      </c>
      <c r="B8">
        <f t="shared" si="0"/>
        <v>2606.4168514120056</v>
      </c>
      <c r="D8">
        <f>cp_data_NASA_5H10CO2!V10</f>
        <v>2.6064168514120056</v>
      </c>
    </row>
    <row r="9" spans="1:4" x14ac:dyDescent="0.3">
      <c r="A9">
        <f t="shared" si="1"/>
        <v>0.70000000000000007</v>
      </c>
      <c r="B9">
        <f t="shared" si="0"/>
        <v>2723.5801988012099</v>
      </c>
      <c r="D9">
        <f>cp_data_NASA_5H10CO2!V11</f>
        <v>2.7235801988012098</v>
      </c>
    </row>
    <row r="10" spans="1:4" x14ac:dyDescent="0.3">
      <c r="A10">
        <f t="shared" si="1"/>
        <v>0.75000000000000011</v>
      </c>
      <c r="B10">
        <f t="shared" si="0"/>
        <v>2834.5944199599103</v>
      </c>
      <c r="D10">
        <f>cp_data_NASA_5H10CO2!V12</f>
        <v>2.8345944199599105</v>
      </c>
    </row>
    <row r="11" spans="1:4" x14ac:dyDescent="0.3">
      <c r="A11">
        <f t="shared" si="1"/>
        <v>0.80000000000000016</v>
      </c>
      <c r="B11">
        <f t="shared" si="0"/>
        <v>2939.4894571200412</v>
      </c>
      <c r="D11">
        <f>cp_data_NASA_5H10CO2!V13</f>
        <v>2.9394894571200409</v>
      </c>
    </row>
    <row r="12" spans="1:4" x14ac:dyDescent="0.3">
      <c r="A12">
        <f t="shared" si="1"/>
        <v>0.8500000000000002</v>
      </c>
      <c r="B12">
        <f t="shared" si="0"/>
        <v>3039.0470318182129</v>
      </c>
      <c r="D12">
        <f>cp_data_NASA_5H10CO2!V14</f>
        <v>3.039047031818213</v>
      </c>
    </row>
    <row r="13" spans="1:4" x14ac:dyDescent="0.3">
      <c r="A13">
        <f t="shared" si="1"/>
        <v>0.90000000000000024</v>
      </c>
      <c r="B13">
        <f t="shared" si="0"/>
        <v>3134.800644895708</v>
      </c>
      <c r="D13">
        <f>cp_data_NASA_5H10CO2!V15</f>
        <v>3.1348006448957082</v>
      </c>
    </row>
    <row r="14" spans="1:4" x14ac:dyDescent="0.3">
      <c r="A14">
        <f t="shared" si="1"/>
        <v>0.95000000000000029</v>
      </c>
      <c r="B14">
        <f t="shared" si="0"/>
        <v>3229.0355764984834</v>
      </c>
      <c r="D14">
        <f>cp_data_NASA_5H10CO2!V16</f>
        <v>3.2290355764984833</v>
      </c>
    </row>
    <row r="15" spans="1:4" x14ac:dyDescent="0.3">
      <c r="A15">
        <f t="shared" si="1"/>
        <v>1.0000000000000002</v>
      </c>
      <c r="B15">
        <f t="shared" si="0"/>
        <v>3324.788886077175</v>
      </c>
      <c r="D15">
        <f>cp_data_NASA_5H10CO2!V17</f>
        <v>3.324788886077175</v>
      </c>
    </row>
    <row r="16" spans="1:4" x14ac:dyDescent="0.3">
      <c r="A16">
        <f t="shared" si="1"/>
        <v>1.0500000000000003</v>
      </c>
      <c r="B16">
        <f t="shared" si="0"/>
        <v>3402.9265551479866</v>
      </c>
      <c r="D16">
        <f>cp_data_NASA_5H10CO2!V18</f>
        <v>3.4029265551479866</v>
      </c>
    </row>
    <row r="17" spans="1:4" x14ac:dyDescent="0.3">
      <c r="A17">
        <f t="shared" si="1"/>
        <v>1.1000000000000003</v>
      </c>
      <c r="B17">
        <f t="shared" si="0"/>
        <v>3477.8986327341067</v>
      </c>
      <c r="D17">
        <f>cp_data_NASA_5H10CO2!V19</f>
        <v>3.4778986327341066</v>
      </c>
    </row>
    <row r="18" spans="1:4" x14ac:dyDescent="0.3">
      <c r="A18">
        <f t="shared" si="1"/>
        <v>1.1500000000000004</v>
      </c>
      <c r="B18">
        <f t="shared" si="0"/>
        <v>3549.8053913000067</v>
      </c>
      <c r="D18">
        <f>cp_data_NASA_5H10CO2!V20</f>
        <v>3.5498053913000067</v>
      </c>
    </row>
    <row r="19" spans="1:4" x14ac:dyDescent="0.3">
      <c r="A19">
        <f t="shared" si="1"/>
        <v>1.2000000000000004</v>
      </c>
      <c r="B19">
        <f t="shared" si="0"/>
        <v>3618.745536619319</v>
      </c>
      <c r="D19">
        <f>cp_data_NASA_5H10CO2!V21</f>
        <v>3.6187455366193189</v>
      </c>
    </row>
    <row r="20" spans="1:4" x14ac:dyDescent="0.3">
      <c r="A20">
        <f t="shared" si="1"/>
        <v>1.2500000000000004</v>
      </c>
      <c r="B20">
        <f t="shared" si="0"/>
        <v>3684.8161916889094</v>
      </c>
      <c r="D20">
        <f>cp_data_NASA_5H10CO2!V22</f>
        <v>3.6848161916889093</v>
      </c>
    </row>
    <row r="21" spans="1:4" x14ac:dyDescent="0.3">
      <c r="A21">
        <f t="shared" si="1"/>
        <v>1.3000000000000005</v>
      </c>
      <c r="B21">
        <f t="shared" si="0"/>
        <v>3748.112896728876</v>
      </c>
      <c r="D21">
        <f>cp_data_NASA_5H10CO2!V23</f>
        <v>3.7481128967288759</v>
      </c>
    </row>
    <row r="22" spans="1:4" x14ac:dyDescent="0.3">
      <c r="A22">
        <f t="shared" si="1"/>
        <v>1.3500000000000005</v>
      </c>
      <c r="B22">
        <f t="shared" si="0"/>
        <v>3808.7296091825469</v>
      </c>
      <c r="D22">
        <f>cp_data_NASA_5H10CO2!V24</f>
        <v>3.8087296091825471</v>
      </c>
    </row>
    <row r="23" spans="1:4" x14ac:dyDescent="0.3">
      <c r="A23">
        <f t="shared" si="1"/>
        <v>1.4000000000000006</v>
      </c>
      <c r="B23">
        <f t="shared" si="0"/>
        <v>3866.7587037164817</v>
      </c>
      <c r="D23">
        <f>cp_data_NASA_5H10CO2!V25</f>
        <v>3.8667587037164819</v>
      </c>
    </row>
    <row r="24" spans="1:4" x14ac:dyDescent="0.3">
      <c r="A24">
        <f t="shared" si="1"/>
        <v>1.4500000000000006</v>
      </c>
      <c r="B24">
        <f t="shared" si="0"/>
        <v>3922.2909722204708</v>
      </c>
      <c r="D24">
        <f>cp_data_NASA_5H10CO2!V26</f>
        <v>3.9222909722204706</v>
      </c>
    </row>
    <row r="25" spans="1:4" x14ac:dyDescent="0.3">
      <c r="A25">
        <f t="shared" si="1"/>
        <v>1.5000000000000007</v>
      </c>
      <c r="B25">
        <f t="shared" si="0"/>
        <v>3975.4156238075361</v>
      </c>
      <c r="D25">
        <f>cp_data_NASA_5H10CO2!V27</f>
        <v>3.9754156238075362</v>
      </c>
    </row>
    <row r="26" spans="1:4" x14ac:dyDescent="0.3">
      <c r="A26">
        <f t="shared" si="1"/>
        <v>1.5500000000000007</v>
      </c>
      <c r="B26">
        <f t="shared" si="0"/>
        <v>4026.2202848139318</v>
      </c>
      <c r="D26">
        <f>cp_data_NASA_5H10CO2!V28</f>
        <v>4.0262202848139319</v>
      </c>
    </row>
    <row r="27" spans="1:4" x14ac:dyDescent="0.3">
      <c r="A27">
        <f t="shared" si="1"/>
        <v>1.6000000000000008</v>
      </c>
      <c r="B27">
        <f t="shared" si="0"/>
        <v>4074.7909987991447</v>
      </c>
      <c r="D27">
        <f>cp_data_NASA_5H10CO2!V29</f>
        <v>4.0747909987991449</v>
      </c>
    </row>
    <row r="28" spans="1:4" x14ac:dyDescent="0.3">
      <c r="A28">
        <f t="shared" si="1"/>
        <v>1.6500000000000008</v>
      </c>
      <c r="B28">
        <f t="shared" si="0"/>
        <v>4121.2122265458866</v>
      </c>
      <c r="D28">
        <f>cp_data_NASA_5H10CO2!V30</f>
        <v>4.1212122265458868</v>
      </c>
    </row>
    <row r="29" spans="1:4" x14ac:dyDescent="0.3">
      <c r="A29">
        <f t="shared" si="1"/>
        <v>1.7000000000000008</v>
      </c>
      <c r="B29">
        <f t="shared" si="0"/>
        <v>4165.5668460601091</v>
      </c>
      <c r="D29">
        <f>cp_data_NASA_5H10CO2!V31</f>
        <v>4.1655668460601092</v>
      </c>
    </row>
    <row r="30" spans="1:4" x14ac:dyDescent="0.3">
      <c r="A30">
        <f t="shared" si="1"/>
        <v>1.7500000000000009</v>
      </c>
      <c r="B30">
        <f t="shared" si="0"/>
        <v>4207.9361525709892</v>
      </c>
      <c r="D30">
        <f>cp_data_NASA_5H10CO2!V32</f>
        <v>4.2079361525709889</v>
      </c>
    </row>
    <row r="31" spans="1:4" x14ac:dyDescent="0.3">
      <c r="A31">
        <f t="shared" si="1"/>
        <v>1.8000000000000009</v>
      </c>
      <c r="B31">
        <f t="shared" si="0"/>
        <v>4248.3998585309355</v>
      </c>
      <c r="D31">
        <f>cp_data_NASA_5H10CO2!V33</f>
        <v>4.2483998585309353</v>
      </c>
    </row>
    <row r="32" spans="1:4" x14ac:dyDescent="0.3">
      <c r="A32">
        <f t="shared" si="1"/>
        <v>1.850000000000001</v>
      </c>
      <c r="B32">
        <f t="shared" si="0"/>
        <v>4287.0360936155912</v>
      </c>
      <c r="D32">
        <f>cp_data_NASA_5H10CO2!V34</f>
        <v>4.2870360936155913</v>
      </c>
    </row>
    <row r="33" spans="1:4" x14ac:dyDescent="0.3">
      <c r="A33">
        <f t="shared" si="1"/>
        <v>1.900000000000001</v>
      </c>
      <c r="B33">
        <f t="shared" si="0"/>
        <v>4323.9214047238302</v>
      </c>
      <c r="D33">
        <f>cp_data_NASA_5H10CO2!V35</f>
        <v>4.3239214047238299</v>
      </c>
    </row>
    <row r="34" spans="1:4" x14ac:dyDescent="0.3">
      <c r="A34">
        <f t="shared" si="1"/>
        <v>1.9500000000000011</v>
      </c>
      <c r="B34">
        <f t="shared" si="0"/>
        <v>4359.1307559777542</v>
      </c>
      <c r="D34">
        <f>cp_data_NASA_5H10CO2!V36</f>
        <v>4.3591307559777546</v>
      </c>
    </row>
    <row r="35" spans="1:4" x14ac:dyDescent="0.3">
      <c r="A35">
        <f t="shared" si="1"/>
        <v>2.0000000000000009</v>
      </c>
      <c r="B35">
        <f t="shared" si="0"/>
        <v>4392.7375287226987</v>
      </c>
      <c r="D35">
        <f>cp_data_NASA_5H10CO2!V37</f>
        <v>4.3927375287226988</v>
      </c>
    </row>
    <row r="36" spans="1:4" x14ac:dyDescent="0.3">
      <c r="A36">
        <f t="shared" si="1"/>
        <v>2.0500000000000007</v>
      </c>
      <c r="B36">
        <f t="shared" si="0"/>
        <v>4424.8135215272314</v>
      </c>
      <c r="D36">
        <f>cp_data_NASA_5H10CO2!V38</f>
        <v>4.4248135215272315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topLeftCell="D1" workbookViewId="0">
      <selection activeCell="J11" sqref="J11"/>
    </sheetView>
  </sheetViews>
  <sheetFormatPr defaultRowHeight="14.4" x14ac:dyDescent="0.3"/>
  <cols>
    <col min="2" max="2" width="19.44140625" customWidth="1"/>
  </cols>
  <sheetData>
    <row r="1" spans="1:22" x14ac:dyDescent="0.3">
      <c r="A1" s="21" t="s">
        <v>105</v>
      </c>
      <c r="B1" s="17"/>
      <c r="C1" s="17" t="s">
        <v>118</v>
      </c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</row>
    <row r="2" spans="1:22" x14ac:dyDescent="0.3">
      <c r="A2" s="42" t="s">
        <v>111</v>
      </c>
      <c r="B2" s="42" t="s">
        <v>1</v>
      </c>
      <c r="C2" s="42" t="s">
        <v>5</v>
      </c>
      <c r="D2" s="42" t="s">
        <v>2</v>
      </c>
      <c r="E2" s="42" t="s">
        <v>3</v>
      </c>
      <c r="F2" s="42" t="s">
        <v>4</v>
      </c>
      <c r="G2" s="17" t="s">
        <v>6</v>
      </c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</row>
    <row r="3" spans="1:22" ht="25.8" x14ac:dyDescent="0.5">
      <c r="A3" s="17">
        <f>'weight etc'!A3*(100-B$3)/100</f>
        <v>3.52</v>
      </c>
      <c r="B3" s="17">
        <f>20</f>
        <v>20</v>
      </c>
      <c r="C3" s="17">
        <f>'weight etc'!C3*((100-B$3)/100)</f>
        <v>64.8</v>
      </c>
      <c r="D3" s="17">
        <f>'weight etc'!D3*((100-B$3)/100)</f>
        <v>1.1679999999999999</v>
      </c>
      <c r="E3" s="17">
        <f>'weight etc'!E3*((100-B$3)/100)</f>
        <v>10.504000000000001</v>
      </c>
      <c r="F3" s="17">
        <v>0</v>
      </c>
      <c r="G3" s="17">
        <f>SUM(A3:F3)</f>
        <v>99.992000000000004</v>
      </c>
      <c r="H3" s="17"/>
      <c r="I3" s="17"/>
      <c r="J3" s="17"/>
      <c r="K3" s="17"/>
      <c r="L3" s="43" t="s">
        <v>106</v>
      </c>
      <c r="M3" s="17"/>
      <c r="N3" s="17"/>
      <c r="O3" s="17"/>
      <c r="P3" s="17"/>
      <c r="Q3" s="17"/>
      <c r="R3" s="17"/>
      <c r="S3" s="17"/>
    </row>
    <row r="4" spans="1:22" x14ac:dyDescent="0.3">
      <c r="A4" s="17">
        <f>A3/100</f>
        <v>3.5200000000000002E-2</v>
      </c>
      <c r="B4" s="17">
        <f t="shared" ref="B4:G4" si="0">B3/100</f>
        <v>0.2</v>
      </c>
      <c r="C4" s="17">
        <f t="shared" si="0"/>
        <v>0.64800000000000002</v>
      </c>
      <c r="D4" s="17">
        <f t="shared" si="0"/>
        <v>1.1679999999999999E-2</v>
      </c>
      <c r="E4" s="17">
        <f t="shared" si="0"/>
        <v>0.10504000000000001</v>
      </c>
      <c r="F4" s="17">
        <f t="shared" si="0"/>
        <v>0</v>
      </c>
      <c r="G4" s="17">
        <f t="shared" si="0"/>
        <v>0.99992000000000003</v>
      </c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</row>
    <row r="5" spans="1:22" x14ac:dyDescent="0.3">
      <c r="A5" s="21" t="s">
        <v>107</v>
      </c>
      <c r="B5" s="17"/>
      <c r="C5" s="17"/>
      <c r="D5" s="17"/>
      <c r="E5" s="17"/>
      <c r="F5" s="17"/>
      <c r="G5" s="21" t="s">
        <v>108</v>
      </c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 t="s">
        <v>26</v>
      </c>
      <c r="U5" s="17"/>
      <c r="V5" s="17"/>
    </row>
    <row r="6" spans="1:22" x14ac:dyDescent="0.3">
      <c r="A6" s="44">
        <f>A3/100*B11</f>
        <v>1.0584640000000001</v>
      </c>
      <c r="B6" s="44">
        <f>B3/100*B12</f>
        <v>0.40317600000000003</v>
      </c>
      <c r="C6" s="44">
        <f>C3/100*B13</f>
        <v>10.39392</v>
      </c>
      <c r="D6" s="44">
        <f>D3/100*B14</f>
        <v>0.51403679999999996</v>
      </c>
      <c r="E6" s="44">
        <f>E3/100*B15</f>
        <v>2.9425275360000005</v>
      </c>
      <c r="F6" s="44">
        <f>F3/100*B16</f>
        <v>0</v>
      </c>
      <c r="G6" s="23">
        <f t="shared" ref="G6:G8" si="1">SUM(A6:F6)</f>
        <v>15.312124336</v>
      </c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>
        <f>Q11*G6/B17</f>
        <v>0.68320000000000003</v>
      </c>
      <c r="U6" s="17"/>
      <c r="V6" s="17"/>
    </row>
    <row r="7" spans="1:22" x14ac:dyDescent="0.3">
      <c r="A7" s="21" t="s">
        <v>8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 t="s">
        <v>27</v>
      </c>
      <c r="U7" s="17"/>
      <c r="V7" s="17"/>
    </row>
    <row r="8" spans="1:22" x14ac:dyDescent="0.3">
      <c r="A8" s="44">
        <f>A6/$G6</f>
        <v>6.9125875467943299E-2</v>
      </c>
      <c r="B8" s="44">
        <f t="shared" ref="B8:E8" si="2">B6/$G6</f>
        <v>2.6330507195014199E-2</v>
      </c>
      <c r="C8" s="44">
        <f t="shared" si="2"/>
        <v>0.67880326543346325</v>
      </c>
      <c r="D8" s="44">
        <f t="shared" si="2"/>
        <v>3.357057379631246E-2</v>
      </c>
      <c r="E8" s="44">
        <f t="shared" si="2"/>
        <v>0.19216977810726682</v>
      </c>
      <c r="F8" s="44">
        <f>F6/$G6</f>
        <v>0</v>
      </c>
      <c r="G8" s="44">
        <f t="shared" si="1"/>
        <v>1</v>
      </c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>
        <f>Q12*G6/B19</f>
        <v>0.84799999999999998</v>
      </c>
      <c r="U8" s="17"/>
      <c r="V8" s="17"/>
    </row>
    <row r="9" spans="1:22" x14ac:dyDescent="0.3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 t="s">
        <v>31</v>
      </c>
      <c r="U9" s="17"/>
      <c r="V9" s="17"/>
    </row>
    <row r="10" spans="1:22" x14ac:dyDescent="0.3">
      <c r="A10" s="17"/>
      <c r="B10" s="21" t="s">
        <v>7</v>
      </c>
      <c r="C10" s="21"/>
      <c r="D10" s="21" t="s">
        <v>20</v>
      </c>
      <c r="E10" s="21"/>
      <c r="F10" s="21"/>
      <c r="G10" s="21" t="s">
        <v>24</v>
      </c>
      <c r="H10" s="21"/>
      <c r="I10" s="17"/>
      <c r="J10" s="21" t="s">
        <v>14</v>
      </c>
      <c r="K10" s="17"/>
      <c r="L10" s="17"/>
      <c r="M10" s="17"/>
      <c r="N10" s="17" t="s">
        <v>109</v>
      </c>
      <c r="O10" s="17"/>
      <c r="P10" s="17"/>
      <c r="Q10" s="17" t="s">
        <v>110</v>
      </c>
      <c r="R10" s="17"/>
      <c r="S10" s="17"/>
      <c r="T10" s="17">
        <f>Q13*G6/B18</f>
        <v>5.8559999999999994E-2</v>
      </c>
      <c r="U10" s="17"/>
      <c r="V10" s="17"/>
    </row>
    <row r="11" spans="1:22" x14ac:dyDescent="0.3">
      <c r="A11" s="42" t="s">
        <v>111</v>
      </c>
      <c r="B11" s="45">
        <v>30.07</v>
      </c>
      <c r="C11" s="17"/>
      <c r="D11" s="17">
        <v>1.1399999999999999</v>
      </c>
      <c r="E11" s="17" t="s">
        <v>21</v>
      </c>
      <c r="F11" s="17"/>
      <c r="G11" s="17">
        <f>A3/100*D11</f>
        <v>4.0127999999999997E-2</v>
      </c>
      <c r="H11" s="17" t="s">
        <v>22</v>
      </c>
      <c r="I11" s="17"/>
      <c r="J11" s="46">
        <f>B11/G6*A4</f>
        <v>6.9125875467943312E-2</v>
      </c>
      <c r="K11" s="17" t="s">
        <v>25</v>
      </c>
      <c r="L11" s="17">
        <f>B11/G$6*A3</f>
        <v>6.9125875467943301</v>
      </c>
      <c r="M11" s="17"/>
      <c r="N11" s="17" t="s">
        <v>11</v>
      </c>
      <c r="O11" s="17">
        <f>A6/(B11)*B17+C6/B13*B17</f>
        <v>8.2057102400000002</v>
      </c>
      <c r="P11" s="17"/>
      <c r="Q11" s="17">
        <f>O11/G6</f>
        <v>0.53589626494265952</v>
      </c>
      <c r="R11" s="17"/>
      <c r="S11" s="17"/>
      <c r="T11" s="17" t="s">
        <v>32</v>
      </c>
      <c r="U11" s="17"/>
      <c r="V11" s="17"/>
    </row>
    <row r="12" spans="1:22" x14ac:dyDescent="0.3">
      <c r="A12" s="42" t="s">
        <v>1</v>
      </c>
      <c r="B12" s="45">
        <v>2.0158800000000001</v>
      </c>
      <c r="C12" s="17"/>
      <c r="D12" s="17">
        <v>8.2000000000000003E-2</v>
      </c>
      <c r="E12" s="17" t="s">
        <v>21</v>
      </c>
      <c r="F12" s="17"/>
      <c r="G12" s="17">
        <f>B3/100*D12</f>
        <v>1.6400000000000001E-2</v>
      </c>
      <c r="H12" s="17" t="s">
        <v>22</v>
      </c>
      <c r="I12" s="17"/>
      <c r="J12" s="46">
        <f>B12/G6*B4</f>
        <v>2.6330507195014199E-2</v>
      </c>
      <c r="K12" s="17" t="s">
        <v>25</v>
      </c>
      <c r="L12" s="17">
        <f>B12/G6*B3</f>
        <v>2.6330507195014197</v>
      </c>
      <c r="M12" s="17"/>
      <c r="N12" s="17" t="s">
        <v>13</v>
      </c>
      <c r="O12" s="17">
        <f>B6/B12*B19+C6/B13*B19</f>
        <v>0.85473312000000001</v>
      </c>
      <c r="P12" s="17"/>
      <c r="Q12" s="17">
        <f>O12/G$6</f>
        <v>5.5820675253430103E-2</v>
      </c>
      <c r="R12" s="17"/>
      <c r="S12" s="17"/>
      <c r="T12" s="17">
        <f>Q14*G6/B15*2</f>
        <v>0.21008000000000002</v>
      </c>
      <c r="U12" s="17"/>
      <c r="V12" s="17"/>
    </row>
    <row r="13" spans="1:22" x14ac:dyDescent="0.3">
      <c r="A13" s="42" t="s">
        <v>9</v>
      </c>
      <c r="B13" s="45">
        <v>16.04</v>
      </c>
      <c r="C13" s="17"/>
      <c r="D13" s="17">
        <v>0.65600000000000003</v>
      </c>
      <c r="E13" s="17" t="s">
        <v>21</v>
      </c>
      <c r="F13" s="17"/>
      <c r="G13" s="17">
        <f>C3/100*D13</f>
        <v>0.42508800000000002</v>
      </c>
      <c r="H13" s="17" t="s">
        <v>22</v>
      </c>
      <c r="I13" s="17"/>
      <c r="J13" s="46">
        <f>B13/G6*C4</f>
        <v>0.67880326543346325</v>
      </c>
      <c r="K13" s="17" t="s">
        <v>25</v>
      </c>
      <c r="L13" s="17">
        <f>B13/G6*C3</f>
        <v>67.880326543346314</v>
      </c>
      <c r="M13" s="17"/>
      <c r="N13" s="17" t="s">
        <v>12</v>
      </c>
      <c r="O13" s="17">
        <f>A6/B11*B18+D6/B14*B16</f>
        <v>0.93690143999999997</v>
      </c>
      <c r="P13" s="17"/>
      <c r="Q13" s="17">
        <f t="shared" ref="Q13:Q14" si="3">O13/G$6</f>
        <v>6.1186901271254146E-2</v>
      </c>
      <c r="R13" s="17"/>
      <c r="S13" s="17"/>
    </row>
    <row r="14" spans="1:22" x14ac:dyDescent="0.3">
      <c r="A14" s="42" t="s">
        <v>2</v>
      </c>
      <c r="B14" s="45">
        <v>44.01</v>
      </c>
      <c r="C14" s="17"/>
      <c r="D14" s="17">
        <v>1.98</v>
      </c>
      <c r="E14" s="17" t="s">
        <v>21</v>
      </c>
      <c r="F14" s="17"/>
      <c r="G14" s="17">
        <f>D3/100*D14</f>
        <v>2.3126399999999998E-2</v>
      </c>
      <c r="H14" s="17" t="s">
        <v>22</v>
      </c>
      <c r="I14" s="17"/>
      <c r="J14" s="46">
        <f>B14/G6*D4</f>
        <v>3.3570573796312467E-2</v>
      </c>
      <c r="K14" s="17" t="s">
        <v>25</v>
      </c>
      <c r="L14" s="17">
        <f>B14/G6*D3</f>
        <v>3.3570573796312462</v>
      </c>
      <c r="M14" s="17"/>
      <c r="N14" s="17" t="s">
        <v>3</v>
      </c>
      <c r="O14" s="44">
        <f>E6</f>
        <v>2.9425275360000005</v>
      </c>
      <c r="P14" s="17"/>
      <c r="Q14" s="17">
        <f t="shared" si="3"/>
        <v>0.19216977810726682</v>
      </c>
      <c r="R14" s="17"/>
      <c r="S14" s="17"/>
    </row>
    <row r="15" spans="1:22" x14ac:dyDescent="0.3">
      <c r="A15" s="42" t="s">
        <v>3</v>
      </c>
      <c r="B15" s="45">
        <v>28.013400000000001</v>
      </c>
      <c r="C15" s="17"/>
      <c r="D15" s="17">
        <v>1.165</v>
      </c>
      <c r="E15" s="17" t="s">
        <v>21</v>
      </c>
      <c r="F15" s="17"/>
      <c r="G15" s="17">
        <f>E3/100*D15</f>
        <v>0.12237160000000001</v>
      </c>
      <c r="H15" s="17" t="s">
        <v>22</v>
      </c>
      <c r="I15" s="17"/>
      <c r="J15" s="46">
        <f>B15/G6*E4</f>
        <v>0.19216977810726682</v>
      </c>
      <c r="K15" s="17" t="s">
        <v>25</v>
      </c>
      <c r="L15" s="17">
        <f>B15/G6*E3</f>
        <v>19.216977810726682</v>
      </c>
      <c r="M15" s="17"/>
      <c r="N15" s="17"/>
      <c r="O15" s="21">
        <f>SUM(O11:O14)</f>
        <v>12.939872336000001</v>
      </c>
      <c r="P15" s="17"/>
      <c r="Q15" s="21">
        <f>SUM(Q11:Q14)</f>
        <v>0.84507361957461069</v>
      </c>
      <c r="R15" s="17"/>
      <c r="S15" s="17"/>
    </row>
    <row r="16" spans="1:22" x14ac:dyDescent="0.3">
      <c r="A16" s="42" t="s">
        <v>4</v>
      </c>
      <c r="B16" s="45">
        <f>15.999*2</f>
        <v>31.998000000000001</v>
      </c>
      <c r="C16" s="17"/>
      <c r="D16" s="17">
        <v>1.331</v>
      </c>
      <c r="E16" s="17" t="s">
        <v>21</v>
      </c>
      <c r="F16" s="17"/>
      <c r="G16" s="17"/>
      <c r="H16" s="17"/>
      <c r="I16" s="17"/>
      <c r="J16" s="17">
        <f>B16/G6*F4</f>
        <v>0</v>
      </c>
      <c r="K16" s="17"/>
      <c r="L16" s="17"/>
      <c r="M16" s="17"/>
      <c r="N16" s="17"/>
      <c r="O16" s="17"/>
      <c r="P16" s="17"/>
      <c r="Q16" s="17"/>
      <c r="R16" s="17"/>
      <c r="S16" s="17"/>
    </row>
    <row r="17" spans="1:19" x14ac:dyDescent="0.3">
      <c r="A17" s="42" t="s">
        <v>11</v>
      </c>
      <c r="B17" s="45">
        <v>12.0107</v>
      </c>
      <c r="C17" s="17"/>
      <c r="D17" s="17"/>
      <c r="E17" s="17"/>
      <c r="F17" s="17" t="s">
        <v>23</v>
      </c>
      <c r="G17" s="47">
        <f>SUM(G11:G15)</f>
        <v>0.62711400000000006</v>
      </c>
      <c r="H17" s="17" t="s">
        <v>21</v>
      </c>
      <c r="I17" s="17"/>
      <c r="J17" s="23">
        <f>SUM(J11:J15)</f>
        <v>1</v>
      </c>
      <c r="K17" s="17"/>
      <c r="L17" s="21">
        <f>SUM(L11:L15)</f>
        <v>100</v>
      </c>
      <c r="M17" s="17"/>
      <c r="N17" s="17"/>
      <c r="O17" s="17"/>
      <c r="P17" s="17"/>
      <c r="Q17" s="17"/>
      <c r="R17" s="17"/>
      <c r="S17" s="17"/>
    </row>
    <row r="18" spans="1:19" x14ac:dyDescent="0.3">
      <c r="A18" s="42" t="s">
        <v>12</v>
      </c>
      <c r="B18" s="45">
        <v>15.999000000000001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</row>
    <row r="19" spans="1:19" x14ac:dyDescent="0.3">
      <c r="A19" s="42" t="s">
        <v>13</v>
      </c>
      <c r="B19" s="45">
        <v>1.0079400000000001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</row>
    <row r="20" spans="1:19" x14ac:dyDescent="0.3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</row>
    <row r="21" spans="1:19" x14ac:dyDescent="0.3">
      <c r="N21">
        <f>Q13*G6/B18</f>
        <v>5.8559999999999994E-2</v>
      </c>
    </row>
    <row r="22" spans="1:19" x14ac:dyDescent="0.3">
      <c r="N22" t="s">
        <v>32</v>
      </c>
    </row>
    <row r="23" spans="1:19" x14ac:dyDescent="0.3">
      <c r="N23">
        <f>Q14*G6/B15*2</f>
        <v>0.21008000000000002</v>
      </c>
    </row>
    <row r="24" spans="1:19" x14ac:dyDescent="0.3">
      <c r="A24" s="1" t="s">
        <v>10</v>
      </c>
    </row>
    <row r="25" spans="1:19" x14ac:dyDescent="0.3">
      <c r="B25">
        <f>A6*B11+B6*B12+C6*B13+D6*B14+E6*B15</f>
        <v>304.41220415986243</v>
      </c>
    </row>
    <row r="26" spans="1:19" x14ac:dyDescent="0.3">
      <c r="B26">
        <f>B25/G6</f>
        <v>19.88046841052391</v>
      </c>
    </row>
    <row r="28" spans="1:19" x14ac:dyDescent="0.3">
      <c r="A28" t="s">
        <v>15</v>
      </c>
      <c r="B28">
        <v>30.36</v>
      </c>
      <c r="C28" t="s">
        <v>19</v>
      </c>
    </row>
    <row r="29" spans="1:19" x14ac:dyDescent="0.3">
      <c r="A29" t="s">
        <v>16</v>
      </c>
      <c r="B29">
        <v>25.02</v>
      </c>
      <c r="C29" t="s">
        <v>17</v>
      </c>
    </row>
    <row r="30" spans="1:19" x14ac:dyDescent="0.3">
      <c r="A30" t="s">
        <v>15</v>
      </c>
      <c r="B30" s="3">
        <f>B28/B29</f>
        <v>1.2134292565947242</v>
      </c>
      <c r="C30" t="s">
        <v>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2"/>
  <sheetViews>
    <sheetView topLeftCell="B13" zoomScale="75" zoomScaleNormal="75" workbookViewId="0">
      <selection activeCell="H2" sqref="H2"/>
    </sheetView>
  </sheetViews>
  <sheetFormatPr defaultRowHeight="14.4" x14ac:dyDescent="0.3"/>
  <cols>
    <col min="1" max="1" width="22.5546875" customWidth="1"/>
    <col min="2" max="2" width="14.33203125" customWidth="1"/>
    <col min="3" max="3" width="10.5546875" customWidth="1"/>
    <col min="4" max="4" width="12.77734375" customWidth="1"/>
    <col min="6" max="6" width="15.77734375" customWidth="1"/>
    <col min="8" max="8" width="12" customWidth="1"/>
    <col min="9" max="9" width="24.6640625" customWidth="1"/>
    <col min="10" max="10" width="6.6640625" customWidth="1"/>
    <col min="11" max="11" width="10.6640625" customWidth="1"/>
    <col min="12" max="12" width="16.44140625" customWidth="1"/>
    <col min="13" max="13" width="9.33203125" customWidth="1"/>
    <col min="14" max="14" width="11.21875" customWidth="1"/>
    <col min="15" max="15" width="17.6640625" customWidth="1"/>
    <col min="16" max="16" width="6.33203125" customWidth="1"/>
    <col min="17" max="17" width="11.5546875" customWidth="1"/>
    <col min="18" max="18" width="17.6640625" customWidth="1"/>
    <col min="19" max="19" width="6.5546875" customWidth="1"/>
    <col min="20" max="20" width="11.88671875" customWidth="1"/>
    <col min="21" max="21" width="16.5546875" customWidth="1"/>
    <col min="22" max="22" width="6.33203125" customWidth="1"/>
    <col min="23" max="23" width="11.88671875" customWidth="1"/>
  </cols>
  <sheetData>
    <row r="1" spans="1:23" x14ac:dyDescent="0.3">
      <c r="A1" s="4" t="s">
        <v>28</v>
      </c>
      <c r="B1" s="4" t="s">
        <v>29</v>
      </c>
      <c r="C1" s="1" t="s">
        <v>16</v>
      </c>
      <c r="D1" s="1" t="s">
        <v>30</v>
      </c>
      <c r="F1" s="1" t="s">
        <v>39</v>
      </c>
      <c r="G1" s="1" t="s">
        <v>16</v>
      </c>
      <c r="H1" s="1" t="s">
        <v>40</v>
      </c>
      <c r="I1" s="1" t="s">
        <v>41</v>
      </c>
      <c r="J1" s="1" t="s">
        <v>16</v>
      </c>
      <c r="K1" s="1" t="s">
        <v>40</v>
      </c>
      <c r="L1" s="1" t="s">
        <v>42</v>
      </c>
      <c r="M1" s="1" t="s">
        <v>16</v>
      </c>
      <c r="N1" s="1" t="s">
        <v>40</v>
      </c>
      <c r="O1" s="1" t="s">
        <v>43</v>
      </c>
      <c r="P1" s="1" t="s">
        <v>16</v>
      </c>
      <c r="Q1" s="1" t="s">
        <v>40</v>
      </c>
      <c r="R1" s="1" t="s">
        <v>44</v>
      </c>
      <c r="S1" s="1" t="s">
        <v>16</v>
      </c>
      <c r="T1" s="1" t="s">
        <v>40</v>
      </c>
      <c r="U1" s="1" t="s">
        <v>45</v>
      </c>
      <c r="V1" s="1" t="s">
        <v>16</v>
      </c>
      <c r="W1" s="1" t="s">
        <v>40</v>
      </c>
    </row>
    <row r="2" spans="1:23" x14ac:dyDescent="0.3">
      <c r="A2" s="2">
        <v>264.57012969648298</v>
      </c>
      <c r="B2" s="2">
        <v>30.074074074074002</v>
      </c>
      <c r="C2" s="2">
        <f>'weight etc'!G$6</f>
        <v>18.636387008</v>
      </c>
      <c r="D2" s="3">
        <f>B2/C2*1000</f>
        <v>1613.728780217119</v>
      </c>
      <c r="F2" s="2">
        <f t="shared" ref="F2:F18" si="0">J$23+K$23*A2+L$23*A2^2+M$23*A2^3</f>
        <v>28.938031068213458</v>
      </c>
      <c r="G2">
        <f>'weight etc'!B$11</f>
        <v>30.07</v>
      </c>
      <c r="H2">
        <f>F2/G2</f>
        <v>0.96235553934863516</v>
      </c>
      <c r="I2" s="2">
        <f>J$24+K$24*A2+L$24*A2^2+M$24*$A2^3</f>
        <v>28.867163918244962</v>
      </c>
      <c r="J2">
        <f>'weight etc'!B$12</f>
        <v>2.0158800000000001</v>
      </c>
      <c r="K2" s="2">
        <f>I2/J2</f>
        <v>14.31988209528591</v>
      </c>
      <c r="L2" s="2">
        <f>J$25+K$25*A2+L$25*A2^2+M$25*$A2^3</f>
        <v>33.866373242214387</v>
      </c>
      <c r="M2">
        <f>'weight etc'!B$13</f>
        <v>16.04</v>
      </c>
      <c r="N2" s="2">
        <f>L2/M2</f>
        <v>2.1113699028811963</v>
      </c>
      <c r="O2" s="2">
        <f>J$26+K$26*A2+L$26*A2^2+M$26*$A2^3</f>
        <v>35.771652081428037</v>
      </c>
      <c r="P2">
        <f>'weight etc'!B$14</f>
        <v>44.01</v>
      </c>
      <c r="Q2" s="2">
        <f>O2/P2</f>
        <v>0.8128073638134069</v>
      </c>
      <c r="R2" s="2">
        <f>J$27+K$27*A2+L$27*A2^2+M$27*$A2^3</f>
        <v>28.996803252930292</v>
      </c>
      <c r="S2">
        <f>'weight etc'!B$15</f>
        <v>28.013400000000001</v>
      </c>
      <c r="T2" s="2">
        <f>R2/S2</f>
        <v>1.0351047446197281</v>
      </c>
      <c r="U2" s="2">
        <f>J$28+K$28*A2+L$28*A2^2+M$28*$A2^3</f>
        <v>33.420663883122813</v>
      </c>
      <c r="V2">
        <v>18.0153</v>
      </c>
      <c r="W2" s="2">
        <f>U2/V2</f>
        <v>1.85512669137471</v>
      </c>
    </row>
    <row r="3" spans="1:23" x14ac:dyDescent="0.3">
      <c r="A3" s="2">
        <v>298.85813611445298</v>
      </c>
      <c r="B3" s="2">
        <v>30.385185185185101</v>
      </c>
      <c r="C3" s="2">
        <f>'weight etc'!G$6</f>
        <v>18.636387008</v>
      </c>
      <c r="D3" s="3">
        <f t="shared" ref="D3:D18" si="1">B3/C3*1000</f>
        <v>1630.4225262193643</v>
      </c>
      <c r="F3" s="2">
        <f t="shared" si="0"/>
        <v>29.081082372297008</v>
      </c>
      <c r="G3">
        <f>'weight etc'!B$11</f>
        <v>30.07</v>
      </c>
      <c r="H3">
        <f t="shared" ref="H3:H18" si="2">F3/G3</f>
        <v>0.96711281583960784</v>
      </c>
      <c r="I3" s="2">
        <f t="shared" ref="I3:I18" si="3">J$24+K$24*A3+L$24*A3^2+M$24*$A3^3</f>
        <v>28.871687028905988</v>
      </c>
      <c r="J3">
        <f>'weight etc'!B$12</f>
        <v>2.0158800000000001</v>
      </c>
      <c r="K3" s="2">
        <f t="shared" ref="K3:K18" si="4">I3/J3</f>
        <v>14.322125835320549</v>
      </c>
      <c r="L3" s="2">
        <f t="shared" ref="L3:L18" si="5">J$25+K$25*A3+L$25*A3^2+M$25*$A3^3</f>
        <v>35.744166667945635</v>
      </c>
      <c r="M3">
        <f>'weight etc'!B$13</f>
        <v>16.04</v>
      </c>
      <c r="N3" s="2">
        <f t="shared" ref="N3:N18" si="6">L3/M3</f>
        <v>2.228439318450476</v>
      </c>
      <c r="O3" s="2">
        <f t="shared" ref="O3:O18" si="7">J$26+K$26*A3+L$26*A3^2+M$26*$A3^3</f>
        <v>37.207114502430663</v>
      </c>
      <c r="P3">
        <f>'weight etc'!B$14</f>
        <v>44.01</v>
      </c>
      <c r="Q3" s="2">
        <f t="shared" ref="Q3:Q18" si="8">O3/P3</f>
        <v>0.84542409685141251</v>
      </c>
      <c r="R3" s="2">
        <f t="shared" ref="R3:R18" si="9">J$27+K$27*A3+L$27*A3^2+M$27*$A3^3</f>
        <v>29.075569351504896</v>
      </c>
      <c r="S3">
        <f>'weight etc'!B$15</f>
        <v>28.013400000000001</v>
      </c>
      <c r="T3" s="2">
        <f t="shared" ref="T3:T18" si="10">R3/S3</f>
        <v>1.037916473955496</v>
      </c>
      <c r="U3" s="2">
        <f t="shared" ref="U3:U18" si="11">J$28+K$28*A3+L$28*A3^2+M$28*$A3^3</f>
        <v>33.661029089919147</v>
      </c>
      <c r="V3">
        <v>18.0153</v>
      </c>
      <c r="W3" s="2">
        <f t="shared" ref="W3:W18" si="12">U3/V3</f>
        <v>1.868468973035095</v>
      </c>
    </row>
    <row r="4" spans="1:23" x14ac:dyDescent="0.3">
      <c r="A4" s="2">
        <v>394.50193876186597</v>
      </c>
      <c r="B4" s="2">
        <v>31.318518518518498</v>
      </c>
      <c r="C4" s="2">
        <f>'weight etc'!G$6</f>
        <v>18.636387008</v>
      </c>
      <c r="D4" s="3">
        <f t="shared" si="1"/>
        <v>1680.5037642261061</v>
      </c>
      <c r="F4" s="2">
        <f t="shared" si="0"/>
        <v>29.520420447647222</v>
      </c>
      <c r="G4">
        <f>'weight etc'!B$11</f>
        <v>30.07</v>
      </c>
      <c r="H4">
        <f t="shared" si="2"/>
        <v>0.98172332715820487</v>
      </c>
      <c r="I4" s="2">
        <f t="shared" si="3"/>
        <v>28.923688316830376</v>
      </c>
      <c r="J4">
        <f>'weight etc'!B$12</f>
        <v>2.0158800000000001</v>
      </c>
      <c r="K4" s="2">
        <f t="shared" si="4"/>
        <v>14.347921660431362</v>
      </c>
      <c r="L4" s="2">
        <f t="shared" si="5"/>
        <v>41.008763290220614</v>
      </c>
      <c r="M4">
        <f>'weight etc'!B$13</f>
        <v>16.04</v>
      </c>
      <c r="N4" s="2">
        <f t="shared" si="6"/>
        <v>2.5566560654751007</v>
      </c>
      <c r="O4" s="2">
        <f t="shared" si="7"/>
        <v>40.865066833452175</v>
      </c>
      <c r="P4">
        <f>'weight etc'!B$14</f>
        <v>44.01</v>
      </c>
      <c r="Q4" s="2">
        <f t="shared" si="8"/>
        <v>0.92854048701322833</v>
      </c>
      <c r="R4" s="2">
        <f t="shared" si="9"/>
        <v>29.361504173326491</v>
      </c>
      <c r="S4">
        <f>'weight etc'!B$15</f>
        <v>28.013400000000001</v>
      </c>
      <c r="T4" s="2">
        <f t="shared" si="10"/>
        <v>1.0481235470641368</v>
      </c>
      <c r="U4" s="2">
        <f t="shared" si="11"/>
        <v>34.41982014937971</v>
      </c>
      <c r="V4">
        <v>18.0153</v>
      </c>
      <c r="W4" s="2">
        <f t="shared" si="12"/>
        <v>1.9105882305251487</v>
      </c>
    </row>
    <row r="5" spans="1:23" x14ac:dyDescent="0.3">
      <c r="A5" s="2">
        <v>499.17636047599899</v>
      </c>
      <c r="B5" s="2">
        <v>32.044444444444402</v>
      </c>
      <c r="C5" s="2">
        <f>'weight etc'!G$6</f>
        <v>18.636387008</v>
      </c>
      <c r="D5" s="3">
        <f t="shared" si="1"/>
        <v>1719.4558382313458</v>
      </c>
      <c r="F5" s="2">
        <f t="shared" si="0"/>
        <v>30.058319792003669</v>
      </c>
      <c r="G5">
        <f>'weight etc'!B$11</f>
        <v>30.07</v>
      </c>
      <c r="H5">
        <f t="shared" si="2"/>
        <v>0.99961156607927071</v>
      </c>
      <c r="I5" s="2">
        <f t="shared" si="3"/>
        <v>29.042770566548793</v>
      </c>
      <c r="J5">
        <f>'weight etc'!B$12</f>
        <v>2.0158800000000001</v>
      </c>
      <c r="K5" s="2">
        <f t="shared" si="4"/>
        <v>14.406993752876556</v>
      </c>
      <c r="L5" s="2">
        <f t="shared" si="5"/>
        <v>46.761216979464407</v>
      </c>
      <c r="M5">
        <f>'weight etc'!B$13</f>
        <v>16.04</v>
      </c>
      <c r="N5" s="2">
        <f t="shared" si="6"/>
        <v>2.9152878416124945</v>
      </c>
      <c r="O5" s="2">
        <f t="shared" si="7"/>
        <v>44.321068763025316</v>
      </c>
      <c r="P5">
        <f>'weight etc'!B$14</f>
        <v>44.01</v>
      </c>
      <c r="Q5" s="2">
        <f t="shared" si="8"/>
        <v>1.007068138219162</v>
      </c>
      <c r="R5" s="2">
        <f t="shared" si="9"/>
        <v>29.772040404086319</v>
      </c>
      <c r="S5">
        <f>'weight etc'!B$15</f>
        <v>28.013400000000001</v>
      </c>
      <c r="T5" s="2">
        <f t="shared" si="10"/>
        <v>1.0627785418437719</v>
      </c>
      <c r="U5" s="2">
        <f t="shared" si="11"/>
        <v>35.381575983047902</v>
      </c>
      <c r="V5">
        <v>18.0153</v>
      </c>
      <c r="W5" s="2">
        <f t="shared" si="12"/>
        <v>1.9639737324967057</v>
      </c>
    </row>
    <row r="6" spans="1:23" x14ac:dyDescent="0.3">
      <c r="A6" s="2">
        <v>596.62254312073799</v>
      </c>
      <c r="B6" s="2">
        <v>33.081481481481397</v>
      </c>
      <c r="C6" s="2">
        <f>'weight etc'!G$6</f>
        <v>18.636387008</v>
      </c>
      <c r="D6" s="3">
        <f t="shared" si="1"/>
        <v>1775.1016582388306</v>
      </c>
      <c r="F6" s="2">
        <f t="shared" si="0"/>
        <v>30.599659148491</v>
      </c>
      <c r="G6">
        <f>'weight etc'!B$11</f>
        <v>30.07</v>
      </c>
      <c r="H6">
        <f t="shared" si="2"/>
        <v>1.0176142051377119</v>
      </c>
      <c r="I6" s="2">
        <f t="shared" si="3"/>
        <v>29.20692359776449</v>
      </c>
      <c r="J6">
        <f>'weight etc'!B$12</f>
        <v>2.0158800000000001</v>
      </c>
      <c r="K6" s="2">
        <f t="shared" si="4"/>
        <v>14.488423714588412</v>
      </c>
      <c r="L6" s="2">
        <f t="shared" si="5"/>
        <v>52.043204430846508</v>
      </c>
      <c r="M6">
        <f>'weight etc'!B$13</f>
        <v>16.04</v>
      </c>
      <c r="N6" s="2">
        <f t="shared" si="6"/>
        <v>3.244588804915618</v>
      </c>
      <c r="O6" s="2">
        <f t="shared" si="7"/>
        <v>47.068101405519592</v>
      </c>
      <c r="P6">
        <f>'weight etc'!B$14</f>
        <v>44.01</v>
      </c>
      <c r="Q6" s="2">
        <f t="shared" si="8"/>
        <v>1.069486512281745</v>
      </c>
      <c r="R6" s="2">
        <f t="shared" si="9"/>
        <v>30.229059119332824</v>
      </c>
      <c r="S6">
        <f>'weight etc'!B$15</f>
        <v>28.013400000000001</v>
      </c>
      <c r="T6" s="2">
        <f t="shared" si="10"/>
        <v>1.0790928312640673</v>
      </c>
      <c r="U6" s="2">
        <f t="shared" si="11"/>
        <v>36.379186528944935</v>
      </c>
      <c r="V6">
        <v>18.0153</v>
      </c>
      <c r="W6" s="2">
        <f t="shared" si="12"/>
        <v>2.019349471224178</v>
      </c>
    </row>
    <row r="7" spans="1:23" x14ac:dyDescent="0.3">
      <c r="A7" s="2">
        <v>699.49725899184295</v>
      </c>
      <c r="B7" s="2">
        <v>33.6</v>
      </c>
      <c r="C7" s="2">
        <f>'weight etc'!G$6</f>
        <v>18.636387008</v>
      </c>
      <c r="D7" s="3">
        <f t="shared" si="1"/>
        <v>1802.9245682425787</v>
      </c>
      <c r="F7" s="2">
        <f t="shared" si="0"/>
        <v>31.199653195974022</v>
      </c>
      <c r="G7">
        <f>'weight etc'!B$11</f>
        <v>30.07</v>
      </c>
      <c r="H7">
        <f t="shared" si="2"/>
        <v>1.0375674491511149</v>
      </c>
      <c r="I7" s="2">
        <f t="shared" si="3"/>
        <v>29.430512391579832</v>
      </c>
      <c r="J7">
        <f>'weight etc'!B$12</f>
        <v>2.0158800000000001</v>
      </c>
      <c r="K7" s="2">
        <f t="shared" si="4"/>
        <v>14.599337456386209</v>
      </c>
      <c r="L7" s="2">
        <f t="shared" si="5"/>
        <v>57.473614672373174</v>
      </c>
      <c r="M7">
        <f>'weight etc'!B$13</f>
        <v>16.04</v>
      </c>
      <c r="N7" s="2">
        <f t="shared" si="6"/>
        <v>3.5831430593748865</v>
      </c>
      <c r="O7" s="2">
        <f t="shared" si="7"/>
        <v>49.523014713029241</v>
      </c>
      <c r="P7">
        <f>'weight etc'!B$14</f>
        <v>44.01</v>
      </c>
      <c r="Q7" s="2">
        <f t="shared" si="8"/>
        <v>1.1252673190872358</v>
      </c>
      <c r="R7" s="2">
        <f t="shared" si="9"/>
        <v>30.771776845047501</v>
      </c>
      <c r="S7">
        <f>'weight etc'!B$15</f>
        <v>28.013400000000001</v>
      </c>
      <c r="T7" s="2">
        <f t="shared" si="10"/>
        <v>1.0984663355768132</v>
      </c>
      <c r="U7" s="2">
        <f t="shared" si="11"/>
        <v>37.516780313448344</v>
      </c>
      <c r="V7">
        <v>18.0153</v>
      </c>
      <c r="W7" s="2">
        <f t="shared" si="12"/>
        <v>2.0824954518352925</v>
      </c>
    </row>
    <row r="8" spans="1:23" x14ac:dyDescent="0.3">
      <c r="A8" s="2">
        <v>795.14640994785395</v>
      </c>
      <c r="B8" s="2">
        <v>34.325925925925901</v>
      </c>
      <c r="C8" s="2">
        <f>'weight etc'!G$6</f>
        <v>18.636387008</v>
      </c>
      <c r="D8" s="3">
        <f t="shared" si="1"/>
        <v>1841.8766422478182</v>
      </c>
      <c r="F8" s="2">
        <f t="shared" si="0"/>
        <v>31.771276416976374</v>
      </c>
      <c r="G8">
        <f>'weight etc'!B$11</f>
        <v>30.07</v>
      </c>
      <c r="H8">
        <f t="shared" si="2"/>
        <v>1.0565772004315388</v>
      </c>
      <c r="I8" s="2">
        <f t="shared" si="3"/>
        <v>29.679844758557834</v>
      </c>
      <c r="J8">
        <f>'weight etc'!B$12</f>
        <v>2.0158800000000001</v>
      </c>
      <c r="K8" s="2">
        <f t="shared" si="4"/>
        <v>14.723021587871219</v>
      </c>
      <c r="L8" s="2">
        <f t="shared" si="5"/>
        <v>62.326367076591268</v>
      </c>
      <c r="M8">
        <f>'weight etc'!B$13</f>
        <v>16.04</v>
      </c>
      <c r="N8" s="2">
        <f t="shared" si="6"/>
        <v>3.8856837329545679</v>
      </c>
      <c r="O8" s="2">
        <f t="shared" si="7"/>
        <v>51.43730735132533</v>
      </c>
      <c r="P8">
        <f>'weight etc'!B$14</f>
        <v>44.01</v>
      </c>
      <c r="Q8" s="2">
        <f t="shared" si="8"/>
        <v>1.1687640843291374</v>
      </c>
      <c r="R8" s="2">
        <f t="shared" si="9"/>
        <v>31.315735454117316</v>
      </c>
      <c r="S8">
        <f>'weight etc'!B$15</f>
        <v>28.013400000000001</v>
      </c>
      <c r="T8" s="2">
        <f t="shared" si="10"/>
        <v>1.1178841359534122</v>
      </c>
      <c r="U8" s="2">
        <f t="shared" si="11"/>
        <v>38.632045054469842</v>
      </c>
      <c r="V8">
        <v>18.0153</v>
      </c>
      <c r="W8" s="2">
        <f t="shared" si="12"/>
        <v>2.1444019835622967</v>
      </c>
    </row>
    <row r="9" spans="1:23" x14ac:dyDescent="0.3">
      <c r="A9" s="2">
        <v>892.59259259259204</v>
      </c>
      <c r="B9" s="2">
        <v>35.362962962962897</v>
      </c>
      <c r="C9" s="2">
        <f>'weight etc'!G$6</f>
        <v>18.636387008</v>
      </c>
      <c r="D9" s="3">
        <f t="shared" si="1"/>
        <v>1897.5224622553028</v>
      </c>
      <c r="F9" s="2">
        <f t="shared" si="0"/>
        <v>32.354910403800233</v>
      </c>
      <c r="G9">
        <f>'weight etc'!B$11</f>
        <v>30.07</v>
      </c>
      <c r="H9">
        <f t="shared" si="2"/>
        <v>1.0759863785766621</v>
      </c>
      <c r="I9" s="2">
        <f t="shared" si="3"/>
        <v>29.970085908225371</v>
      </c>
      <c r="J9">
        <f>'weight etc'!B$12</f>
        <v>2.0158800000000001</v>
      </c>
      <c r="K9" s="2">
        <f t="shared" si="4"/>
        <v>14.866998982194064</v>
      </c>
      <c r="L9" s="2">
        <f t="shared" si="5"/>
        <v>67.014511511964614</v>
      </c>
      <c r="M9">
        <f>'weight etc'!B$13</f>
        <v>16.04</v>
      </c>
      <c r="N9" s="2">
        <f t="shared" si="6"/>
        <v>4.1779620643369464</v>
      </c>
      <c r="O9" s="2">
        <f t="shared" si="7"/>
        <v>53.06430445811106</v>
      </c>
      <c r="P9">
        <f>'weight etc'!B$14</f>
        <v>44.01</v>
      </c>
      <c r="Q9" s="2">
        <f t="shared" si="8"/>
        <v>1.2057328893004104</v>
      </c>
      <c r="R9" s="2">
        <f t="shared" si="9"/>
        <v>31.892916310369351</v>
      </c>
      <c r="S9">
        <f>'weight etc'!B$15</f>
        <v>28.013400000000001</v>
      </c>
      <c r="T9" s="2">
        <f t="shared" si="10"/>
        <v>1.1384878776003395</v>
      </c>
      <c r="U9" s="2">
        <f t="shared" si="11"/>
        <v>39.805291632627139</v>
      </c>
      <c r="V9">
        <v>18.0153</v>
      </c>
      <c r="W9" s="2">
        <f t="shared" si="12"/>
        <v>2.2095269927576635</v>
      </c>
    </row>
    <row r="10" spans="1:23" x14ac:dyDescent="0.3">
      <c r="A10" s="2">
        <v>997.26434015242603</v>
      </c>
      <c r="B10" s="2">
        <v>36.192592592592597</v>
      </c>
      <c r="C10" s="2">
        <f>'weight etc'!G$6</f>
        <v>18.636387008</v>
      </c>
      <c r="D10" s="3">
        <f t="shared" si="1"/>
        <v>1942.0391182612962</v>
      </c>
      <c r="F10" s="2">
        <f t="shared" si="0"/>
        <v>32.969252110306186</v>
      </c>
      <c r="G10">
        <f>'weight etc'!B$11</f>
        <v>30.07</v>
      </c>
      <c r="H10">
        <f t="shared" si="2"/>
        <v>1.0964167645595673</v>
      </c>
      <c r="I10" s="2">
        <f t="shared" si="3"/>
        <v>30.317093620343432</v>
      </c>
      <c r="J10">
        <f>'weight etc'!B$12</f>
        <v>2.0158800000000001</v>
      </c>
      <c r="K10" s="2">
        <f t="shared" si="4"/>
        <v>15.03913606977768</v>
      </c>
      <c r="L10" s="2">
        <f t="shared" si="5"/>
        <v>71.693336251302199</v>
      </c>
      <c r="M10">
        <f>'weight etc'!B$13</f>
        <v>16.04</v>
      </c>
      <c r="N10" s="2">
        <f t="shared" si="6"/>
        <v>4.469659367288167</v>
      </c>
      <c r="O10" s="2">
        <f t="shared" si="7"/>
        <v>54.495538685154621</v>
      </c>
      <c r="P10">
        <f>'weight etc'!B$14</f>
        <v>44.01</v>
      </c>
      <c r="Q10" s="2">
        <f t="shared" si="8"/>
        <v>1.2382535488560469</v>
      </c>
      <c r="R10" s="2">
        <f t="shared" si="9"/>
        <v>32.520658671906737</v>
      </c>
      <c r="S10">
        <f>'weight etc'!B$15</f>
        <v>28.013400000000001</v>
      </c>
      <c r="T10" s="2">
        <f t="shared" si="10"/>
        <v>1.1608965235175572</v>
      </c>
      <c r="U10" s="2">
        <f t="shared" si="11"/>
        <v>41.084519309685462</v>
      </c>
      <c r="V10">
        <v>18.0153</v>
      </c>
      <c r="W10" s="2">
        <f t="shared" si="12"/>
        <v>2.2805348403682126</v>
      </c>
    </row>
    <row r="11" spans="1:23" x14ac:dyDescent="0.3">
      <c r="A11" s="2">
        <v>1094.72656772295</v>
      </c>
      <c r="B11" s="2">
        <v>36.607407407407401</v>
      </c>
      <c r="C11" s="2">
        <f>'weight etc'!G$6</f>
        <v>18.636387008</v>
      </c>
      <c r="D11" s="3">
        <f t="shared" si="1"/>
        <v>1964.2974462642903</v>
      </c>
      <c r="F11" s="2">
        <f t="shared" si="0"/>
        <v>33.516462038735959</v>
      </c>
      <c r="G11">
        <f>'weight etc'!B$11</f>
        <v>30.07</v>
      </c>
      <c r="H11">
        <f t="shared" si="2"/>
        <v>1.1146146338123033</v>
      </c>
      <c r="I11" s="2">
        <f t="shared" si="3"/>
        <v>30.667883741872757</v>
      </c>
      <c r="J11">
        <f>'weight etc'!B$12</f>
        <v>2.0158800000000001</v>
      </c>
      <c r="K11" s="2">
        <f t="shared" si="4"/>
        <v>15.213149464190703</v>
      </c>
      <c r="L11" s="2">
        <f t="shared" si="5"/>
        <v>75.652532780846713</v>
      </c>
      <c r="M11">
        <f>'weight etc'!B$13</f>
        <v>16.04</v>
      </c>
      <c r="N11" s="2">
        <f t="shared" si="6"/>
        <v>4.7164920686313412</v>
      </c>
      <c r="O11" s="2">
        <f t="shared" si="7"/>
        <v>55.577640280507723</v>
      </c>
      <c r="P11">
        <f>'weight etc'!B$14</f>
        <v>44.01</v>
      </c>
      <c r="Q11" s="2">
        <f t="shared" si="8"/>
        <v>1.2628411788345313</v>
      </c>
      <c r="R11" s="2">
        <f t="shared" si="9"/>
        <v>33.095437492263713</v>
      </c>
      <c r="S11">
        <f>'weight etc'!B$15</f>
        <v>28.013400000000001</v>
      </c>
      <c r="T11" s="2">
        <f t="shared" si="10"/>
        <v>1.1814145192037993</v>
      </c>
      <c r="U11" s="2">
        <f t="shared" si="11"/>
        <v>42.272099326748886</v>
      </c>
      <c r="V11">
        <v>18.0153</v>
      </c>
      <c r="W11" s="2">
        <f t="shared" si="12"/>
        <v>2.346455475443034</v>
      </c>
    </row>
    <row r="12" spans="1:23" x14ac:dyDescent="0.3">
      <c r="A12" s="2">
        <v>1197.6012835940601</v>
      </c>
      <c r="B12" s="2">
        <v>37.125925925925898</v>
      </c>
      <c r="C12" s="2">
        <f>'weight etc'!G$6</f>
        <v>18.636387008</v>
      </c>
      <c r="D12" s="3">
        <f t="shared" si="1"/>
        <v>1992.1203562680328</v>
      </c>
      <c r="F12" s="2">
        <f t="shared" si="0"/>
        <v>34.054130268049001</v>
      </c>
      <c r="G12">
        <f>'weight etc'!B$11</f>
        <v>30.07</v>
      </c>
      <c r="H12">
        <f t="shared" si="2"/>
        <v>1.1324951868323578</v>
      </c>
      <c r="I12" s="2">
        <f t="shared" si="3"/>
        <v>31.061644288423238</v>
      </c>
      <c r="J12">
        <f>'weight etc'!B$12</f>
        <v>2.0158800000000001</v>
      </c>
      <c r="K12" s="2">
        <f t="shared" si="4"/>
        <v>15.408478822362063</v>
      </c>
      <c r="L12" s="2">
        <f t="shared" si="5"/>
        <v>79.34668891804013</v>
      </c>
      <c r="M12">
        <f>'weight etc'!B$13</f>
        <v>16.04</v>
      </c>
      <c r="N12" s="2">
        <f t="shared" si="6"/>
        <v>4.9468010547406571</v>
      </c>
      <c r="O12" s="2">
        <f t="shared" si="7"/>
        <v>56.504670510126026</v>
      </c>
      <c r="P12">
        <f>'weight etc'!B$14</f>
        <v>44.01</v>
      </c>
      <c r="Q12" s="2">
        <f t="shared" si="8"/>
        <v>1.2839052603982284</v>
      </c>
      <c r="R12" s="2">
        <f t="shared" si="9"/>
        <v>33.673901076478849</v>
      </c>
      <c r="S12">
        <f>'weight etc'!B$15</f>
        <v>28.013400000000001</v>
      </c>
      <c r="T12" s="2">
        <f t="shared" si="10"/>
        <v>1.2020640506500049</v>
      </c>
      <c r="U12" s="2">
        <f t="shared" si="11"/>
        <v>43.499331080655146</v>
      </c>
      <c r="V12">
        <v>18.0153</v>
      </c>
      <c r="W12" s="2">
        <f t="shared" si="12"/>
        <v>2.4145771139339978</v>
      </c>
    </row>
    <row r="13" spans="1:23" x14ac:dyDescent="0.3">
      <c r="A13" s="2">
        <v>1296.85519454472</v>
      </c>
      <c r="B13" s="2">
        <v>38.0592592592592</v>
      </c>
      <c r="C13" s="2">
        <f>'weight etc'!G$6</f>
        <v>18.636387008</v>
      </c>
      <c r="D13" s="3">
        <f t="shared" si="1"/>
        <v>2042.2015942747694</v>
      </c>
      <c r="F13" s="2">
        <f t="shared" si="0"/>
        <v>34.52064974983594</v>
      </c>
      <c r="G13">
        <f>'weight etc'!B$11</f>
        <v>30.07</v>
      </c>
      <c r="H13">
        <f t="shared" si="2"/>
        <v>1.1480096358442282</v>
      </c>
      <c r="I13" s="2">
        <f t="shared" si="3"/>
        <v>31.459179985504495</v>
      </c>
      <c r="J13">
        <f>'weight etc'!B$12</f>
        <v>2.0158800000000001</v>
      </c>
      <c r="K13" s="2">
        <f t="shared" si="4"/>
        <v>15.60568088651333</v>
      </c>
      <c r="L13" s="2">
        <f t="shared" si="5"/>
        <v>82.372621690439217</v>
      </c>
      <c r="M13">
        <f>'weight etc'!B$13</f>
        <v>16.04</v>
      </c>
      <c r="N13" s="2">
        <f t="shared" si="6"/>
        <v>5.1354502300772582</v>
      </c>
      <c r="O13" s="2">
        <f t="shared" si="7"/>
        <v>57.234515895498525</v>
      </c>
      <c r="P13">
        <f>'weight etc'!B$14</f>
        <v>44.01</v>
      </c>
      <c r="Q13" s="2">
        <f t="shared" si="8"/>
        <v>1.3004888865143951</v>
      </c>
      <c r="R13" s="2">
        <f t="shared" si="9"/>
        <v>34.187252018643882</v>
      </c>
      <c r="S13">
        <f>'weight etc'!B$15</f>
        <v>28.013400000000001</v>
      </c>
      <c r="T13" s="2">
        <f t="shared" si="10"/>
        <v>1.2203892429567236</v>
      </c>
      <c r="U13" s="2">
        <f t="shared" si="11"/>
        <v>44.636160583076958</v>
      </c>
      <c r="V13">
        <v>18.0153</v>
      </c>
      <c r="W13" s="2">
        <f t="shared" si="12"/>
        <v>2.4776806704899146</v>
      </c>
    </row>
    <row r="14" spans="1:23" x14ac:dyDescent="0.3">
      <c r="A14" s="2">
        <v>1392.5123679636299</v>
      </c>
      <c r="B14" s="2">
        <v>38.474074074073997</v>
      </c>
      <c r="C14" s="2">
        <f>'weight etc'!G$6</f>
        <v>18.636387008</v>
      </c>
      <c r="D14" s="3">
        <f t="shared" si="1"/>
        <v>2064.4599222777633</v>
      </c>
      <c r="F14" s="2">
        <f t="shared" si="0"/>
        <v>34.909391752805341</v>
      </c>
      <c r="G14">
        <f>'weight etc'!B$11</f>
        <v>30.07</v>
      </c>
      <c r="H14">
        <f t="shared" si="2"/>
        <v>1.1609375375059974</v>
      </c>
      <c r="I14" s="2">
        <f t="shared" si="3"/>
        <v>31.853865507175936</v>
      </c>
      <c r="J14">
        <f>'weight etc'!B$12</f>
        <v>2.0158800000000001</v>
      </c>
      <c r="K14" s="2">
        <f t="shared" si="4"/>
        <v>15.80146908902114</v>
      </c>
      <c r="L14" s="2">
        <f t="shared" si="5"/>
        <v>84.727594679171744</v>
      </c>
      <c r="M14">
        <f>'weight etc'!B$13</f>
        <v>16.04</v>
      </c>
      <c r="N14" s="2">
        <f t="shared" si="6"/>
        <v>5.2822689949608321</v>
      </c>
      <c r="O14" s="2">
        <f t="shared" si="7"/>
        <v>57.826451372029197</v>
      </c>
      <c r="P14">
        <f>'weight etc'!B$14</f>
        <v>44.01</v>
      </c>
      <c r="Q14" s="2">
        <f t="shared" si="8"/>
        <v>1.3139389087032312</v>
      </c>
      <c r="R14" s="2">
        <f t="shared" si="9"/>
        <v>34.624458037247898</v>
      </c>
      <c r="S14">
        <f>'weight etc'!B$15</f>
        <v>28.013400000000001</v>
      </c>
      <c r="T14" s="2">
        <f t="shared" si="10"/>
        <v>1.2359962745417514</v>
      </c>
      <c r="U14" s="2">
        <f t="shared" si="11"/>
        <v>45.667961162935747</v>
      </c>
      <c r="V14">
        <v>18.0153</v>
      </c>
      <c r="W14" s="2">
        <f t="shared" si="12"/>
        <v>2.5349542423903983</v>
      </c>
    </row>
    <row r="15" spans="1:23" x14ac:dyDescent="0.3">
      <c r="A15" s="2">
        <v>1495.38708383473</v>
      </c>
      <c r="B15" s="2">
        <v>38.992592592592601</v>
      </c>
      <c r="C15" s="2">
        <f>'weight etc'!G$6</f>
        <v>18.636387008</v>
      </c>
      <c r="D15" s="3">
        <f t="shared" si="1"/>
        <v>2092.2828322815112</v>
      </c>
      <c r="F15" s="2">
        <f t="shared" si="0"/>
        <v>35.247270191803651</v>
      </c>
      <c r="G15">
        <f>'weight etc'!B$11</f>
        <v>30.07</v>
      </c>
      <c r="H15">
        <f t="shared" si="2"/>
        <v>1.1721739338810659</v>
      </c>
      <c r="I15" s="2">
        <f t="shared" si="3"/>
        <v>32.285695561884459</v>
      </c>
      <c r="J15">
        <f>'weight etc'!B$12</f>
        <v>2.0158800000000001</v>
      </c>
      <c r="K15" s="2">
        <f t="shared" si="4"/>
        <v>16.015683255890458</v>
      </c>
      <c r="L15" s="2">
        <f t="shared" si="5"/>
        <v>86.578420613898572</v>
      </c>
      <c r="M15">
        <f>'weight etc'!B$13</f>
        <v>16.04</v>
      </c>
      <c r="N15" s="2">
        <f t="shared" si="6"/>
        <v>5.3976571455048985</v>
      </c>
      <c r="O15" s="2">
        <f t="shared" si="7"/>
        <v>58.386376927736279</v>
      </c>
      <c r="P15">
        <f>'weight etc'!B$14</f>
        <v>44.01</v>
      </c>
      <c r="Q15" s="2">
        <f t="shared" si="8"/>
        <v>1.3266615979944623</v>
      </c>
      <c r="R15" s="2">
        <f t="shared" si="9"/>
        <v>35.014145226742691</v>
      </c>
      <c r="S15">
        <f>'weight etc'!B$15</f>
        <v>28.013400000000001</v>
      </c>
      <c r="T15" s="2">
        <f t="shared" si="10"/>
        <v>1.2499070168827309</v>
      </c>
      <c r="U15" s="2">
        <f t="shared" si="11"/>
        <v>46.685824347810239</v>
      </c>
      <c r="V15">
        <v>18.0153</v>
      </c>
      <c r="W15" s="2">
        <f t="shared" si="12"/>
        <v>2.5914541721653395</v>
      </c>
    </row>
    <row r="16" spans="1:23" x14ac:dyDescent="0.3">
      <c r="A16" s="2">
        <v>1594.66506217408</v>
      </c>
      <c r="B16" s="2">
        <v>38.992592592592601</v>
      </c>
      <c r="C16" s="2">
        <f>'weight etc'!G$6</f>
        <v>18.636387008</v>
      </c>
      <c r="D16" s="3">
        <f t="shared" si="1"/>
        <v>2092.2828322815112</v>
      </c>
      <c r="F16" s="2">
        <f t="shared" si="0"/>
        <v>35.481252437808131</v>
      </c>
      <c r="G16">
        <f>'weight etc'!B$11</f>
        <v>30.07</v>
      </c>
      <c r="H16">
        <f t="shared" si="2"/>
        <v>1.1799551858266755</v>
      </c>
      <c r="I16" s="2">
        <f t="shared" si="3"/>
        <v>32.704462384471981</v>
      </c>
      <c r="J16">
        <f>'weight etc'!B$12</f>
        <v>2.0158800000000001</v>
      </c>
      <c r="K16" s="2">
        <f t="shared" si="4"/>
        <v>16.223417259197959</v>
      </c>
      <c r="L16" s="2">
        <f t="shared" si="5"/>
        <v>87.628735551524287</v>
      </c>
      <c r="M16">
        <f>'weight etc'!B$13</f>
        <v>16.04</v>
      </c>
      <c r="N16" s="2">
        <f t="shared" si="6"/>
        <v>5.4631381266536341</v>
      </c>
      <c r="O16" s="2">
        <f t="shared" si="7"/>
        <v>58.896025654137546</v>
      </c>
      <c r="P16">
        <f>'weight etc'!B$14</f>
        <v>44.01</v>
      </c>
      <c r="Q16" s="2">
        <f t="shared" si="8"/>
        <v>1.3382418917095558</v>
      </c>
      <c r="R16" s="2">
        <f t="shared" si="9"/>
        <v>35.293927383446182</v>
      </c>
      <c r="S16">
        <f>'weight etc'!B$15</f>
        <v>28.013400000000001</v>
      </c>
      <c r="T16" s="2">
        <f t="shared" si="10"/>
        <v>1.2598944570614841</v>
      </c>
      <c r="U16" s="2">
        <f t="shared" si="11"/>
        <v>47.556418595591268</v>
      </c>
      <c r="V16">
        <v>18.0153</v>
      </c>
      <c r="W16" s="2">
        <f t="shared" si="12"/>
        <v>2.6397794427842594</v>
      </c>
    </row>
    <row r="17" spans="1:23" x14ac:dyDescent="0.3">
      <c r="A17" s="2">
        <v>1699.35018050541</v>
      </c>
      <c r="B17" s="2">
        <v>39.303703703703697</v>
      </c>
      <c r="C17" s="2">
        <f>'weight etc'!G$6</f>
        <v>18.636387008</v>
      </c>
      <c r="D17" s="3">
        <f t="shared" si="1"/>
        <v>2108.9765782837567</v>
      </c>
      <c r="F17" s="2">
        <f t="shared" si="0"/>
        <v>35.615452816675599</v>
      </c>
      <c r="G17">
        <f>'weight etc'!B$11</f>
        <v>30.07</v>
      </c>
      <c r="H17">
        <f t="shared" si="2"/>
        <v>1.184418118279867</v>
      </c>
      <c r="I17" s="2">
        <f t="shared" si="3"/>
        <v>33.142499274020352</v>
      </c>
      <c r="J17">
        <f>'weight etc'!B$12</f>
        <v>2.0158800000000001</v>
      </c>
      <c r="K17" s="2">
        <f t="shared" si="4"/>
        <v>16.440710396462265</v>
      </c>
      <c r="L17" s="2">
        <f t="shared" si="5"/>
        <v>87.88129723217304</v>
      </c>
      <c r="M17">
        <f>'weight etc'!B$13</f>
        <v>16.04</v>
      </c>
      <c r="N17" s="2">
        <f t="shared" si="6"/>
        <v>5.4788838673424589</v>
      </c>
      <c r="O17" s="2">
        <f t="shared" si="7"/>
        <v>59.449703348427647</v>
      </c>
      <c r="P17">
        <f>'weight etc'!B$14</f>
        <v>44.01</v>
      </c>
      <c r="Q17" s="2">
        <f t="shared" si="8"/>
        <v>1.3508226164150796</v>
      </c>
      <c r="R17" s="2">
        <f t="shared" si="9"/>
        <v>35.467691337147201</v>
      </c>
      <c r="S17">
        <f>'weight etc'!B$15</f>
        <v>28.013400000000001</v>
      </c>
      <c r="T17" s="2">
        <f t="shared" si="10"/>
        <v>1.2660973440263303</v>
      </c>
      <c r="U17" s="2">
        <f t="shared" si="11"/>
        <v>48.332057082092653</v>
      </c>
      <c r="V17">
        <v>18.0153</v>
      </c>
      <c r="W17" s="2">
        <f t="shared" si="12"/>
        <v>2.6828338735459667</v>
      </c>
    </row>
    <row r="18" spans="1:23" x14ac:dyDescent="0.3">
      <c r="A18" s="2">
        <v>1796.81775638454</v>
      </c>
      <c r="B18" s="2">
        <v>39.511111111111099</v>
      </c>
      <c r="C18" s="2">
        <f>'weight etc'!G$6</f>
        <v>18.636387008</v>
      </c>
      <c r="D18" s="3">
        <f t="shared" si="1"/>
        <v>2120.1057422852537</v>
      </c>
      <c r="F18" s="2">
        <f t="shared" si="0"/>
        <v>35.623366248822791</v>
      </c>
      <c r="G18">
        <f>'weight etc'!B$11</f>
        <v>30.07</v>
      </c>
      <c r="H18">
        <f t="shared" si="2"/>
        <v>1.1846812852950712</v>
      </c>
      <c r="I18" s="2">
        <f t="shared" si="3"/>
        <v>33.541901368083273</v>
      </c>
      <c r="J18">
        <f>'weight etc'!B$12</f>
        <v>2.0158800000000001</v>
      </c>
      <c r="K18" s="2">
        <f t="shared" si="4"/>
        <v>16.638838307877091</v>
      </c>
      <c r="L18" s="2">
        <f t="shared" si="5"/>
        <v>87.262108055875302</v>
      </c>
      <c r="M18">
        <f>'weight etc'!B$13</f>
        <v>16.04</v>
      </c>
      <c r="N18" s="2">
        <f t="shared" si="6"/>
        <v>5.4402810508650443</v>
      </c>
      <c r="O18" s="2">
        <f t="shared" si="7"/>
        <v>60.024582239301367</v>
      </c>
      <c r="P18">
        <f>'weight etc'!B$14</f>
        <v>44.01</v>
      </c>
      <c r="Q18" s="2">
        <f t="shared" si="8"/>
        <v>1.3638850770120738</v>
      </c>
      <c r="R18" s="2">
        <f t="shared" si="9"/>
        <v>35.500517500362143</v>
      </c>
      <c r="S18">
        <f>'weight etc'!B$15</f>
        <v>28.013400000000001</v>
      </c>
      <c r="T18" s="2">
        <f t="shared" si="10"/>
        <v>1.2672691462072487</v>
      </c>
      <c r="U18" s="2">
        <f t="shared" si="11"/>
        <v>48.901487707700156</v>
      </c>
      <c r="V18">
        <v>18.0153</v>
      </c>
      <c r="W18" s="2">
        <f t="shared" si="12"/>
        <v>2.7144420413592978</v>
      </c>
    </row>
    <row r="22" spans="1:23" x14ac:dyDescent="0.3">
      <c r="I22" s="1" t="s">
        <v>33</v>
      </c>
      <c r="J22" s="1" t="s">
        <v>35</v>
      </c>
      <c r="K22" s="1" t="s">
        <v>36</v>
      </c>
      <c r="L22" s="1" t="s">
        <v>37</v>
      </c>
      <c r="M22" s="1" t="s">
        <v>38</v>
      </c>
      <c r="O22" s="1" t="s">
        <v>46</v>
      </c>
      <c r="Q22" s="1" t="s">
        <v>47</v>
      </c>
      <c r="S22" s="1" t="s">
        <v>48</v>
      </c>
      <c r="U22" s="1" t="s">
        <v>49</v>
      </c>
    </row>
    <row r="23" spans="1:23" x14ac:dyDescent="0.3">
      <c r="I23" t="s">
        <v>0</v>
      </c>
      <c r="J23">
        <v>28.16</v>
      </c>
      <c r="K23">
        <f>0.001675</f>
        <v>1.6750000000000001E-3</v>
      </c>
      <c r="L23" s="6">
        <v>5.3720000000000004E-6</v>
      </c>
      <c r="M23" s="6">
        <v>-2.222E-9</v>
      </c>
      <c r="O23" s="7">
        <v>0.19</v>
      </c>
      <c r="Q23" s="8">
        <f>O23*G2+O24*J2+O25*M2+O26*P2+O27*S2+O28*V2</f>
        <v>25.4286712</v>
      </c>
      <c r="S23">
        <f>O$23*F2+O$24*I2+O$25*L2+O$26*O2+O$27*R2+O$28*U2</f>
        <v>29.862935576817577</v>
      </c>
      <c r="U23" s="2">
        <f>S23/Q$23*1000</f>
        <v>1174.3804991594518</v>
      </c>
    </row>
    <row r="24" spans="1:23" x14ac:dyDescent="0.3">
      <c r="I24" t="s">
        <v>1</v>
      </c>
      <c r="J24">
        <v>29.11</v>
      </c>
      <c r="K24" s="6">
        <v>-1.916E-3</v>
      </c>
      <c r="L24" s="6">
        <v>4.0029999999999996E-6</v>
      </c>
      <c r="M24" s="6">
        <v>-8.7040000000000001E-10</v>
      </c>
      <c r="O24" s="7">
        <v>0.18</v>
      </c>
      <c r="S24">
        <f t="shared" ref="S24:S39" si="13">O$23*F3+O$24*I3+O$25*L3+O$26*O3+O$27*R3+O$28*U3</f>
        <v>30.135738177194618</v>
      </c>
      <c r="U24" s="2">
        <f t="shared" ref="U24:U39" si="14">S24/Q$23*1000</f>
        <v>1185.1086492161894</v>
      </c>
    </row>
    <row r="25" spans="1:23" x14ac:dyDescent="0.3">
      <c r="I25" t="s">
        <v>5</v>
      </c>
      <c r="J25">
        <v>19.89</v>
      </c>
      <c r="K25" s="6">
        <v>5.024E-2</v>
      </c>
      <c r="L25" s="6">
        <v>1.269E-5</v>
      </c>
      <c r="M25" s="6">
        <v>-1.1010000000000001E-8</v>
      </c>
      <c r="O25" s="7">
        <v>1.7999999999999999E-2</v>
      </c>
      <c r="S25">
        <f t="shared" si="13"/>
        <v>30.902969594597305</v>
      </c>
      <c r="U25" s="2">
        <f t="shared" si="14"/>
        <v>1215.2805528665338</v>
      </c>
    </row>
    <row r="26" spans="1:23" x14ac:dyDescent="0.3">
      <c r="I26" t="s">
        <v>2</v>
      </c>
      <c r="J26">
        <v>22.26</v>
      </c>
      <c r="K26" s="6">
        <v>5.9810000000000002E-2</v>
      </c>
      <c r="L26" s="6">
        <v>-3.5009999999999999E-5</v>
      </c>
      <c r="M26" s="6">
        <v>7.4690000000000006E-9</v>
      </c>
      <c r="O26" s="7">
        <v>0.12</v>
      </c>
      <c r="S26">
        <f t="shared" si="13"/>
        <v>31.746853498463345</v>
      </c>
      <c r="U26" s="2">
        <f t="shared" si="14"/>
        <v>1248.4668683145087</v>
      </c>
    </row>
    <row r="27" spans="1:23" x14ac:dyDescent="0.3">
      <c r="I27" t="s">
        <v>3</v>
      </c>
      <c r="J27">
        <v>28.9</v>
      </c>
      <c r="K27" s="6">
        <v>-1.5709999999999999E-3</v>
      </c>
      <c r="L27" s="6">
        <v>8.0809999999999994E-6</v>
      </c>
      <c r="M27" s="6">
        <v>-2.8729999999999999E-9</v>
      </c>
      <c r="O27" s="7">
        <v>0.49199999999999999</v>
      </c>
      <c r="S27">
        <f t="shared" si="13"/>
        <v>32.528828420940229</v>
      </c>
      <c r="U27" s="2">
        <f t="shared" si="14"/>
        <v>1279.2185704513033</v>
      </c>
    </row>
    <row r="28" spans="1:23" x14ac:dyDescent="0.3">
      <c r="I28" t="s">
        <v>34</v>
      </c>
      <c r="J28">
        <v>32.24</v>
      </c>
      <c r="K28" s="6">
        <v>1.923E-3</v>
      </c>
      <c r="L28" s="6">
        <v>1.0550000000000001E-5</v>
      </c>
      <c r="M28" s="6">
        <v>-3.5950000000000001E-9</v>
      </c>
      <c r="O28" s="7">
        <v>0</v>
      </c>
      <c r="S28">
        <f t="shared" si="13"/>
        <v>33.342427375149029</v>
      </c>
      <c r="U28" s="2">
        <f t="shared" si="14"/>
        <v>1311.2139094058925</v>
      </c>
    </row>
    <row r="29" spans="1:23" x14ac:dyDescent="0.3">
      <c r="O29" s="1">
        <f>SUM(O23:O28)</f>
        <v>1</v>
      </c>
      <c r="S29">
        <f t="shared" si="13"/>
        <v>34.08060790872932</v>
      </c>
      <c r="U29" s="2">
        <f t="shared" si="14"/>
        <v>1340.2433670513353</v>
      </c>
    </row>
    <row r="30" spans="1:23" x14ac:dyDescent="0.3">
      <c r="S30">
        <f t="shared" si="13"/>
        <v>34.807341007093015</v>
      </c>
      <c r="U30" s="2">
        <f t="shared" si="14"/>
        <v>1368.8226464264878</v>
      </c>
    </row>
    <row r="31" spans="1:23" x14ac:dyDescent="0.3">
      <c r="S31">
        <f t="shared" si="13"/>
        <v>35.551343513940097</v>
      </c>
      <c r="U31" s="2">
        <f t="shared" si="14"/>
        <v>1398.081057178485</v>
      </c>
    </row>
    <row r="32" spans="1:23" x14ac:dyDescent="0.3">
      <c r="S32">
        <f t="shared" si="13"/>
        <v>36.202364530806847</v>
      </c>
      <c r="U32" s="2">
        <f t="shared" si="14"/>
        <v>1423.6829068286843</v>
      </c>
    </row>
    <row r="33" spans="19:21" x14ac:dyDescent="0.3">
      <c r="S33">
        <f t="shared" si="13"/>
        <v>36.83774091421293</v>
      </c>
      <c r="U33" s="2">
        <f t="shared" si="14"/>
        <v>1448.6695204983</v>
      </c>
    </row>
    <row r="34" spans="19:21" x14ac:dyDescent="0.3">
      <c r="S34">
        <f t="shared" si="13"/>
        <v>37.392552940920154</v>
      </c>
      <c r="U34" s="2">
        <f t="shared" si="14"/>
        <v>1470.487885380348</v>
      </c>
    </row>
    <row r="35" spans="19:21" x14ac:dyDescent="0.3">
      <c r="S35">
        <f t="shared" si="13"/>
        <v>37.865984447519239</v>
      </c>
      <c r="U35" s="2">
        <f t="shared" si="14"/>
        <v>1489.1059052869125</v>
      </c>
    </row>
    <row r="36" spans="19:21" x14ac:dyDescent="0.3">
      <c r="S36">
        <f t="shared" si="13"/>
        <v>38.300142791517828</v>
      </c>
      <c r="U36" s="2">
        <f t="shared" si="14"/>
        <v>1506.1794810386248</v>
      </c>
    </row>
    <row r="37" spans="19:21" x14ac:dyDescent="0.3">
      <c r="S37">
        <f t="shared" si="13"/>
        <v>38.637693783467967</v>
      </c>
      <c r="U37" s="2">
        <f t="shared" si="14"/>
        <v>1519.4539061666726</v>
      </c>
    </row>
    <row r="38" spans="19:21" x14ac:dyDescent="0.3">
      <c r="S38">
        <f t="shared" si="13"/>
        <v>38.898517794358881</v>
      </c>
      <c r="U38" s="2">
        <f t="shared" si="14"/>
        <v>1529.7109899458246</v>
      </c>
    </row>
    <row r="39" spans="19:21" x14ac:dyDescent="0.3">
      <c r="S39">
        <f t="shared" si="13"/>
        <v>39.045904257431417</v>
      </c>
      <c r="U39" s="2">
        <f t="shared" si="14"/>
        <v>1535.5070640667775</v>
      </c>
    </row>
    <row r="55" spans="4:5" x14ac:dyDescent="0.3">
      <c r="D55" s="4" t="s">
        <v>28</v>
      </c>
    </row>
    <row r="56" spans="4:5" x14ac:dyDescent="0.3">
      <c r="D56" s="2">
        <v>264.57012969648298</v>
      </c>
      <c r="E56">
        <f>D56/1000</f>
        <v>0.26457012969648297</v>
      </c>
    </row>
    <row r="57" spans="4:5" x14ac:dyDescent="0.3">
      <c r="D57" s="2">
        <v>298.85813611445298</v>
      </c>
      <c r="E57">
        <f t="shared" ref="E57:E72" si="15">D57/1000</f>
        <v>0.298858136114453</v>
      </c>
    </row>
    <row r="58" spans="4:5" x14ac:dyDescent="0.3">
      <c r="D58" s="2">
        <v>394.50193876186597</v>
      </c>
      <c r="E58">
        <f t="shared" si="15"/>
        <v>0.39450193876186596</v>
      </c>
    </row>
    <row r="59" spans="4:5" x14ac:dyDescent="0.3">
      <c r="D59" s="2">
        <v>499.17636047599899</v>
      </c>
      <c r="E59">
        <f t="shared" si="15"/>
        <v>0.499176360475999</v>
      </c>
    </row>
    <row r="60" spans="4:5" x14ac:dyDescent="0.3">
      <c r="D60" s="2">
        <v>596.62254312073799</v>
      </c>
      <c r="E60">
        <f t="shared" si="15"/>
        <v>0.59662254312073804</v>
      </c>
    </row>
    <row r="61" spans="4:5" x14ac:dyDescent="0.3">
      <c r="D61" s="2">
        <v>699.49725899184295</v>
      </c>
      <c r="E61">
        <f t="shared" si="15"/>
        <v>0.69949725899184301</v>
      </c>
    </row>
    <row r="62" spans="4:5" x14ac:dyDescent="0.3">
      <c r="D62" s="2">
        <v>795.14640994785395</v>
      </c>
      <c r="E62">
        <f t="shared" si="15"/>
        <v>0.7951464099478539</v>
      </c>
    </row>
    <row r="63" spans="4:5" x14ac:dyDescent="0.3">
      <c r="D63" s="2">
        <v>892.59259259259204</v>
      </c>
      <c r="E63">
        <f t="shared" si="15"/>
        <v>0.89259259259259205</v>
      </c>
    </row>
    <row r="64" spans="4:5" x14ac:dyDescent="0.3">
      <c r="D64" s="2">
        <v>997.26434015242603</v>
      </c>
      <c r="E64">
        <f t="shared" si="15"/>
        <v>0.99726434015242604</v>
      </c>
    </row>
    <row r="65" spans="4:5" x14ac:dyDescent="0.3">
      <c r="D65" s="2">
        <v>1094.72656772295</v>
      </c>
      <c r="E65">
        <f t="shared" si="15"/>
        <v>1.0947265677229501</v>
      </c>
    </row>
    <row r="66" spans="4:5" x14ac:dyDescent="0.3">
      <c r="D66" s="2">
        <v>1197.6012835940601</v>
      </c>
      <c r="E66">
        <f t="shared" si="15"/>
        <v>1.1976012835940602</v>
      </c>
    </row>
    <row r="67" spans="4:5" x14ac:dyDescent="0.3">
      <c r="D67" s="2">
        <v>1296.85519454472</v>
      </c>
      <c r="E67">
        <f t="shared" si="15"/>
        <v>1.29685519454472</v>
      </c>
    </row>
    <row r="68" spans="4:5" x14ac:dyDescent="0.3">
      <c r="D68" s="2">
        <v>1392.5123679636299</v>
      </c>
      <c r="E68">
        <f t="shared" si="15"/>
        <v>1.39251236796363</v>
      </c>
    </row>
    <row r="69" spans="4:5" x14ac:dyDescent="0.3">
      <c r="D69" s="2">
        <v>1495.38708383473</v>
      </c>
      <c r="E69">
        <f t="shared" si="15"/>
        <v>1.4953870838347301</v>
      </c>
    </row>
    <row r="70" spans="4:5" x14ac:dyDescent="0.3">
      <c r="D70" s="2">
        <v>1594.66506217408</v>
      </c>
      <c r="E70">
        <f t="shared" si="15"/>
        <v>1.5946650621740801</v>
      </c>
    </row>
    <row r="71" spans="4:5" x14ac:dyDescent="0.3">
      <c r="D71" s="2">
        <v>1699.35018050541</v>
      </c>
      <c r="E71">
        <f t="shared" si="15"/>
        <v>1.6993501805054101</v>
      </c>
    </row>
    <row r="72" spans="4:5" x14ac:dyDescent="0.3">
      <c r="D72" s="2">
        <v>1796.81775638454</v>
      </c>
      <c r="E72">
        <f t="shared" si="15"/>
        <v>1.79681775638454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8"/>
  <sheetViews>
    <sheetView zoomScale="75" zoomScaleNormal="75" workbookViewId="0">
      <selection activeCell="Q2" sqref="Q2"/>
    </sheetView>
  </sheetViews>
  <sheetFormatPr defaultRowHeight="14.4" x14ac:dyDescent="0.3"/>
  <sheetData>
    <row r="1" spans="1:30" ht="18" x14ac:dyDescent="0.35">
      <c r="A1" s="10" t="s">
        <v>50</v>
      </c>
      <c r="I1" s="10" t="s">
        <v>51</v>
      </c>
      <c r="J1" s="10" t="s">
        <v>52</v>
      </c>
      <c r="K1" s="34" t="s">
        <v>52</v>
      </c>
      <c r="L1" s="10" t="s">
        <v>53</v>
      </c>
      <c r="M1" s="34" t="s">
        <v>53</v>
      </c>
      <c r="N1" s="10" t="s">
        <v>112</v>
      </c>
      <c r="O1" s="34" t="s">
        <v>112</v>
      </c>
      <c r="P1" s="10" t="s">
        <v>113</v>
      </c>
      <c r="Q1" s="34" t="s">
        <v>113</v>
      </c>
      <c r="R1" s="10" t="s">
        <v>54</v>
      </c>
      <c r="S1" s="34" t="s">
        <v>54</v>
      </c>
      <c r="T1" s="10" t="s">
        <v>55</v>
      </c>
      <c r="U1" s="34" t="s">
        <v>55</v>
      </c>
      <c r="V1" s="10" t="s">
        <v>56</v>
      </c>
      <c r="W1" s="34" t="s">
        <v>56</v>
      </c>
      <c r="X1" s="10" t="s">
        <v>57</v>
      </c>
      <c r="Y1" s="34" t="s">
        <v>57</v>
      </c>
      <c r="Z1" s="10" t="s">
        <v>58</v>
      </c>
      <c r="AA1" s="34" t="s">
        <v>58</v>
      </c>
      <c r="AB1" s="10" t="s">
        <v>59</v>
      </c>
      <c r="AC1" s="34" t="s">
        <v>59</v>
      </c>
      <c r="AD1" s="10" t="s">
        <v>68</v>
      </c>
    </row>
    <row r="2" spans="1:30" ht="18" x14ac:dyDescent="0.35">
      <c r="I2" s="14"/>
      <c r="J2" s="14"/>
      <c r="K2" s="14"/>
      <c r="L2" s="10">
        <v>1</v>
      </c>
      <c r="M2" s="10"/>
      <c r="N2" s="10"/>
      <c r="O2" s="10"/>
      <c r="P2" s="10">
        <v>2</v>
      </c>
      <c r="Q2" s="10"/>
      <c r="R2" s="10"/>
      <c r="S2" s="10"/>
      <c r="T2" s="10">
        <v>3</v>
      </c>
      <c r="U2" s="10"/>
      <c r="V2" s="10"/>
      <c r="W2" s="10"/>
      <c r="X2" s="10">
        <v>4</v>
      </c>
      <c r="Y2" s="10"/>
      <c r="Z2" s="10"/>
      <c r="AA2" s="10"/>
      <c r="AB2" s="10">
        <v>5</v>
      </c>
      <c r="AD2">
        <v>1.1000000000000001</v>
      </c>
    </row>
    <row r="3" spans="1:30" x14ac:dyDescent="0.3">
      <c r="A3" s="11" t="s">
        <v>5</v>
      </c>
      <c r="I3">
        <v>300</v>
      </c>
      <c r="J3" s="12">
        <f t="shared" ref="J3:J17" si="0">EXP(D$7*LN(I3)+E$7/I3+F$7/I3^2+G$7)</f>
        <v>346.24381768493896</v>
      </c>
      <c r="K3" s="5">
        <f>J3*10^-4</f>
        <v>3.4624381768493896E-2</v>
      </c>
      <c r="L3" s="12">
        <f t="shared" ref="L3:L17" si="1">EXP(D$5*LN(I3)+E$5/I3+F$5/I3^2+G$5)</f>
        <v>112.00241135959739</v>
      </c>
      <c r="M3" s="35">
        <f>L3*10^-7</f>
        <v>1.1200241135959739E-5</v>
      </c>
      <c r="N3" s="12">
        <f>EXP(D$14*LN(I3)+E$14/I3+F$14/I3^2+G$14)</f>
        <v>2.0206299896107289E-21</v>
      </c>
      <c r="O3" s="5">
        <f>N3*10^-4</f>
        <v>2.020629989610729E-25</v>
      </c>
      <c r="P3" s="12">
        <f>EXP(D$12*LN(I3)+E$12/I3+F$12/I3^2+G$12)</f>
        <v>93.309450211843767</v>
      </c>
      <c r="Q3" s="35">
        <f>P3*10^-7</f>
        <v>9.3309450211843758E-6</v>
      </c>
      <c r="R3" s="12">
        <f>EXP(D$21*LN(I3)+E$21/I3+F$21/I3^2+G$21)</f>
        <v>166.14877503019932</v>
      </c>
      <c r="S3" s="5">
        <f>R3*10^-4</f>
        <v>1.6614877503019931E-2</v>
      </c>
      <c r="T3" s="12">
        <f>EXP(D$19*LN(I3)+E$19/I3+F$19/I3^2+G$19)</f>
        <v>150.14606593050621</v>
      </c>
      <c r="U3" s="35">
        <f>T3*10^-7</f>
        <v>1.5014606593050621E-5</v>
      </c>
      <c r="V3" s="12">
        <f>EXP(D$28*LN(I3)+E$28/I3+F$28/I3^2+G$28)</f>
        <v>1878.6392110727452</v>
      </c>
      <c r="W3" s="5">
        <f>V3*10^-4</f>
        <v>0.18786392110727454</v>
      </c>
      <c r="X3" s="12">
        <f>EXP(D$26*LN(I3)+E$26/I3+F$26/I3^2+G$26)</f>
        <v>89.738347782159863</v>
      </c>
      <c r="Y3" s="35">
        <f>X3*10^-7</f>
        <v>8.9738347782159859E-6</v>
      </c>
      <c r="Z3" s="12">
        <f>EXP(D$35*LN(I3)+E$35/I3+F$35/I3^2+G$35)</f>
        <v>261.49881267754984</v>
      </c>
      <c r="AA3" s="5">
        <f>Z3*10^-4</f>
        <v>2.6149881267754985E-2</v>
      </c>
      <c r="AB3" s="12">
        <f>EXP(D$33*LN(I3)+E$33/I3+F$33/I3^2+G$33)</f>
        <v>179.05909219797726</v>
      </c>
      <c r="AC3" s="35">
        <f>AB3*10^-7</f>
        <v>1.7905909219797727E-5</v>
      </c>
    </row>
    <row r="4" spans="1:30" x14ac:dyDescent="0.3">
      <c r="A4" s="1" t="s">
        <v>60</v>
      </c>
      <c r="B4" s="1" t="s">
        <v>61</v>
      </c>
      <c r="C4" s="1" t="s">
        <v>62</v>
      </c>
      <c r="D4" s="1" t="s">
        <v>63</v>
      </c>
      <c r="E4" s="1" t="s">
        <v>64</v>
      </c>
      <c r="F4" s="1" t="s">
        <v>11</v>
      </c>
      <c r="G4" s="1" t="s">
        <v>65</v>
      </c>
      <c r="I4">
        <f>I3+50</f>
        <v>350</v>
      </c>
      <c r="J4" s="12">
        <f t="shared" si="0"/>
        <v>426.626781169678</v>
      </c>
      <c r="K4" s="5">
        <f t="shared" ref="K4:K35" si="2">J4*10^-4</f>
        <v>4.2662678116967799E-2</v>
      </c>
      <c r="L4" s="12">
        <f t="shared" si="1"/>
        <v>127.66824004937321</v>
      </c>
      <c r="M4" s="35">
        <f t="shared" ref="M4:M35" si="3">L4*10^-7</f>
        <v>1.2766824004937321E-5</v>
      </c>
      <c r="N4" s="12">
        <f t="shared" ref="N4:N17" si="4">EXP(D$14*LN(I4)+E$14/I4+F$14/I4^2+G$14)</f>
        <v>5.1646837246151477E-18</v>
      </c>
      <c r="O4" s="5">
        <f t="shared" ref="O4:O35" si="5">N4*10^-4</f>
        <v>5.164683724615148E-22</v>
      </c>
      <c r="P4" s="12">
        <f t="shared" ref="P4:P17" si="6">EXP(D$12*LN(I4)+E$12/I4+F$12/I4^2+G$12)</f>
        <v>108.29330255804901</v>
      </c>
      <c r="Q4" s="35">
        <f t="shared" ref="Q4:Q35" si="7">P4*10^-7</f>
        <v>1.0829330255804901E-5</v>
      </c>
      <c r="R4" s="12">
        <f t="shared" ref="R4:R17" si="8">EXP(D$21*LN(I4)+E$21/I4+F$21/I4^2+G$21)</f>
        <v>205.58157059506806</v>
      </c>
      <c r="S4" s="5">
        <f t="shared" ref="S4:S35" si="9">R4*10^-4</f>
        <v>2.0558157059506806E-2</v>
      </c>
      <c r="T4" s="12">
        <f t="shared" ref="T4:T17" si="10">EXP(D$19*LN(I4)+E$19/I4+F$19/I4^2+G$19)</f>
        <v>174.04468283417197</v>
      </c>
      <c r="U4" s="35">
        <f t="shared" ref="U4:U35" si="11">T4*10^-7</f>
        <v>1.7404468283417195E-5</v>
      </c>
      <c r="V4" s="12">
        <f t="shared" ref="V4:V17" si="12">EXP(D$28*LN(I4)+E$28/I4+F$28/I4^2+G$28)</f>
        <v>2094.8386336704248</v>
      </c>
      <c r="W4" s="5">
        <f t="shared" ref="W4:W35" si="13">V4*10^-4</f>
        <v>0.2094838633670425</v>
      </c>
      <c r="X4" s="12">
        <f t="shared" ref="X4:X17" si="14">EXP(D$26*LN(I4)+E$26/I4+F$26/I4^2+G$26)</f>
        <v>99.552563900437633</v>
      </c>
      <c r="Y4" s="35">
        <f t="shared" ref="Y4:Y35" si="15">X4*10^-7</f>
        <v>9.9552563900437634E-6</v>
      </c>
      <c r="Z4" s="12">
        <f t="shared" ref="Z4:Z17" si="16">EXP(D$35*LN(I4)+E$35/I4+F$35/I4^2+G$35)</f>
        <v>294.18282672912403</v>
      </c>
      <c r="AA4" s="5">
        <f t="shared" ref="AA4:AA35" si="17">Z4*10^-4</f>
        <v>2.9418282672912403E-2</v>
      </c>
      <c r="AB4" s="12">
        <f t="shared" ref="AB4:AB19" si="18">EXP(D$33*LN(I4)+E$33/I4+F$33/I4^2+G$33)</f>
        <v>201.15404486540507</v>
      </c>
      <c r="AC4" s="35">
        <f t="shared" ref="AC4:AC35" si="19">AB4*10^-7</f>
        <v>2.0115404486540507E-5</v>
      </c>
    </row>
    <row r="5" spans="1:30" x14ac:dyDescent="0.3">
      <c r="A5" s="13" t="s">
        <v>66</v>
      </c>
      <c r="B5">
        <v>200</v>
      </c>
      <c r="C5">
        <v>1000</v>
      </c>
      <c r="D5">
        <v>0.57643622000000005</v>
      </c>
      <c r="E5">
        <v>-93.704078999999993</v>
      </c>
      <c r="F5">
        <v>869.92394999999999</v>
      </c>
      <c r="G5">
        <v>1.7333346999999999</v>
      </c>
      <c r="I5">
        <f t="shared" ref="I5:I35" si="20">I4+50</f>
        <v>400</v>
      </c>
      <c r="J5" s="12">
        <f t="shared" si="0"/>
        <v>513.18396057476195</v>
      </c>
      <c r="K5" s="5">
        <f t="shared" si="2"/>
        <v>5.13183960574762E-2</v>
      </c>
      <c r="L5" s="12">
        <f t="shared" si="1"/>
        <v>142.33859669327117</v>
      </c>
      <c r="M5" s="35">
        <f t="shared" si="3"/>
        <v>1.4233859669327116E-5</v>
      </c>
      <c r="N5" s="12">
        <f t="shared" si="4"/>
        <v>1.9090261562326729E-15</v>
      </c>
      <c r="O5" s="5">
        <f t="shared" si="5"/>
        <v>1.909026156232673E-19</v>
      </c>
      <c r="P5" s="12">
        <f t="shared" si="6"/>
        <v>122.48781373073712</v>
      </c>
      <c r="Q5" s="35">
        <f t="shared" si="7"/>
        <v>1.2248781373073712E-5</v>
      </c>
      <c r="R5" s="12">
        <f t="shared" si="8"/>
        <v>245.69551026357922</v>
      </c>
      <c r="S5" s="5">
        <f t="shared" si="9"/>
        <v>2.4569551026357925E-2</v>
      </c>
      <c r="T5" s="12">
        <f t="shared" si="10"/>
        <v>197.02550668854889</v>
      </c>
      <c r="U5" s="35">
        <f t="shared" si="11"/>
        <v>1.9702550668854888E-5</v>
      </c>
      <c r="V5" s="12">
        <f t="shared" si="12"/>
        <v>2293.726167708247</v>
      </c>
      <c r="W5" s="5">
        <f t="shared" si="13"/>
        <v>0.22937261677082471</v>
      </c>
      <c r="X5" s="12">
        <f t="shared" si="14"/>
        <v>108.95288959717303</v>
      </c>
      <c r="Y5" s="35">
        <f t="shared" si="15"/>
        <v>1.0895288959717302E-5</v>
      </c>
      <c r="Z5" s="12">
        <f t="shared" si="16"/>
        <v>325.11110685354402</v>
      </c>
      <c r="AA5" s="5">
        <f t="shared" si="17"/>
        <v>3.2511110685354401E-2</v>
      </c>
      <c r="AB5" s="12">
        <f t="shared" si="18"/>
        <v>221.86138037054815</v>
      </c>
      <c r="AC5" s="35">
        <f t="shared" si="19"/>
        <v>2.2186138037054813E-5</v>
      </c>
    </row>
    <row r="6" spans="1:30" x14ac:dyDescent="0.3">
      <c r="A6" s="13" t="s">
        <v>66</v>
      </c>
      <c r="B6">
        <v>1000</v>
      </c>
      <c r="C6">
        <v>5000</v>
      </c>
      <c r="D6">
        <v>0.66400044000000003</v>
      </c>
      <c r="E6">
        <v>10.860842999999999</v>
      </c>
      <c r="F6">
        <v>-7630.7840999999999</v>
      </c>
      <c r="G6">
        <v>1.0323983999999999</v>
      </c>
      <c r="I6">
        <f t="shared" si="20"/>
        <v>450</v>
      </c>
      <c r="J6" s="12">
        <f t="shared" si="0"/>
        <v>604.48475946187887</v>
      </c>
      <c r="K6" s="5">
        <f t="shared" si="2"/>
        <v>6.0448475946187886E-2</v>
      </c>
      <c r="L6" s="12">
        <f t="shared" si="1"/>
        <v>156.17714653818615</v>
      </c>
      <c r="M6" s="35">
        <f t="shared" si="3"/>
        <v>1.5617714653818616E-5</v>
      </c>
      <c r="N6" s="12">
        <f t="shared" si="4"/>
        <v>1.9326504809480225E-13</v>
      </c>
      <c r="O6" s="5">
        <f t="shared" si="5"/>
        <v>1.9326504809480226E-17</v>
      </c>
      <c r="P6" s="12">
        <f t="shared" si="6"/>
        <v>135.98766742209716</v>
      </c>
      <c r="Q6" s="35">
        <f t="shared" si="7"/>
        <v>1.3598766742209716E-5</v>
      </c>
      <c r="R6" s="12">
        <f t="shared" si="8"/>
        <v>285.83481603457807</v>
      </c>
      <c r="S6" s="5">
        <f t="shared" si="9"/>
        <v>2.8583481603457809E-2</v>
      </c>
      <c r="T6" s="12">
        <f t="shared" si="10"/>
        <v>219.05726826384256</v>
      </c>
      <c r="U6" s="35">
        <f t="shared" si="11"/>
        <v>2.1905726826384256E-5</v>
      </c>
      <c r="V6" s="12">
        <f t="shared" si="12"/>
        <v>2482.9449701848471</v>
      </c>
      <c r="W6" s="5">
        <f t="shared" si="13"/>
        <v>0.24829449701848472</v>
      </c>
      <c r="X6" s="12">
        <f t="shared" si="14"/>
        <v>118.02559023561544</v>
      </c>
      <c r="Y6" s="35">
        <f t="shared" si="15"/>
        <v>1.1802559023561543E-5</v>
      </c>
      <c r="Z6" s="12">
        <f t="shared" si="16"/>
        <v>354.82940410039635</v>
      </c>
      <c r="AA6" s="5">
        <f t="shared" si="17"/>
        <v>3.5482940410039639E-2</v>
      </c>
      <c r="AB6" s="12">
        <f t="shared" si="18"/>
        <v>241.45386929020003</v>
      </c>
      <c r="AC6" s="35">
        <f t="shared" si="19"/>
        <v>2.4145386929020003E-5</v>
      </c>
    </row>
    <row r="7" spans="1:30" x14ac:dyDescent="0.3">
      <c r="A7" s="13" t="s">
        <v>67</v>
      </c>
      <c r="B7">
        <v>200</v>
      </c>
      <c r="C7">
        <v>1000</v>
      </c>
      <c r="D7">
        <v>1.0238176999999999</v>
      </c>
      <c r="E7">
        <v>-310.92374999999998</v>
      </c>
      <c r="F7">
        <v>32944.309000000001</v>
      </c>
      <c r="G7">
        <v>0.67787436999999995</v>
      </c>
      <c r="I7">
        <f t="shared" si="20"/>
        <v>500</v>
      </c>
      <c r="J7" s="12">
        <f t="shared" si="0"/>
        <v>699.54482653116293</v>
      </c>
      <c r="K7" s="5">
        <f t="shared" si="2"/>
        <v>6.9954482653116296E-2</v>
      </c>
      <c r="L7" s="12">
        <f t="shared" si="1"/>
        <v>169.31001433983565</v>
      </c>
      <c r="M7" s="35">
        <f t="shared" si="3"/>
        <v>1.6931001433983565E-5</v>
      </c>
      <c r="N7" s="12">
        <f t="shared" si="4"/>
        <v>7.8761120907711274E-12</v>
      </c>
      <c r="O7" s="5">
        <f t="shared" si="5"/>
        <v>7.8761120907711278E-16</v>
      </c>
      <c r="P7" s="12">
        <f t="shared" si="6"/>
        <v>148.87652270685606</v>
      </c>
      <c r="Q7" s="35">
        <f t="shared" si="7"/>
        <v>1.4887652270685606E-5</v>
      </c>
      <c r="R7" s="12">
        <f t="shared" si="8"/>
        <v>325.60178795050609</v>
      </c>
      <c r="S7" s="5">
        <f t="shared" si="9"/>
        <v>3.2560178795050611E-2</v>
      </c>
      <c r="T7" s="12">
        <f t="shared" si="10"/>
        <v>240.1707836888084</v>
      </c>
      <c r="U7" s="35">
        <f t="shared" si="11"/>
        <v>2.401707836888084E-5</v>
      </c>
      <c r="V7" s="12">
        <f t="shared" si="12"/>
        <v>2666.5152307824155</v>
      </c>
      <c r="W7" s="5">
        <f t="shared" si="13"/>
        <v>0.26665152307824158</v>
      </c>
      <c r="X7" s="12">
        <f t="shared" si="14"/>
        <v>126.82763985822911</v>
      </c>
      <c r="Y7" s="35">
        <f t="shared" si="15"/>
        <v>1.2682763985822909E-5</v>
      </c>
      <c r="Z7" s="12">
        <f t="shared" si="16"/>
        <v>383.65820799659224</v>
      </c>
      <c r="AA7" s="5">
        <f t="shared" si="17"/>
        <v>3.8365820799659223E-2</v>
      </c>
      <c r="AB7" s="12">
        <f t="shared" si="18"/>
        <v>260.12399487748252</v>
      </c>
      <c r="AC7" s="35">
        <f t="shared" si="19"/>
        <v>2.6012399487748252E-5</v>
      </c>
    </row>
    <row r="8" spans="1:30" x14ac:dyDescent="0.3">
      <c r="A8" s="13" t="s">
        <v>67</v>
      </c>
      <c r="B8">
        <v>1000</v>
      </c>
      <c r="C8">
        <v>5000</v>
      </c>
      <c r="D8">
        <v>0.77485028</v>
      </c>
      <c r="E8">
        <v>-400.89627000000002</v>
      </c>
      <c r="F8">
        <v>-46551.082000000002</v>
      </c>
      <c r="G8">
        <v>2.5671480999999998</v>
      </c>
      <c r="I8">
        <f t="shared" si="20"/>
        <v>550</v>
      </c>
      <c r="J8" s="12">
        <f t="shared" si="0"/>
        <v>797.65110201444759</v>
      </c>
      <c r="K8" s="5">
        <f t="shared" si="2"/>
        <v>7.9765110201444764E-2</v>
      </c>
      <c r="L8" s="12">
        <f t="shared" si="1"/>
        <v>181.83594322960874</v>
      </c>
      <c r="M8" s="35">
        <f t="shared" si="3"/>
        <v>1.8183594322960873E-5</v>
      </c>
      <c r="N8" s="12">
        <f t="shared" si="4"/>
        <v>1.6525040177005409E-10</v>
      </c>
      <c r="O8" s="5">
        <f t="shared" si="5"/>
        <v>1.6525040177005408E-14</v>
      </c>
      <c r="P8" s="12">
        <f t="shared" si="6"/>
        <v>161.22586745931224</v>
      </c>
      <c r="Q8" s="35">
        <f t="shared" si="7"/>
        <v>1.6122586745931222E-5</v>
      </c>
      <c r="R8" s="12">
        <f t="shared" si="8"/>
        <v>364.7583854270606</v>
      </c>
      <c r="S8" s="5">
        <f t="shared" si="9"/>
        <v>3.6475838542706064E-2</v>
      </c>
      <c r="T8" s="12">
        <f t="shared" si="10"/>
        <v>260.42132479705185</v>
      </c>
      <c r="U8" s="35">
        <f t="shared" si="11"/>
        <v>2.6042132479705184E-5</v>
      </c>
      <c r="V8" s="12">
        <f t="shared" si="12"/>
        <v>2846.6684917077787</v>
      </c>
      <c r="W8" s="5">
        <f t="shared" si="13"/>
        <v>0.28466684917077789</v>
      </c>
      <c r="X8" s="12">
        <f t="shared" si="14"/>
        <v>135.39932368680857</v>
      </c>
      <c r="Y8" s="35">
        <f t="shared" si="15"/>
        <v>1.3539932368680856E-5</v>
      </c>
      <c r="Z8" s="12">
        <f t="shared" si="16"/>
        <v>411.7988062618748</v>
      </c>
      <c r="AA8" s="5">
        <f t="shared" si="17"/>
        <v>4.1179880626187479E-2</v>
      </c>
      <c r="AB8" s="12">
        <f t="shared" si="18"/>
        <v>278.01353479161253</v>
      </c>
      <c r="AC8" s="35">
        <f t="shared" si="19"/>
        <v>2.7801353479161252E-5</v>
      </c>
    </row>
    <row r="9" spans="1:30" x14ac:dyDescent="0.3">
      <c r="I9">
        <f t="shared" si="20"/>
        <v>600</v>
      </c>
      <c r="J9" s="12">
        <f t="shared" si="0"/>
        <v>898.26928573873283</v>
      </c>
      <c r="K9" s="5">
        <f t="shared" si="2"/>
        <v>8.9826928573873283E-2</v>
      </c>
      <c r="L9" s="12">
        <f t="shared" si="1"/>
        <v>193.833518867734</v>
      </c>
      <c r="M9" s="35">
        <f t="shared" si="3"/>
        <v>1.9383351886773399E-5</v>
      </c>
      <c r="N9" s="12">
        <f t="shared" si="4"/>
        <v>2.104362031846539E-9</v>
      </c>
      <c r="O9" s="5">
        <f t="shared" si="5"/>
        <v>2.104362031846539E-13</v>
      </c>
      <c r="P9" s="12">
        <f t="shared" si="6"/>
        <v>173.09616593387975</v>
      </c>
      <c r="Q9" s="35">
        <f t="shared" si="7"/>
        <v>1.7309616593387974E-5</v>
      </c>
      <c r="R9" s="12">
        <f t="shared" si="8"/>
        <v>403.1671190128302</v>
      </c>
      <c r="S9" s="5">
        <f t="shared" si="9"/>
        <v>4.0316711901283019E-2</v>
      </c>
      <c r="T9" s="12">
        <f t="shared" si="10"/>
        <v>279.87173862092607</v>
      </c>
      <c r="U9" s="35">
        <f t="shared" si="11"/>
        <v>2.7987173862092605E-5</v>
      </c>
      <c r="V9" s="12">
        <f t="shared" si="12"/>
        <v>3024.7027547913817</v>
      </c>
      <c r="W9" s="5">
        <f t="shared" si="13"/>
        <v>0.30247027547913818</v>
      </c>
      <c r="X9" s="12">
        <f t="shared" si="14"/>
        <v>143.77061382695609</v>
      </c>
      <c r="Y9" s="35">
        <f t="shared" si="15"/>
        <v>1.437706138269561E-5</v>
      </c>
      <c r="Z9" s="12">
        <f t="shared" si="16"/>
        <v>439.38497217291672</v>
      </c>
      <c r="AA9" s="5">
        <f t="shared" si="17"/>
        <v>4.3938497217291671E-2</v>
      </c>
      <c r="AB9" s="12">
        <f t="shared" si="18"/>
        <v>295.23052350328402</v>
      </c>
      <c r="AC9" s="35">
        <f t="shared" si="19"/>
        <v>2.9523052350328399E-5</v>
      </c>
    </row>
    <row r="10" spans="1:30" x14ac:dyDescent="0.3">
      <c r="A10" s="11" t="s">
        <v>111</v>
      </c>
      <c r="I10">
        <f t="shared" si="20"/>
        <v>650</v>
      </c>
      <c r="J10" s="12">
        <f t="shared" si="0"/>
        <v>1000.9889923746504</v>
      </c>
      <c r="K10" s="5">
        <f t="shared" si="2"/>
        <v>0.10009889923746504</v>
      </c>
      <c r="L10" s="12">
        <f t="shared" si="1"/>
        <v>205.36626345330234</v>
      </c>
      <c r="M10" s="35">
        <f t="shared" si="3"/>
        <v>2.0536626345330234E-5</v>
      </c>
      <c r="N10" s="12">
        <f t="shared" si="4"/>
        <v>1.8233520054570623E-8</v>
      </c>
      <c r="O10" s="5">
        <f t="shared" si="5"/>
        <v>1.8233520054570622E-12</v>
      </c>
      <c r="P10" s="12">
        <f t="shared" si="6"/>
        <v>184.53852302025544</v>
      </c>
      <c r="Q10" s="35">
        <f t="shared" si="7"/>
        <v>1.8453852302025544E-5</v>
      </c>
      <c r="R10" s="12">
        <f t="shared" si="8"/>
        <v>440.75447802547797</v>
      </c>
      <c r="S10" s="5">
        <f t="shared" si="9"/>
        <v>4.4075447802547796E-2</v>
      </c>
      <c r="T10" s="12">
        <f t="shared" si="10"/>
        <v>298.58478534896744</v>
      </c>
      <c r="U10" s="35">
        <f t="shared" si="11"/>
        <v>2.9858478534896744E-5</v>
      </c>
      <c r="V10" s="12">
        <f t="shared" si="12"/>
        <v>3201.4035544935005</v>
      </c>
      <c r="W10" s="5">
        <f t="shared" si="13"/>
        <v>0.32014035544935004</v>
      </c>
      <c r="X10" s="12">
        <f t="shared" si="14"/>
        <v>151.96469093854174</v>
      </c>
      <c r="Y10" s="35">
        <f t="shared" si="15"/>
        <v>1.5196469093854172E-5</v>
      </c>
      <c r="Z10" s="12">
        <f t="shared" si="16"/>
        <v>466.50995214853015</v>
      </c>
      <c r="AA10" s="5">
        <f t="shared" si="17"/>
        <v>4.6650995214853018E-2</v>
      </c>
      <c r="AB10" s="12">
        <f t="shared" si="18"/>
        <v>311.85957088539988</v>
      </c>
      <c r="AC10" s="35">
        <f t="shared" si="19"/>
        <v>3.1185957088539986E-5</v>
      </c>
    </row>
    <row r="11" spans="1:30" x14ac:dyDescent="0.3">
      <c r="A11" s="1" t="s">
        <v>60</v>
      </c>
      <c r="B11" s="1" t="s">
        <v>61</v>
      </c>
      <c r="C11" s="1" t="s">
        <v>62</v>
      </c>
      <c r="D11" s="1" t="s">
        <v>63</v>
      </c>
      <c r="E11" s="1" t="s">
        <v>64</v>
      </c>
      <c r="F11" s="1" t="s">
        <v>11</v>
      </c>
      <c r="G11" s="1" t="s">
        <v>65</v>
      </c>
      <c r="I11">
        <f t="shared" si="20"/>
        <v>700</v>
      </c>
      <c r="J11" s="12">
        <f t="shared" si="0"/>
        <v>1105.4888000162955</v>
      </c>
      <c r="K11" s="5">
        <f t="shared" si="2"/>
        <v>0.11054888000162956</v>
      </c>
      <c r="L11" s="12">
        <f t="shared" si="1"/>
        <v>216.48625762371253</v>
      </c>
      <c r="M11" s="35">
        <f t="shared" si="3"/>
        <v>2.1648625762371252E-5</v>
      </c>
      <c r="N11" s="12">
        <f t="shared" si="4"/>
        <v>1.1666161356309E-7</v>
      </c>
      <c r="O11" s="5">
        <f t="shared" si="5"/>
        <v>1.1666161356308999E-11</v>
      </c>
      <c r="P11" s="12">
        <f t="shared" si="6"/>
        <v>195.59628645867664</v>
      </c>
      <c r="Q11" s="35">
        <f t="shared" si="7"/>
        <v>1.9559628645867662E-5</v>
      </c>
      <c r="R11" s="12">
        <f t="shared" si="8"/>
        <v>477.48785277358684</v>
      </c>
      <c r="S11" s="5">
        <f t="shared" si="9"/>
        <v>4.7748785277358687E-2</v>
      </c>
      <c r="T11" s="12">
        <f t="shared" si="10"/>
        <v>316.61977751033908</v>
      </c>
      <c r="U11" s="35">
        <f t="shared" si="11"/>
        <v>3.1661977751033906E-5</v>
      </c>
      <c r="V11" s="12">
        <f t="shared" si="12"/>
        <v>3377.2623843922261</v>
      </c>
      <c r="W11" s="5">
        <f t="shared" si="13"/>
        <v>0.33772623843922261</v>
      </c>
      <c r="X11" s="12">
        <f t="shared" si="14"/>
        <v>160.00003188881081</v>
      </c>
      <c r="Y11" s="35">
        <f t="shared" si="15"/>
        <v>1.6000003188881081E-5</v>
      </c>
      <c r="Z11" s="12">
        <f t="shared" si="16"/>
        <v>493.24142408919636</v>
      </c>
      <c r="AA11" s="5">
        <f t="shared" si="17"/>
        <v>4.9324142408919636E-2</v>
      </c>
      <c r="AB11" s="12">
        <f t="shared" si="18"/>
        <v>327.96845146705306</v>
      </c>
      <c r="AC11" s="35">
        <f t="shared" si="19"/>
        <v>3.2796845146705307E-5</v>
      </c>
    </row>
    <row r="12" spans="1:30" x14ac:dyDescent="0.3">
      <c r="A12" s="13" t="s">
        <v>66</v>
      </c>
      <c r="B12">
        <v>200</v>
      </c>
      <c r="C12">
        <v>1000</v>
      </c>
      <c r="D12">
        <v>0.59089347999999997</v>
      </c>
      <c r="E12">
        <v>-139.94405</v>
      </c>
      <c r="F12">
        <v>2986.8373999999999</v>
      </c>
      <c r="G12">
        <v>1.5988865999999999</v>
      </c>
      <c r="I12">
        <f t="shared" si="20"/>
        <v>750</v>
      </c>
      <c r="J12" s="12">
        <f t="shared" si="0"/>
        <v>1211.5128593283109</v>
      </c>
      <c r="K12" s="5">
        <f t="shared" si="2"/>
        <v>0.1211512859328311</v>
      </c>
      <c r="L12" s="12">
        <f t="shared" si="1"/>
        <v>227.23675209856552</v>
      </c>
      <c r="M12" s="35">
        <f t="shared" si="3"/>
        <v>2.2723675209856552E-5</v>
      </c>
      <c r="N12" s="12">
        <f t="shared" si="4"/>
        <v>5.8534274020013457E-7</v>
      </c>
      <c r="O12" s="5">
        <f t="shared" si="5"/>
        <v>5.8534274020013456E-11</v>
      </c>
      <c r="P12" s="12">
        <f t="shared" si="6"/>
        <v>206.30642454468733</v>
      </c>
      <c r="Q12" s="35">
        <f t="shared" si="7"/>
        <v>2.0630642454468731E-5</v>
      </c>
      <c r="R12" s="12">
        <f t="shared" si="8"/>
        <v>513.36075207427496</v>
      </c>
      <c r="S12" s="5">
        <f t="shared" si="9"/>
        <v>5.1336075207427501E-2</v>
      </c>
      <c r="T12" s="12">
        <f t="shared" si="10"/>
        <v>334.03127981944363</v>
      </c>
      <c r="U12" s="35">
        <f t="shared" si="11"/>
        <v>3.3403127981944363E-5</v>
      </c>
      <c r="V12" s="12">
        <f t="shared" si="12"/>
        <v>3552.5954308309997</v>
      </c>
      <c r="W12" s="5">
        <f t="shared" si="13"/>
        <v>0.35525954308309998</v>
      </c>
      <c r="X12" s="12">
        <f t="shared" si="14"/>
        <v>167.89172073852853</v>
      </c>
      <c r="Y12" s="35">
        <f t="shared" si="15"/>
        <v>1.6789172073852852E-5</v>
      </c>
      <c r="Z12" s="12">
        <f t="shared" si="16"/>
        <v>519.63022736248831</v>
      </c>
      <c r="AA12" s="5">
        <f t="shared" si="17"/>
        <v>5.196302273624883E-2</v>
      </c>
      <c r="AB12" s="12">
        <f t="shared" si="18"/>
        <v>343.61248553021773</v>
      </c>
      <c r="AC12" s="35">
        <f t="shared" si="19"/>
        <v>3.436124855302177E-5</v>
      </c>
    </row>
    <row r="13" spans="1:30" x14ac:dyDescent="0.3">
      <c r="A13" s="13" t="s">
        <v>66</v>
      </c>
      <c r="B13">
        <v>1000</v>
      </c>
      <c r="C13">
        <v>5000</v>
      </c>
      <c r="D13">
        <v>0.66061323000000005</v>
      </c>
      <c r="E13">
        <v>41.062220000000003</v>
      </c>
      <c r="F13">
        <v>-52656.212</v>
      </c>
      <c r="G13">
        <v>0.99191640000000003</v>
      </c>
      <c r="I13">
        <f t="shared" si="20"/>
        <v>800</v>
      </c>
      <c r="J13" s="12">
        <f t="shared" si="0"/>
        <v>1318.8546766413481</v>
      </c>
      <c r="K13" s="5">
        <f t="shared" si="2"/>
        <v>0.13188546766413481</v>
      </c>
      <c r="L13" s="12">
        <f t="shared" si="1"/>
        <v>237.65408068193429</v>
      </c>
      <c r="M13" s="35">
        <f t="shared" si="3"/>
        <v>2.3765408068193426E-5</v>
      </c>
      <c r="N13" s="12">
        <f t="shared" si="4"/>
        <v>2.4095993376245058E-6</v>
      </c>
      <c r="O13" s="5">
        <f t="shared" si="5"/>
        <v>2.4095993376245057E-10</v>
      </c>
      <c r="P13" s="12">
        <f t="shared" si="6"/>
        <v>216.70066063386224</v>
      </c>
      <c r="Q13" s="35">
        <f t="shared" si="7"/>
        <v>2.1670066063386225E-5</v>
      </c>
      <c r="R13" s="12">
        <f t="shared" si="8"/>
        <v>548.38322076130373</v>
      </c>
      <c r="S13" s="5">
        <f t="shared" si="9"/>
        <v>5.4838322076130375E-2</v>
      </c>
      <c r="T13" s="12">
        <f t="shared" si="10"/>
        <v>350.86880102991012</v>
      </c>
      <c r="U13" s="35">
        <f t="shared" si="11"/>
        <v>3.508688010299101E-5</v>
      </c>
      <c r="V13" s="12">
        <f t="shared" si="12"/>
        <v>3727.6108369629842</v>
      </c>
      <c r="W13" s="5">
        <f t="shared" si="13"/>
        <v>0.37276108369629846</v>
      </c>
      <c r="X13" s="12">
        <f t="shared" si="14"/>
        <v>175.65231209349318</v>
      </c>
      <c r="Y13" s="35">
        <f t="shared" si="15"/>
        <v>1.7565231209349316E-5</v>
      </c>
      <c r="Z13" s="12">
        <f t="shared" si="16"/>
        <v>545.71569118581817</v>
      </c>
      <c r="AA13" s="5">
        <f t="shared" si="17"/>
        <v>5.4571569118581818E-2</v>
      </c>
      <c r="AB13" s="12">
        <f t="shared" si="18"/>
        <v>358.8375527254604</v>
      </c>
      <c r="AC13" s="35">
        <f t="shared" si="19"/>
        <v>3.5883755272546038E-5</v>
      </c>
    </row>
    <row r="14" spans="1:30" x14ac:dyDescent="0.3">
      <c r="A14" s="13" t="s">
        <v>67</v>
      </c>
      <c r="B14">
        <v>200</v>
      </c>
      <c r="C14">
        <v>1000</v>
      </c>
      <c r="D14">
        <v>0.7086749</v>
      </c>
      <c r="E14">
        <v>-16563</v>
      </c>
      <c r="F14">
        <v>50951.025999999998</v>
      </c>
      <c r="G14">
        <v>2.9508724000000002</v>
      </c>
      <c r="I14">
        <f t="shared" si="20"/>
        <v>850</v>
      </c>
      <c r="J14" s="12">
        <f t="shared" si="0"/>
        <v>1427.3455617224949</v>
      </c>
      <c r="K14" s="5">
        <f t="shared" si="2"/>
        <v>0.1427345561722495</v>
      </c>
      <c r="L14" s="12">
        <f t="shared" si="1"/>
        <v>247.76908371381217</v>
      </c>
      <c r="M14" s="35">
        <f t="shared" si="3"/>
        <v>2.4776908371381215E-5</v>
      </c>
      <c r="N14" s="12">
        <f t="shared" si="4"/>
        <v>8.4249770456380473E-6</v>
      </c>
      <c r="O14" s="5">
        <f t="shared" si="5"/>
        <v>8.4249770456380476E-10</v>
      </c>
      <c r="P14" s="12">
        <f t="shared" si="6"/>
        <v>226.80639138110737</v>
      </c>
      <c r="Q14" s="35">
        <f t="shared" si="7"/>
        <v>2.2680639138110736E-5</v>
      </c>
      <c r="R14" s="12">
        <f t="shared" si="8"/>
        <v>582.57557042552116</v>
      </c>
      <c r="S14" s="5">
        <f t="shared" si="9"/>
        <v>5.8257557042552116E-2</v>
      </c>
      <c r="T14" s="12">
        <f t="shared" si="10"/>
        <v>367.17695223215361</v>
      </c>
      <c r="U14" s="35">
        <f t="shared" si="11"/>
        <v>3.6717695223215362E-5</v>
      </c>
      <c r="V14" s="12">
        <f t="shared" si="12"/>
        <v>3902.4482174012273</v>
      </c>
      <c r="W14" s="5">
        <f t="shared" si="13"/>
        <v>0.39024482174012276</v>
      </c>
      <c r="X14" s="12">
        <f t="shared" si="14"/>
        <v>183.29242264650574</v>
      </c>
      <c r="Y14" s="35">
        <f t="shared" si="15"/>
        <v>1.8329242264650574E-5</v>
      </c>
      <c r="Z14" s="12">
        <f>EXP(D$35*LN(I14)+E$35/I14+F$35/I14^2+G$35)</f>
        <v>571.52901663255716</v>
      </c>
      <c r="AA14" s="5">
        <f t="shared" si="17"/>
        <v>5.715290166325572E-2</v>
      </c>
      <c r="AB14" s="12">
        <f t="shared" si="18"/>
        <v>373.68222590959556</v>
      </c>
      <c r="AC14" s="35">
        <f t="shared" si="19"/>
        <v>3.7368222590959552E-5</v>
      </c>
    </row>
    <row r="15" spans="1:30" x14ac:dyDescent="0.3">
      <c r="A15" s="13" t="s">
        <v>67</v>
      </c>
      <c r="B15">
        <v>1000</v>
      </c>
      <c r="C15">
        <v>5000</v>
      </c>
      <c r="D15">
        <v>0.57947247000000002</v>
      </c>
      <c r="E15">
        <v>-649.90228000000002</v>
      </c>
      <c r="F15">
        <v>-3780.6714000000002</v>
      </c>
      <c r="G15">
        <v>3.9178394999999999</v>
      </c>
      <c r="I15">
        <f t="shared" si="20"/>
        <v>900</v>
      </c>
      <c r="J15" s="12">
        <f t="shared" si="0"/>
        <v>1536.8462164368987</v>
      </c>
      <c r="K15" s="5">
        <f t="shared" si="2"/>
        <v>0.15368462164368987</v>
      </c>
      <c r="L15" s="12">
        <f t="shared" si="1"/>
        <v>257.60818329375184</v>
      </c>
      <c r="M15" s="35">
        <f t="shared" si="3"/>
        <v>2.5760818329375184E-5</v>
      </c>
      <c r="N15" s="12">
        <f t="shared" si="4"/>
        <v>2.5703792639248458E-5</v>
      </c>
      <c r="O15" s="5">
        <f t="shared" si="5"/>
        <v>2.5703792639248458E-9</v>
      </c>
      <c r="P15" s="12">
        <f t="shared" si="6"/>
        <v>236.64742582370789</v>
      </c>
      <c r="Q15" s="35">
        <f t="shared" si="7"/>
        <v>2.3664742582370786E-5</v>
      </c>
      <c r="R15" s="12">
        <f t="shared" si="8"/>
        <v>615.96425125701762</v>
      </c>
      <c r="S15" s="5">
        <f t="shared" si="9"/>
        <v>6.1596425125701765E-2</v>
      </c>
      <c r="T15" s="12">
        <f t="shared" si="10"/>
        <v>382.99580858743604</v>
      </c>
      <c r="U15" s="35">
        <f t="shared" si="11"/>
        <v>3.8299580858743605E-5</v>
      </c>
      <c r="V15" s="12">
        <f t="shared" si="12"/>
        <v>4077.2026241893027</v>
      </c>
      <c r="W15" s="5">
        <f t="shared" si="13"/>
        <v>0.40772026241893028</v>
      </c>
      <c r="X15" s="12">
        <f t="shared" si="14"/>
        <v>190.82115021886614</v>
      </c>
      <c r="Y15" s="35">
        <f t="shared" si="15"/>
        <v>1.9082115021886612E-5</v>
      </c>
      <c r="Z15" s="12">
        <f t="shared" si="16"/>
        <v>597.09549845231209</v>
      </c>
      <c r="AA15" s="5">
        <f t="shared" si="17"/>
        <v>5.9709549845231212E-2</v>
      </c>
      <c r="AB15" s="12">
        <f>EXP(D$33*LN(I15)+E$33/I15+F$33/I15^2+G$33)</f>
        <v>388.17932014343899</v>
      </c>
      <c r="AC15" s="35">
        <f t="shared" si="19"/>
        <v>3.8817932014343894E-5</v>
      </c>
    </row>
    <row r="16" spans="1:30" x14ac:dyDescent="0.3">
      <c r="I16">
        <f t="shared" si="20"/>
        <v>950</v>
      </c>
      <c r="J16" s="12">
        <f t="shared" si="0"/>
        <v>1647.2404970258256</v>
      </c>
      <c r="K16" s="5">
        <f t="shared" si="2"/>
        <v>0.16472404970258256</v>
      </c>
      <c r="L16" s="12">
        <f t="shared" si="1"/>
        <v>267.19420698859523</v>
      </c>
      <c r="M16" s="35">
        <f t="shared" si="3"/>
        <v>2.6719420698859521E-5</v>
      </c>
      <c r="N16" s="12">
        <f t="shared" si="4"/>
        <v>6.9902684797078468E-5</v>
      </c>
      <c r="O16" s="5">
        <f t="shared" si="5"/>
        <v>6.9902684797078472E-9</v>
      </c>
      <c r="P16" s="12">
        <f t="shared" si="6"/>
        <v>246.24458042255034</v>
      </c>
      <c r="Q16" s="35">
        <f t="shared" si="7"/>
        <v>2.4624458042255034E-5</v>
      </c>
      <c r="R16" s="12">
        <f t="shared" si="8"/>
        <v>648.57912466515734</v>
      </c>
      <c r="S16" s="5">
        <f t="shared" si="9"/>
        <v>6.4857912466515732E-2</v>
      </c>
      <c r="T16" s="12">
        <f t="shared" si="10"/>
        <v>398.3613424832883</v>
      </c>
      <c r="U16" s="35">
        <f t="shared" si="11"/>
        <v>3.9836134248328826E-5</v>
      </c>
      <c r="V16" s="12">
        <f t="shared" si="12"/>
        <v>4251.9394971073743</v>
      </c>
      <c r="W16" s="5">
        <f t="shared" si="13"/>
        <v>0.42519394971073743</v>
      </c>
      <c r="X16" s="12">
        <f t="shared" si="14"/>
        <v>198.24637911766521</v>
      </c>
      <c r="Y16" s="35">
        <f t="shared" si="15"/>
        <v>1.982463791176652E-5</v>
      </c>
      <c r="Z16" s="12">
        <f t="shared" si="16"/>
        <v>622.43602990377269</v>
      </c>
      <c r="AA16" s="5">
        <f t="shared" si="17"/>
        <v>6.2243602990377275E-2</v>
      </c>
      <c r="AB16" s="12">
        <f t="shared" si="18"/>
        <v>402.35704173373205</v>
      </c>
      <c r="AC16" s="35">
        <f t="shared" si="19"/>
        <v>4.02357041733732E-5</v>
      </c>
    </row>
    <row r="17" spans="1:29" x14ac:dyDescent="0.3">
      <c r="A17" s="11" t="s">
        <v>2</v>
      </c>
      <c r="I17">
        <f t="shared" si="20"/>
        <v>1000</v>
      </c>
      <c r="J17" s="12">
        <f t="shared" si="0"/>
        <v>1758.4307146648102</v>
      </c>
      <c r="K17" s="5">
        <f t="shared" si="2"/>
        <v>0.17584307146648104</v>
      </c>
      <c r="L17" s="12">
        <f t="shared" si="1"/>
        <v>276.54702716178139</v>
      </c>
      <c r="M17" s="35">
        <f t="shared" si="3"/>
        <v>2.7654702716178138E-5</v>
      </c>
      <c r="N17" s="12">
        <f t="shared" si="4"/>
        <v>1.7237748728713987E-4</v>
      </c>
      <c r="O17" s="5">
        <f t="shared" si="5"/>
        <v>1.723774872871399E-8</v>
      </c>
      <c r="P17" s="12">
        <f t="shared" si="6"/>
        <v>255.61615971731854</v>
      </c>
      <c r="Q17" s="35">
        <f t="shared" si="7"/>
        <v>2.5561615971731854E-5</v>
      </c>
      <c r="R17" s="12">
        <f t="shared" si="8"/>
        <v>680.45166208316152</v>
      </c>
      <c r="S17" s="5">
        <f t="shared" si="9"/>
        <v>6.804516620831616E-2</v>
      </c>
      <c r="T17" s="12">
        <f t="shared" si="10"/>
        <v>413.30586291039862</v>
      </c>
      <c r="U17" s="35">
        <f t="shared" si="11"/>
        <v>4.1330586291039859E-5</v>
      </c>
      <c r="V17" s="12">
        <f t="shared" si="12"/>
        <v>4426.7042247945674</v>
      </c>
      <c r="W17" s="5">
        <f t="shared" si="13"/>
        <v>0.44267042247945676</v>
      </c>
      <c r="X17" s="12">
        <f t="shared" si="14"/>
        <v>205.57500809907978</v>
      </c>
      <c r="Y17" s="35">
        <f t="shared" si="15"/>
        <v>2.0557500809907979E-5</v>
      </c>
      <c r="Z17" s="12">
        <f t="shared" si="16"/>
        <v>647.56815004108375</v>
      </c>
      <c r="AA17" s="5">
        <f t="shared" si="17"/>
        <v>6.4756815004108376E-2</v>
      </c>
      <c r="AB17" s="12">
        <f t="shared" si="18"/>
        <v>416.23985689766289</v>
      </c>
      <c r="AC17" s="35">
        <f t="shared" si="19"/>
        <v>4.162398568976629E-5</v>
      </c>
    </row>
    <row r="18" spans="1:29" x14ac:dyDescent="0.3">
      <c r="A18" s="1" t="s">
        <v>60</v>
      </c>
      <c r="B18" s="1" t="s">
        <v>61</v>
      </c>
      <c r="C18" s="1" t="s">
        <v>62</v>
      </c>
      <c r="D18" s="1" t="s">
        <v>63</v>
      </c>
      <c r="E18" s="1" t="s">
        <v>64</v>
      </c>
      <c r="F18" s="1" t="s">
        <v>11</v>
      </c>
      <c r="G18" s="1" t="s">
        <v>65</v>
      </c>
      <c r="I18">
        <f t="shared" si="20"/>
        <v>1050</v>
      </c>
      <c r="J18" s="12">
        <f t="shared" ref="J18:J35" si="21">EXP(D$8*LN(I18)+E$8/I18+F$8/I18^2+G$8)</f>
        <v>1869.4510477551057</v>
      </c>
      <c r="K18" s="5">
        <f t="shared" si="2"/>
        <v>0.18694510477551057</v>
      </c>
      <c r="L18" s="12">
        <f t="shared" ref="L18:L35" si="22">EXP(D$6*LN(I18)+E$6/I18+F$6/I18^2+G$6)</f>
        <v>285.70789679241</v>
      </c>
      <c r="M18" s="35">
        <f t="shared" si="3"/>
        <v>2.8570789679241E-5</v>
      </c>
      <c r="N18" s="12">
        <f>EXP(D$15*LN(I18)+E$15/I18+F$15/I18^2+G$15)</f>
        <v>1520.1774308059003</v>
      </c>
      <c r="O18" s="5">
        <f t="shared" si="5"/>
        <v>0.15201774308059005</v>
      </c>
      <c r="P18" s="12">
        <f>EXP(D$13*LN(I18)+E$13/I18+F$13/I18^2+G$13)</f>
        <v>264.7665500511942</v>
      </c>
      <c r="Q18" s="35">
        <f t="shared" si="7"/>
        <v>2.647665500511942E-5</v>
      </c>
      <c r="R18" s="12">
        <f>EXP(D$22*LN(I18)+E$22/I18+F$22/I18^2+G$22)</f>
        <v>711.58562818063058</v>
      </c>
      <c r="S18" s="5">
        <f t="shared" si="9"/>
        <v>7.1158562818063056E-2</v>
      </c>
      <c r="T18" s="12">
        <f>EXP(D$20*LN(I18)+E$20/I18+F$20/I18^2+G$20)</f>
        <v>427.89445744128017</v>
      </c>
      <c r="U18" s="35">
        <f t="shared" si="11"/>
        <v>4.2789445744128016E-5</v>
      </c>
      <c r="V18" s="12">
        <f>EXP(D$29*LN(I18)+E$29/I18+F$29/I18^2+G$29)</f>
        <v>4602.1223813545366</v>
      </c>
      <c r="W18" s="5">
        <f t="shared" si="13"/>
        <v>0.4602122381354537</v>
      </c>
      <c r="X18" s="12">
        <f>EXP(D$27*LN(I18)+E$27/I18+F$27/I18^2+G$27)</f>
        <v>212.76848941608583</v>
      </c>
      <c r="Y18" s="35">
        <f t="shared" si="15"/>
        <v>2.1276848941608581E-5</v>
      </c>
      <c r="Z18" s="12">
        <f>EXP(D$36*LN(I18)+E$36/I18+F$36/I18^2+G$36)</f>
        <v>672.53286720778362</v>
      </c>
      <c r="AA18" s="5">
        <f t="shared" si="17"/>
        <v>6.7253286720778363E-2</v>
      </c>
      <c r="AB18" s="12">
        <f t="shared" si="18"/>
        <v>429.84915954404778</v>
      </c>
      <c r="AC18" s="35">
        <f t="shared" si="19"/>
        <v>4.2984915954404778E-5</v>
      </c>
    </row>
    <row r="19" spans="1:29" x14ac:dyDescent="0.3">
      <c r="A19" s="13" t="s">
        <v>66</v>
      </c>
      <c r="B19">
        <v>200</v>
      </c>
      <c r="C19">
        <v>1000</v>
      </c>
      <c r="D19">
        <v>0.51137257999999997</v>
      </c>
      <c r="E19">
        <v>-229.51320999999999</v>
      </c>
      <c r="F19">
        <v>13710.678</v>
      </c>
      <c r="G19">
        <v>2.7075537999999999</v>
      </c>
      <c r="I19">
        <f t="shared" si="20"/>
        <v>1100</v>
      </c>
      <c r="J19" s="12">
        <f t="shared" si="21"/>
        <v>1979.4062568852357</v>
      </c>
      <c r="K19" s="5">
        <f t="shared" si="2"/>
        <v>0.19794062568852358</v>
      </c>
      <c r="L19" s="12">
        <f t="shared" si="22"/>
        <v>294.71359091525454</v>
      </c>
      <c r="M19" s="35">
        <f t="shared" si="3"/>
        <v>2.9471359091525452E-5</v>
      </c>
      <c r="N19" s="12">
        <f t="shared" ref="N19:N35" si="23">EXP(D$15*LN(I19)+E$15/I19+F$15/I19^2+G$15)</f>
        <v>1606.7653901030603</v>
      </c>
      <c r="O19" s="5">
        <f t="shared" si="5"/>
        <v>0.16067653901030604</v>
      </c>
      <c r="P19" s="12">
        <f t="shared" ref="P19:P35" si="24">EXP(D$13*LN(I19)+E$13/I19+F$13/I19^2+G$13)</f>
        <v>273.70362296742297</v>
      </c>
      <c r="Q19" s="35">
        <f t="shared" si="7"/>
        <v>2.7370362296742297E-5</v>
      </c>
      <c r="R19" s="12">
        <f t="shared" ref="R19:R35" si="25">EXP(D$22*LN(I19)+E$22/I19+F$22/I19^2+G$22)</f>
        <v>742.00600704751514</v>
      </c>
      <c r="S19" s="5">
        <f t="shared" si="9"/>
        <v>7.4200600704751513E-2</v>
      </c>
      <c r="T19" s="12">
        <f t="shared" ref="T19:T35" si="26">EXP(D$20*LN(I19)+E$20/I19+F$20/I19^2+G$20)</f>
        <v>442.18834030382453</v>
      </c>
      <c r="U19" s="35">
        <f t="shared" si="11"/>
        <v>4.4218834030382452E-5</v>
      </c>
      <c r="V19" s="12">
        <f t="shared" ref="V19:V34" si="27">EXP(D$29*LN(I19)+E$29/I19+F$29/I19^2+G$29)</f>
        <v>4778.7052033996424</v>
      </c>
      <c r="W19" s="5">
        <f t="shared" si="13"/>
        <v>0.47787052033996424</v>
      </c>
      <c r="X19" s="12">
        <f t="shared" ref="X19:X35" si="28">EXP(D$27*LN(I19)+E$27/I19+F$27/I19^2+G$27)</f>
        <v>219.80455758778643</v>
      </c>
      <c r="Y19" s="35">
        <f t="shared" si="15"/>
        <v>2.1980455758778644E-5</v>
      </c>
      <c r="Z19" s="12">
        <f t="shared" ref="Z19:Z35" si="29">EXP(D$36*LN(I19)+E$36/I19+F$36/I19^2+G$36)</f>
        <v>697.36626783681925</v>
      </c>
      <c r="AA19" s="5">
        <f t="shared" si="17"/>
        <v>6.9736626783681935E-2</v>
      </c>
      <c r="AB19" s="12">
        <f t="shared" si="18"/>
        <v>443.20379231698143</v>
      </c>
      <c r="AC19" s="35">
        <f t="shared" si="19"/>
        <v>4.4320379231698144E-5</v>
      </c>
    </row>
    <row r="20" spans="1:29" x14ac:dyDescent="0.3">
      <c r="A20" s="13" t="s">
        <v>66</v>
      </c>
      <c r="B20">
        <v>1000</v>
      </c>
      <c r="C20">
        <v>5000</v>
      </c>
      <c r="D20">
        <v>0.63978285000000001</v>
      </c>
      <c r="E20">
        <v>-42.637076</v>
      </c>
      <c r="F20">
        <v>-15522.605</v>
      </c>
      <c r="G20">
        <v>1.6628843</v>
      </c>
      <c r="I20">
        <f t="shared" si="20"/>
        <v>1150</v>
      </c>
      <c r="J20" s="12">
        <f t="shared" si="21"/>
        <v>2088.3175781236478</v>
      </c>
      <c r="K20" s="5">
        <f t="shared" si="2"/>
        <v>0.20883175781236479</v>
      </c>
      <c r="L20" s="12">
        <f t="shared" si="22"/>
        <v>303.57453892443579</v>
      </c>
      <c r="M20" s="35">
        <f t="shared" si="3"/>
        <v>3.0357453892443576E-5</v>
      </c>
      <c r="N20" s="12">
        <f t="shared" si="23"/>
        <v>1692.0406479672374</v>
      </c>
      <c r="O20" s="5">
        <f t="shared" si="5"/>
        <v>0.16920406479672376</v>
      </c>
      <c r="P20" s="12">
        <f t="shared" si="24"/>
        <v>282.44677679034402</v>
      </c>
      <c r="Q20" s="35">
        <f t="shared" si="7"/>
        <v>2.8244677679034399E-5</v>
      </c>
      <c r="R20" s="12">
        <f t="shared" si="25"/>
        <v>771.77043564584289</v>
      </c>
      <c r="S20" s="5">
        <f t="shared" si="9"/>
        <v>7.7177043564584297E-2</v>
      </c>
      <c r="T20" s="12">
        <f t="shared" si="26"/>
        <v>456.20940042731655</v>
      </c>
      <c r="U20" s="35">
        <f t="shared" si="11"/>
        <v>4.5620940042731652E-5</v>
      </c>
      <c r="V20" s="12">
        <f t="shared" si="27"/>
        <v>4956.3333242481376</v>
      </c>
      <c r="W20" s="5">
        <f t="shared" si="13"/>
        <v>0.49563333242481378</v>
      </c>
      <c r="X20" s="12">
        <f t="shared" si="28"/>
        <v>226.70915352927005</v>
      </c>
      <c r="Y20" s="35">
        <f t="shared" si="15"/>
        <v>2.2670915352927005E-5</v>
      </c>
      <c r="Z20" s="12">
        <f t="shared" si="29"/>
        <v>722.07570872555834</v>
      </c>
      <c r="AA20" s="5">
        <f t="shared" si="17"/>
        <v>7.2207570872555832E-2</v>
      </c>
      <c r="AB20" s="12">
        <f>EXP(D$34*LN(I20)+E$34/I20+F$34/I20^2+G$34)</f>
        <v>456.04125163230026</v>
      </c>
      <c r="AC20" s="35">
        <f t="shared" si="19"/>
        <v>4.5604125163230026E-5</v>
      </c>
    </row>
    <row r="21" spans="1:29" x14ac:dyDescent="0.3">
      <c r="A21" s="13" t="s">
        <v>67</v>
      </c>
      <c r="B21">
        <v>200</v>
      </c>
      <c r="C21">
        <v>1000</v>
      </c>
      <c r="D21">
        <v>0.51435423999999996</v>
      </c>
      <c r="E21">
        <v>-474.44626</v>
      </c>
      <c r="F21">
        <v>31295.93</v>
      </c>
      <c r="G21">
        <v>3.4128739000000001</v>
      </c>
      <c r="I21">
        <f t="shared" si="20"/>
        <v>1200</v>
      </c>
      <c r="J21" s="12">
        <f t="shared" si="21"/>
        <v>2196.2107240295554</v>
      </c>
      <c r="K21" s="5">
        <f t="shared" si="2"/>
        <v>0.21962107240295556</v>
      </c>
      <c r="L21" s="12">
        <f t="shared" si="22"/>
        <v>312.2999441529887</v>
      </c>
      <c r="M21" s="35">
        <f t="shared" si="3"/>
        <v>3.1229994415298866E-5</v>
      </c>
      <c r="N21" s="12">
        <f t="shared" si="23"/>
        <v>1776.0252431449519</v>
      </c>
      <c r="O21" s="5">
        <f t="shared" si="5"/>
        <v>0.17760252431449519</v>
      </c>
      <c r="P21" s="12">
        <f t="shared" si="24"/>
        <v>291.01262822962349</v>
      </c>
      <c r="Q21" s="35">
        <f t="shared" si="7"/>
        <v>2.9101262822962346E-5</v>
      </c>
      <c r="R21" s="12">
        <f t="shared" si="25"/>
        <v>800.92964087683606</v>
      </c>
      <c r="S21" s="5">
        <f t="shared" si="9"/>
        <v>8.0092964087683613E-2</v>
      </c>
      <c r="T21" s="12">
        <f t="shared" si="26"/>
        <v>469.97682324314513</v>
      </c>
      <c r="U21" s="35">
        <f t="shared" si="11"/>
        <v>4.6997682324314512E-5</v>
      </c>
      <c r="V21" s="12">
        <f t="shared" si="27"/>
        <v>5134.9074924892366</v>
      </c>
      <c r="W21" s="5">
        <f t="shared" si="13"/>
        <v>0.51349074924892368</v>
      </c>
      <c r="X21" s="12">
        <f t="shared" si="28"/>
        <v>233.50312781621042</v>
      </c>
      <c r="Y21" s="35">
        <f t="shared" si="15"/>
        <v>2.335031278162104E-5</v>
      </c>
      <c r="Z21" s="12">
        <f t="shared" si="29"/>
        <v>746.66770730626786</v>
      </c>
      <c r="AA21" s="5">
        <f t="shared" si="17"/>
        <v>7.4666770730626789E-2</v>
      </c>
      <c r="AB21" s="12">
        <f t="shared" ref="AB21:AB35" si="30">EXP(D$34*LN(I21)+E$34/I21+F$34/I21^2+G$34)</f>
        <v>468.79510070716088</v>
      </c>
      <c r="AC21" s="35">
        <f t="shared" si="19"/>
        <v>4.6879510070716089E-5</v>
      </c>
    </row>
    <row r="22" spans="1:29" x14ac:dyDescent="0.3">
      <c r="A22" s="13" t="s">
        <v>67</v>
      </c>
      <c r="B22">
        <v>1000</v>
      </c>
      <c r="C22">
        <v>5000</v>
      </c>
      <c r="D22">
        <v>0.67510355</v>
      </c>
      <c r="E22">
        <v>-112.83945</v>
      </c>
      <c r="F22">
        <v>-69132.618000000002</v>
      </c>
      <c r="G22">
        <v>2.0412786999999999</v>
      </c>
      <c r="I22">
        <f t="shared" si="20"/>
        <v>1250</v>
      </c>
      <c r="J22" s="12">
        <f t="shared" si="21"/>
        <v>2303.1138792705451</v>
      </c>
      <c r="K22" s="5">
        <f t="shared" si="2"/>
        <v>0.23031138792705452</v>
      </c>
      <c r="L22" s="12">
        <f t="shared" si="22"/>
        <v>320.89800573221549</v>
      </c>
      <c r="M22" s="35">
        <f t="shared" si="3"/>
        <v>3.208980057322155E-5</v>
      </c>
      <c r="N22" s="12">
        <f t="shared" si="23"/>
        <v>1858.7464814668499</v>
      </c>
      <c r="O22" s="5">
        <f t="shared" si="5"/>
        <v>0.185874648146685</v>
      </c>
      <c r="P22" s="12">
        <f t="shared" si="24"/>
        <v>299.41552052574565</v>
      </c>
      <c r="Q22" s="35">
        <f t="shared" si="7"/>
        <v>2.9941552052574563E-5</v>
      </c>
      <c r="R22" s="12">
        <f t="shared" si="25"/>
        <v>829.5284273470935</v>
      </c>
      <c r="S22" s="5">
        <f t="shared" si="9"/>
        <v>8.2952842734709348E-2</v>
      </c>
      <c r="T22" s="12">
        <f t="shared" si="26"/>
        <v>483.50755900879187</v>
      </c>
      <c r="U22" s="35">
        <f t="shared" si="11"/>
        <v>4.8350755900879186E-5</v>
      </c>
      <c r="V22" s="12">
        <f t="shared" si="27"/>
        <v>5314.3441771148782</v>
      </c>
      <c r="W22" s="5">
        <f t="shared" si="13"/>
        <v>0.53143441771148781</v>
      </c>
      <c r="X22" s="12">
        <f t="shared" si="28"/>
        <v>240.2033631208385</v>
      </c>
      <c r="Y22" s="35">
        <f t="shared" si="15"/>
        <v>2.4020336312083848E-5</v>
      </c>
      <c r="Z22" s="12">
        <f t="shared" si="29"/>
        <v>771.14808095426349</v>
      </c>
      <c r="AA22" s="5">
        <f t="shared" si="17"/>
        <v>7.7114808095426354E-2</v>
      </c>
      <c r="AB22" s="12">
        <f t="shared" si="30"/>
        <v>481.35033621927579</v>
      </c>
      <c r="AC22" s="35">
        <f t="shared" si="19"/>
        <v>4.8135033621927575E-5</v>
      </c>
    </row>
    <row r="23" spans="1:29" x14ac:dyDescent="0.3">
      <c r="I23">
        <f t="shared" si="20"/>
        <v>1300</v>
      </c>
      <c r="J23" s="12">
        <f t="shared" si="21"/>
        <v>2409.0565354892256</v>
      </c>
      <c r="K23" s="5">
        <f t="shared" si="2"/>
        <v>0.24090565354892257</v>
      </c>
      <c r="L23" s="12">
        <f t="shared" si="22"/>
        <v>329.37607052286194</v>
      </c>
      <c r="M23" s="35">
        <f t="shared" si="3"/>
        <v>3.2937607052286192E-5</v>
      </c>
      <c r="N23" s="12">
        <f t="shared" si="23"/>
        <v>1940.2351724059902</v>
      </c>
      <c r="O23" s="5">
        <f t="shared" si="5"/>
        <v>0.19402351724059902</v>
      </c>
      <c r="P23" s="12">
        <f t="shared" si="24"/>
        <v>307.66792392847793</v>
      </c>
      <c r="Q23" s="35">
        <f t="shared" si="7"/>
        <v>3.0766792392847792E-5</v>
      </c>
      <c r="R23" s="12">
        <f t="shared" si="25"/>
        <v>857.60653143048523</v>
      </c>
      <c r="S23" s="5">
        <f t="shared" si="9"/>
        <v>8.5760653143048524E-2</v>
      </c>
      <c r="T23" s="12">
        <f t="shared" si="26"/>
        <v>496.81667367652614</v>
      </c>
      <c r="U23" s="35">
        <f t="shared" si="11"/>
        <v>4.968166736765261E-5</v>
      </c>
      <c r="V23" s="12">
        <f t="shared" si="27"/>
        <v>5494.5724022810873</v>
      </c>
      <c r="W23" s="5">
        <f t="shared" si="13"/>
        <v>0.54945724022810871</v>
      </c>
      <c r="X23" s="12">
        <f t="shared" si="28"/>
        <v>246.82362784327495</v>
      </c>
      <c r="Y23" s="35">
        <f t="shared" si="15"/>
        <v>2.4682362784327493E-5</v>
      </c>
      <c r="Z23" s="12">
        <f t="shared" si="29"/>
        <v>795.52206095568283</v>
      </c>
      <c r="AA23" s="5">
        <f t="shared" si="17"/>
        <v>7.955220609556829E-2</v>
      </c>
      <c r="AB23" s="12">
        <f t="shared" si="30"/>
        <v>493.7324078319283</v>
      </c>
      <c r="AC23" s="35">
        <f t="shared" si="19"/>
        <v>4.9373240783192826E-5</v>
      </c>
    </row>
    <row r="24" spans="1:29" x14ac:dyDescent="0.3">
      <c r="A24" s="11" t="s">
        <v>1</v>
      </c>
      <c r="I24">
        <f t="shared" si="20"/>
        <v>1350</v>
      </c>
      <c r="J24" s="12">
        <f t="shared" si="21"/>
        <v>2514.0686799126138</v>
      </c>
      <c r="K24" s="5">
        <f t="shared" si="2"/>
        <v>0.25140686799126138</v>
      </c>
      <c r="L24" s="12">
        <f t="shared" si="22"/>
        <v>337.7407562391794</v>
      </c>
      <c r="M24" s="35">
        <f t="shared" si="3"/>
        <v>3.3774075623917941E-5</v>
      </c>
      <c r="N24" s="12">
        <f t="shared" si="23"/>
        <v>2020.5243266207326</v>
      </c>
      <c r="O24" s="5">
        <f t="shared" si="5"/>
        <v>0.20205243266207326</v>
      </c>
      <c r="P24" s="12">
        <f t="shared" si="24"/>
        <v>315.78075292343101</v>
      </c>
      <c r="Q24" s="35">
        <f t="shared" si="7"/>
        <v>3.1578075292343102E-5</v>
      </c>
      <c r="R24" s="12">
        <f t="shared" si="25"/>
        <v>885.19933766636109</v>
      </c>
      <c r="S24" s="5">
        <f t="shared" si="9"/>
        <v>8.8519933766636111E-2</v>
      </c>
      <c r="T24" s="12">
        <f t="shared" si="26"/>
        <v>509.91763225716659</v>
      </c>
      <c r="U24" s="35">
        <f t="shared" si="11"/>
        <v>5.0991763225716656E-5</v>
      </c>
      <c r="V24" s="12">
        <f t="shared" si="27"/>
        <v>5675.5313298892424</v>
      </c>
      <c r="W24" s="5">
        <f t="shared" si="13"/>
        <v>0.56755313298892429</v>
      </c>
      <c r="X24" s="12">
        <f t="shared" si="28"/>
        <v>253.37522794298451</v>
      </c>
      <c r="Y24" s="35">
        <f t="shared" si="15"/>
        <v>2.5337522794298451E-5</v>
      </c>
      <c r="Z24" s="12">
        <f t="shared" si="29"/>
        <v>819.79438234875124</v>
      </c>
      <c r="AA24" s="5">
        <f t="shared" si="17"/>
        <v>8.1979438234875135E-2</v>
      </c>
      <c r="AB24" s="12">
        <f t="shared" si="30"/>
        <v>505.96233819622768</v>
      </c>
      <c r="AC24" s="35">
        <f t="shared" si="19"/>
        <v>5.0596233819622763E-5</v>
      </c>
    </row>
    <row r="25" spans="1:29" x14ac:dyDescent="0.3">
      <c r="A25" s="1" t="s">
        <v>60</v>
      </c>
      <c r="B25" s="1" t="s">
        <v>61</v>
      </c>
      <c r="C25" s="1" t="s">
        <v>62</v>
      </c>
      <c r="D25" s="1" t="s">
        <v>63</v>
      </c>
      <c r="E25" s="1" t="s">
        <v>64</v>
      </c>
      <c r="F25" s="1" t="s">
        <v>11</v>
      </c>
      <c r="G25" s="1" t="s">
        <v>65</v>
      </c>
      <c r="I25">
        <f t="shared" si="20"/>
        <v>1400</v>
      </c>
      <c r="J25" s="12">
        <f t="shared" si="21"/>
        <v>2618.1802339494034</v>
      </c>
      <c r="K25" s="5">
        <f t="shared" si="2"/>
        <v>0.26181802339494037</v>
      </c>
      <c r="L25" s="12">
        <f t="shared" si="22"/>
        <v>345.99805222240133</v>
      </c>
      <c r="M25" s="35">
        <f t="shared" si="3"/>
        <v>3.4599805222240128E-5</v>
      </c>
      <c r="N25" s="12">
        <f t="shared" si="23"/>
        <v>2099.6481949083977</v>
      </c>
      <c r="O25" s="5">
        <f t="shared" si="5"/>
        <v>0.20996481949083978</v>
      </c>
      <c r="P25" s="12">
        <f t="shared" si="24"/>
        <v>323.76361973057254</v>
      </c>
      <c r="Q25" s="35">
        <f t="shared" si="7"/>
        <v>3.2376361973057251E-5</v>
      </c>
      <c r="R25" s="12">
        <f t="shared" si="25"/>
        <v>912.33848018377046</v>
      </c>
      <c r="S25" s="5">
        <f t="shared" si="9"/>
        <v>9.1233848018377056E-2</v>
      </c>
      <c r="T25" s="12">
        <f t="shared" si="26"/>
        <v>522.82252977601161</v>
      </c>
      <c r="U25" s="35">
        <f t="shared" si="11"/>
        <v>5.228225297760116E-5</v>
      </c>
      <c r="V25" s="12">
        <f t="shared" si="27"/>
        <v>5857.1683904220345</v>
      </c>
      <c r="W25" s="5">
        <f t="shared" si="13"/>
        <v>0.58571683904220351</v>
      </c>
      <c r="X25" s="12">
        <f t="shared" si="28"/>
        <v>259.8675083085995</v>
      </c>
      <c r="Y25" s="35">
        <f t="shared" si="15"/>
        <v>2.5986750830859947E-5</v>
      </c>
      <c r="Z25" s="12">
        <f t="shared" si="29"/>
        <v>843.96935572595851</v>
      </c>
      <c r="AA25" s="5">
        <f t="shared" si="17"/>
        <v>8.4396935572595852E-2</v>
      </c>
      <c r="AB25" s="12">
        <f t="shared" si="30"/>
        <v>518.05762030686844</v>
      </c>
      <c r="AC25" s="35">
        <f t="shared" si="19"/>
        <v>5.1805762030686839E-5</v>
      </c>
    </row>
    <row r="26" spans="1:29" x14ac:dyDescent="0.3">
      <c r="A26" s="13" t="s">
        <v>66</v>
      </c>
      <c r="B26">
        <v>200</v>
      </c>
      <c r="C26">
        <v>1000</v>
      </c>
      <c r="D26">
        <v>0.74553181999999996</v>
      </c>
      <c r="E26">
        <v>43.555109000000002</v>
      </c>
      <c r="F26">
        <v>-3257.9340000000002</v>
      </c>
      <c r="G26">
        <v>0.13556243000000001</v>
      </c>
      <c r="I26">
        <f t="shared" si="20"/>
        <v>1450</v>
      </c>
      <c r="J26" s="12">
        <f t="shared" si="21"/>
        <v>2721.4206693439683</v>
      </c>
      <c r="K26" s="5">
        <f t="shared" si="2"/>
        <v>0.27214206693439685</v>
      </c>
      <c r="L26" s="12">
        <f t="shared" si="22"/>
        <v>354.15340267220728</v>
      </c>
      <c r="M26" s="35">
        <f t="shared" si="3"/>
        <v>3.5415340267220723E-5</v>
      </c>
      <c r="N26" s="12">
        <f t="shared" si="23"/>
        <v>2177.6415611720445</v>
      </c>
      <c r="O26" s="5">
        <f t="shared" si="5"/>
        <v>0.21776415611720445</v>
      </c>
      <c r="P26" s="12">
        <f t="shared" si="24"/>
        <v>331.6250385741659</v>
      </c>
      <c r="Q26" s="35">
        <f t="shared" si="7"/>
        <v>3.316250385741659E-5</v>
      </c>
      <c r="R26" s="12">
        <f t="shared" si="25"/>
        <v>939.05234860365613</v>
      </c>
      <c r="S26" s="5">
        <f t="shared" si="9"/>
        <v>9.3905234860365616E-2</v>
      </c>
      <c r="T26" s="12">
        <f t="shared" si="26"/>
        <v>535.54228112115686</v>
      </c>
      <c r="U26" s="35">
        <f t="shared" si="11"/>
        <v>5.3554228112115686E-5</v>
      </c>
      <c r="V26" s="12">
        <f t="shared" si="27"/>
        <v>6039.4378212444453</v>
      </c>
      <c r="W26" s="5">
        <f t="shared" si="13"/>
        <v>0.60394378212444455</v>
      </c>
      <c r="X26" s="12">
        <f t="shared" si="28"/>
        <v>266.3082411984484</v>
      </c>
      <c r="Y26" s="35">
        <f t="shared" si="15"/>
        <v>2.663082411984484E-5</v>
      </c>
      <c r="Z26" s="12">
        <f>EXP(D$36*LN(I26)+E$36/I26+F$36/I26^2+G$36)</f>
        <v>868.05092534340747</v>
      </c>
      <c r="AA26" s="5">
        <f t="shared" si="17"/>
        <v>8.6805092534340753E-2</v>
      </c>
      <c r="AB26" s="12">
        <f t="shared" si="30"/>
        <v>530.03291182477017</v>
      </c>
      <c r="AC26" s="35">
        <f t="shared" si="19"/>
        <v>5.3003291182477016E-5</v>
      </c>
    </row>
    <row r="27" spans="1:29" x14ac:dyDescent="0.3">
      <c r="A27" s="13" t="s">
        <v>66</v>
      </c>
      <c r="B27">
        <v>1000</v>
      </c>
      <c r="C27">
        <v>5000</v>
      </c>
      <c r="D27">
        <v>0.96730605000000003</v>
      </c>
      <c r="E27">
        <v>679.31897000000004</v>
      </c>
      <c r="F27">
        <v>-210251.79</v>
      </c>
      <c r="G27">
        <v>-1.8251697</v>
      </c>
      <c r="I27">
        <f t="shared" si="20"/>
        <v>1500</v>
      </c>
      <c r="J27" s="12">
        <f t="shared" si="21"/>
        <v>2823.8187509002419</v>
      </c>
      <c r="K27" s="5">
        <f t="shared" si="2"/>
        <v>0.28238187509002421</v>
      </c>
      <c r="L27" s="12">
        <f t="shared" si="22"/>
        <v>362.21177596380033</v>
      </c>
      <c r="M27" s="35">
        <f t="shared" si="3"/>
        <v>3.622117759638003E-5</v>
      </c>
      <c r="N27" s="12">
        <f t="shared" si="23"/>
        <v>2254.5392251101562</v>
      </c>
      <c r="O27" s="5">
        <f t="shared" si="5"/>
        <v>0.22545392251101562</v>
      </c>
      <c r="P27" s="12">
        <f t="shared" si="24"/>
        <v>339.37259159103581</v>
      </c>
      <c r="Q27" s="35">
        <f t="shared" si="7"/>
        <v>3.3937259159103578E-5</v>
      </c>
      <c r="R27" s="12">
        <f t="shared" si="25"/>
        <v>965.36651474592236</v>
      </c>
      <c r="S27" s="5">
        <f t="shared" si="9"/>
        <v>9.6536651474592242E-2</v>
      </c>
      <c r="T27" s="12">
        <f t="shared" si="26"/>
        <v>548.08677833757031</v>
      </c>
      <c r="U27" s="35">
        <f t="shared" si="11"/>
        <v>5.4808677833757027E-5</v>
      </c>
      <c r="V27" s="12">
        <f t="shared" si="27"/>
        <v>6222.2995115555423</v>
      </c>
      <c r="W27" s="5">
        <f t="shared" si="13"/>
        <v>0.62222995115555424</v>
      </c>
      <c r="X27" s="12">
        <f t="shared" si="28"/>
        <v>272.70392933467895</v>
      </c>
      <c r="Y27" s="35">
        <f t="shared" si="15"/>
        <v>2.7270392933467893E-5</v>
      </c>
      <c r="Z27" s="12">
        <f t="shared" si="29"/>
        <v>892.04271669036336</v>
      </c>
      <c r="AA27" s="5">
        <f t="shared" si="17"/>
        <v>8.9204271669036342E-2</v>
      </c>
      <c r="AB27" s="12">
        <f t="shared" si="30"/>
        <v>541.90057647382639</v>
      </c>
      <c r="AC27" s="35">
        <f t="shared" si="19"/>
        <v>5.4190057647382637E-5</v>
      </c>
    </row>
    <row r="28" spans="1:29" x14ac:dyDescent="0.3">
      <c r="A28" s="13" t="s">
        <v>67</v>
      </c>
      <c r="B28">
        <v>200</v>
      </c>
      <c r="C28">
        <v>1000</v>
      </c>
      <c r="D28">
        <v>1.0240123999999999</v>
      </c>
      <c r="E28">
        <v>297.09751999999997</v>
      </c>
      <c r="F28">
        <v>-31396.363000000001</v>
      </c>
      <c r="G28">
        <v>1.0560824</v>
      </c>
      <c r="I28">
        <f t="shared" si="20"/>
        <v>1550</v>
      </c>
      <c r="J28" s="12">
        <f t="shared" si="21"/>
        <v>2925.4023696161121</v>
      </c>
      <c r="K28" s="5">
        <f t="shared" si="2"/>
        <v>0.29254023696161124</v>
      </c>
      <c r="L28" s="12">
        <f t="shared" si="22"/>
        <v>370.17772281997031</v>
      </c>
      <c r="M28" s="35">
        <f t="shared" si="3"/>
        <v>3.7017772281997028E-5</v>
      </c>
      <c r="N28" s="12">
        <f t="shared" si="23"/>
        <v>2330.3756270540307</v>
      </c>
      <c r="O28" s="5">
        <f t="shared" si="5"/>
        <v>0.23303756270540307</v>
      </c>
      <c r="P28" s="12">
        <f t="shared" si="24"/>
        <v>347.01306459441537</v>
      </c>
      <c r="Q28" s="35">
        <f t="shared" si="7"/>
        <v>3.4701306459441535E-5</v>
      </c>
      <c r="R28" s="12">
        <f t="shared" si="25"/>
        <v>991.30409368286439</v>
      </c>
      <c r="S28" s="5">
        <f t="shared" si="9"/>
        <v>9.9130409368286446E-2</v>
      </c>
      <c r="T28" s="12">
        <f t="shared" si="26"/>
        <v>560.46502190922888</v>
      </c>
      <c r="U28" s="35">
        <f t="shared" si="11"/>
        <v>5.6046502190922885E-5</v>
      </c>
      <c r="V28" s="12">
        <f t="shared" si="27"/>
        <v>6405.7180808045887</v>
      </c>
      <c r="W28" s="5">
        <f t="shared" si="13"/>
        <v>0.64057180808045888</v>
      </c>
      <c r="X28" s="12">
        <f t="shared" si="28"/>
        <v>279.06004404441501</v>
      </c>
      <c r="Y28" s="35">
        <f t="shared" si="15"/>
        <v>2.7906004404441499E-5</v>
      </c>
      <c r="Z28" s="12">
        <f t="shared" si="29"/>
        <v>915.94807584058867</v>
      </c>
      <c r="AA28" s="5">
        <f t="shared" si="17"/>
        <v>9.1594807584058871E-2</v>
      </c>
      <c r="AB28" s="12">
        <f t="shared" si="30"/>
        <v>553.67110934860204</v>
      </c>
      <c r="AC28" s="35">
        <f t="shared" si="19"/>
        <v>5.5367110934860202E-5</v>
      </c>
    </row>
    <row r="29" spans="1:29" x14ac:dyDescent="0.3">
      <c r="A29" s="13" t="s">
        <v>67</v>
      </c>
      <c r="B29">
        <v>1000</v>
      </c>
      <c r="C29">
        <v>5000</v>
      </c>
      <c r="D29">
        <v>1.0611991999999999</v>
      </c>
      <c r="E29">
        <v>258.85782999999998</v>
      </c>
      <c r="F29">
        <v>6316.3190999999997</v>
      </c>
      <c r="G29">
        <v>0.79973205000000003</v>
      </c>
      <c r="I29">
        <f>I28+50</f>
        <v>1600</v>
      </c>
      <c r="J29" s="12">
        <f t="shared" si="21"/>
        <v>3026.1984404153691</v>
      </c>
      <c r="K29" s="5">
        <f t="shared" si="2"/>
        <v>0.30261984404153691</v>
      </c>
      <c r="L29" s="12">
        <f t="shared" si="22"/>
        <v>378.05542547564517</v>
      </c>
      <c r="M29" s="35">
        <f t="shared" si="3"/>
        <v>3.7805542547564514E-5</v>
      </c>
      <c r="N29" s="12">
        <f t="shared" si="23"/>
        <v>2405.1845795528384</v>
      </c>
      <c r="O29" s="5">
        <f t="shared" si="5"/>
        <v>0.24051845795528384</v>
      </c>
      <c r="P29" s="12">
        <f t="shared" si="24"/>
        <v>354.55255896080655</v>
      </c>
      <c r="Q29" s="35">
        <f t="shared" si="7"/>
        <v>3.545525589608065E-5</v>
      </c>
      <c r="R29" s="12">
        <f t="shared" si="25"/>
        <v>1016.8860502974989</v>
      </c>
      <c r="S29" s="5">
        <f t="shared" si="9"/>
        <v>0.10168860502974988</v>
      </c>
      <c r="T29" s="12">
        <f t="shared" si="26"/>
        <v>572.68523108268448</v>
      </c>
      <c r="U29" s="35">
        <f t="shared" si="11"/>
        <v>5.7268523108268448E-5</v>
      </c>
      <c r="V29" s="12">
        <f t="shared" si="27"/>
        <v>6589.6621367659609</v>
      </c>
      <c r="W29" s="5">
        <f t="shared" si="13"/>
        <v>0.65896621367659614</v>
      </c>
      <c r="X29" s="12">
        <f t="shared" si="28"/>
        <v>285.38121362356259</v>
      </c>
      <c r="Y29" s="35">
        <f t="shared" si="15"/>
        <v>2.8538121362356258E-5</v>
      </c>
      <c r="Z29" s="12">
        <f t="shared" si="29"/>
        <v>939.77010231863119</v>
      </c>
      <c r="AA29" s="5">
        <f t="shared" si="17"/>
        <v>9.3977010231863126E-2</v>
      </c>
      <c r="AB29" s="12">
        <f t="shared" si="30"/>
        <v>565.35347342177397</v>
      </c>
      <c r="AC29" s="35">
        <f t="shared" si="19"/>
        <v>5.6535347342177393E-5</v>
      </c>
    </row>
    <row r="30" spans="1:29" x14ac:dyDescent="0.3">
      <c r="I30">
        <f t="shared" si="20"/>
        <v>1650</v>
      </c>
      <c r="J30" s="12">
        <f t="shared" si="21"/>
        <v>3126.2328459459382</v>
      </c>
      <c r="K30" s="5">
        <f t="shared" si="2"/>
        <v>0.31262328459459382</v>
      </c>
      <c r="L30" s="12">
        <f t="shared" si="22"/>
        <v>385.84873950157805</v>
      </c>
      <c r="M30" s="35">
        <f t="shared" si="3"/>
        <v>3.8584873950157802E-5</v>
      </c>
      <c r="N30" s="12">
        <f t="shared" si="23"/>
        <v>2478.9990792329677</v>
      </c>
      <c r="O30" s="5">
        <f t="shared" si="5"/>
        <v>0.24789990792329678</v>
      </c>
      <c r="P30" s="12">
        <f t="shared" si="24"/>
        <v>361.99658445997613</v>
      </c>
      <c r="Q30" s="35">
        <f t="shared" si="7"/>
        <v>3.6199658445997612E-5</v>
      </c>
      <c r="R30" s="12">
        <f t="shared" si="25"/>
        <v>1042.1314605134162</v>
      </c>
      <c r="S30" s="5">
        <f t="shared" si="9"/>
        <v>0.10421314605134162</v>
      </c>
      <c r="T30" s="12">
        <f t="shared" si="26"/>
        <v>584.75493717138193</v>
      </c>
      <c r="U30" s="35">
        <f t="shared" si="11"/>
        <v>5.8475493717138189E-5</v>
      </c>
      <c r="V30" s="12">
        <f t="shared" si="27"/>
        <v>6774.1036732480025</v>
      </c>
      <c r="W30" s="5">
        <f t="shared" si="13"/>
        <v>0.67741036732480031</v>
      </c>
      <c r="X30" s="12">
        <f t="shared" si="28"/>
        <v>291.67137329169117</v>
      </c>
      <c r="Y30" s="35">
        <f t="shared" si="15"/>
        <v>2.9167137329169114E-5</v>
      </c>
      <c r="Z30" s="12">
        <f t="shared" si="29"/>
        <v>963.51167679172863</v>
      </c>
      <c r="AA30" s="5">
        <f t="shared" si="17"/>
        <v>9.6351167679172872E-2</v>
      </c>
      <c r="AB30" s="12">
        <f t="shared" si="30"/>
        <v>576.95536762125903</v>
      </c>
      <c r="AC30" s="35">
        <f t="shared" si="19"/>
        <v>5.7695536762125899E-5</v>
      </c>
    </row>
    <row r="31" spans="1:29" x14ac:dyDescent="0.3">
      <c r="A31" s="11" t="s">
        <v>3</v>
      </c>
      <c r="I31">
        <f t="shared" si="20"/>
        <v>1700</v>
      </c>
      <c r="J31" s="12">
        <f t="shared" si="21"/>
        <v>3225.5304130776076</v>
      </c>
      <c r="K31" s="5">
        <f t="shared" si="2"/>
        <v>0.3225530413077608</v>
      </c>
      <c r="L31" s="12">
        <f t="shared" si="22"/>
        <v>393.56122959902632</v>
      </c>
      <c r="M31" s="35">
        <f t="shared" si="3"/>
        <v>3.935612295990263E-5</v>
      </c>
      <c r="N31" s="12">
        <f t="shared" si="23"/>
        <v>2551.8511790441944</v>
      </c>
      <c r="O31" s="5">
        <f t="shared" si="5"/>
        <v>0.25518511790441945</v>
      </c>
      <c r="P31" s="12">
        <f t="shared" si="24"/>
        <v>369.35013676475131</v>
      </c>
      <c r="Q31" s="35">
        <f t="shared" si="7"/>
        <v>3.6935013676475132E-5</v>
      </c>
      <c r="R31" s="12">
        <f t="shared" si="25"/>
        <v>1067.0577347196208</v>
      </c>
      <c r="S31" s="5">
        <f t="shared" si="9"/>
        <v>0.10670577347196208</v>
      </c>
      <c r="T31" s="12">
        <f t="shared" si="26"/>
        <v>596.68106293820563</v>
      </c>
      <c r="U31" s="35">
        <f t="shared" si="11"/>
        <v>5.9668106293820559E-5</v>
      </c>
      <c r="V31" s="12">
        <f t="shared" si="27"/>
        <v>6959.0175773378987</v>
      </c>
      <c r="W31" s="5">
        <f t="shared" si="13"/>
        <v>0.69590175773378993</v>
      </c>
      <c r="X31" s="12">
        <f t="shared" si="28"/>
        <v>297.93388531181944</v>
      </c>
      <c r="Y31" s="35">
        <f t="shared" si="15"/>
        <v>2.9793388531181943E-5</v>
      </c>
      <c r="Z31" s="12">
        <f t="shared" si="29"/>
        <v>987.17548459049624</v>
      </c>
      <c r="AA31" s="5">
        <f t="shared" si="17"/>
        <v>9.8717548459049634E-2</v>
      </c>
      <c r="AB31" s="12">
        <f t="shared" si="30"/>
        <v>588.48344179660944</v>
      </c>
      <c r="AC31" s="35">
        <f t="shared" si="19"/>
        <v>5.8848344179660944E-5</v>
      </c>
    </row>
    <row r="32" spans="1:29" x14ac:dyDescent="0.3">
      <c r="A32" s="1" t="s">
        <v>60</v>
      </c>
      <c r="B32" s="1" t="s">
        <v>61</v>
      </c>
      <c r="C32" s="1" t="s">
        <v>62</v>
      </c>
      <c r="D32" s="1" t="s">
        <v>63</v>
      </c>
      <c r="E32" s="1" t="s">
        <v>64</v>
      </c>
      <c r="F32" s="1" t="s">
        <v>11</v>
      </c>
      <c r="G32" s="1" t="s">
        <v>65</v>
      </c>
      <c r="I32">
        <f t="shared" si="20"/>
        <v>1750</v>
      </c>
      <c r="J32" s="12">
        <f t="shared" si="21"/>
        <v>3324.1149124214849</v>
      </c>
      <c r="K32" s="5">
        <f t="shared" si="2"/>
        <v>0.33241149124214853</v>
      </c>
      <c r="L32" s="12">
        <f t="shared" si="22"/>
        <v>401.1962004071205</v>
      </c>
      <c r="M32" s="35">
        <f t="shared" si="3"/>
        <v>4.0119620040712045E-5</v>
      </c>
      <c r="N32" s="12">
        <f t="shared" si="23"/>
        <v>2623.7719058927569</v>
      </c>
      <c r="O32" s="5">
        <f t="shared" si="5"/>
        <v>0.26237719058927572</v>
      </c>
      <c r="P32" s="12">
        <f t="shared" si="24"/>
        <v>376.61776255953447</v>
      </c>
      <c r="Q32" s="35">
        <f t="shared" si="7"/>
        <v>3.7661776255953448E-5</v>
      </c>
      <c r="R32" s="12">
        <f t="shared" si="25"/>
        <v>1091.6808095686818</v>
      </c>
      <c r="S32" s="5">
        <f t="shared" si="9"/>
        <v>0.10916808095686818</v>
      </c>
      <c r="T32" s="12">
        <f t="shared" si="26"/>
        <v>608.46999051163823</v>
      </c>
      <c r="U32" s="35">
        <f t="shared" si="11"/>
        <v>6.0846999051163818E-5</v>
      </c>
      <c r="V32" s="12">
        <f t="shared" si="27"/>
        <v>7144.3812233168346</v>
      </c>
      <c r="W32" s="5">
        <f t="shared" si="13"/>
        <v>0.71443812233168347</v>
      </c>
      <c r="X32" s="12">
        <f t="shared" si="28"/>
        <v>304.17163578468478</v>
      </c>
      <c r="Y32" s="35">
        <f t="shared" si="15"/>
        <v>3.0417163578468476E-5</v>
      </c>
      <c r="Z32" s="12">
        <f t="shared" si="29"/>
        <v>1010.7640358348651</v>
      </c>
      <c r="AA32" s="5">
        <f t="shared" si="17"/>
        <v>0.10107640358348652</v>
      </c>
      <c r="AB32" s="12">
        <f t="shared" si="30"/>
        <v>599.94347018045676</v>
      </c>
      <c r="AC32" s="35">
        <f t="shared" si="19"/>
        <v>5.9994347018045676E-5</v>
      </c>
    </row>
    <row r="33" spans="1:29" x14ac:dyDescent="0.3">
      <c r="A33" s="13" t="s">
        <v>66</v>
      </c>
      <c r="B33">
        <v>200</v>
      </c>
      <c r="C33">
        <v>1000</v>
      </c>
      <c r="D33">
        <v>0.62526577000000005</v>
      </c>
      <c r="E33">
        <v>-31.779651999999999</v>
      </c>
      <c r="F33">
        <v>-1640.7982999999999</v>
      </c>
      <c r="G33">
        <v>1.7454992</v>
      </c>
      <c r="I33">
        <f t="shared" si="20"/>
        <v>1800</v>
      </c>
      <c r="J33">
        <f t="shared" si="21"/>
        <v>3422.0090738457043</v>
      </c>
      <c r="K33" s="5">
        <f t="shared" si="2"/>
        <v>0.34220090738457043</v>
      </c>
      <c r="L33">
        <f t="shared" si="22"/>
        <v>408.75672315690838</v>
      </c>
      <c r="M33" s="35">
        <f t="shared" si="3"/>
        <v>4.0875672315690835E-5</v>
      </c>
      <c r="N33" s="12">
        <f t="shared" si="23"/>
        <v>2694.7912123081674</v>
      </c>
      <c r="O33" s="5">
        <f t="shared" si="5"/>
        <v>0.26947912123081674</v>
      </c>
      <c r="P33" s="12">
        <f t="shared" si="24"/>
        <v>383.80361454438588</v>
      </c>
      <c r="Q33" s="35">
        <f t="shared" si="7"/>
        <v>3.8380361454438586E-5</v>
      </c>
      <c r="R33" s="12">
        <f t="shared" si="25"/>
        <v>1116.0153132296375</v>
      </c>
      <c r="S33" s="5">
        <f t="shared" si="9"/>
        <v>0.11160153132296376</v>
      </c>
      <c r="T33" s="12">
        <f t="shared" si="26"/>
        <v>620.12761979678066</v>
      </c>
      <c r="U33" s="35">
        <f t="shared" si="11"/>
        <v>6.201276197967806E-5</v>
      </c>
      <c r="V33" s="12">
        <f t="shared" si="27"/>
        <v>7330.1741357105921</v>
      </c>
      <c r="W33" s="5">
        <f t="shared" si="13"/>
        <v>0.73301741357105921</v>
      </c>
      <c r="X33" s="12">
        <f t="shared" si="28"/>
        <v>310.38711309240762</v>
      </c>
      <c r="Y33" s="35">
        <f t="shared" si="15"/>
        <v>3.103871130924076E-5</v>
      </c>
      <c r="Z33" s="12">
        <f t="shared" si="29"/>
        <v>1034.2796827726456</v>
      </c>
      <c r="AA33" s="5">
        <f t="shared" si="17"/>
        <v>0.10342796827726457</v>
      </c>
      <c r="AB33" s="12">
        <f t="shared" si="30"/>
        <v>611.34049219992517</v>
      </c>
      <c r="AC33" s="35">
        <f t="shared" si="19"/>
        <v>6.1134049219992517E-5</v>
      </c>
    </row>
    <row r="34" spans="1:29" x14ac:dyDescent="0.3">
      <c r="A34" s="13" t="s">
        <v>66</v>
      </c>
      <c r="B34">
        <v>1000</v>
      </c>
      <c r="C34">
        <v>5000</v>
      </c>
      <c r="D34">
        <v>0.87395208999999996</v>
      </c>
      <c r="E34">
        <v>561.52221999999995</v>
      </c>
      <c r="F34">
        <v>-173948.09</v>
      </c>
      <c r="G34">
        <v>-0.39335957999999999</v>
      </c>
      <c r="I34">
        <f>I33+50</f>
        <v>1850</v>
      </c>
      <c r="J34">
        <f t="shared" si="21"/>
        <v>3519.2346128794961</v>
      </c>
      <c r="K34" s="5">
        <f t="shared" si="2"/>
        <v>0.35192346128794966</v>
      </c>
      <c r="L34">
        <f t="shared" si="22"/>
        <v>416.24565884490295</v>
      </c>
      <c r="M34" s="35">
        <f t="shared" si="3"/>
        <v>4.1624565884490295E-5</v>
      </c>
      <c r="N34" s="12">
        <f t="shared" si="23"/>
        <v>2764.9379535258909</v>
      </c>
      <c r="O34" s="5">
        <f t="shared" si="5"/>
        <v>0.27649379535258911</v>
      </c>
      <c r="P34" s="12">
        <f t="shared" si="24"/>
        <v>390.91149815465144</v>
      </c>
      <c r="Q34" s="35">
        <f t="shared" si="7"/>
        <v>3.9091149815465144E-5</v>
      </c>
      <c r="R34" s="12">
        <f t="shared" si="25"/>
        <v>1140.0747082843236</v>
      </c>
      <c r="S34" s="5">
        <f t="shared" si="9"/>
        <v>0.11400747082843236</v>
      </c>
      <c r="T34" s="12">
        <f t="shared" si="26"/>
        <v>631.65941895916058</v>
      </c>
      <c r="U34" s="35">
        <f t="shared" si="11"/>
        <v>6.3165941895916049E-5</v>
      </c>
      <c r="V34" s="12">
        <f t="shared" si="27"/>
        <v>7516.3777079072343</v>
      </c>
      <c r="W34" s="5">
        <f t="shared" si="13"/>
        <v>0.75163777079072347</v>
      </c>
      <c r="X34" s="12">
        <f t="shared" si="28"/>
        <v>316.58247181812879</v>
      </c>
      <c r="Y34" s="35">
        <f t="shared" si="15"/>
        <v>3.1658247181812881E-5</v>
      </c>
      <c r="Z34" s="12">
        <f t="shared" si="29"/>
        <v>1057.7246348105236</v>
      </c>
      <c r="AA34" s="5">
        <f t="shared" si="17"/>
        <v>0.10577246348105238</v>
      </c>
      <c r="AB34" s="12">
        <f t="shared" si="30"/>
        <v>622.67892744054996</v>
      </c>
      <c r="AC34" s="35">
        <f t="shared" si="19"/>
        <v>6.2267892744054997E-5</v>
      </c>
    </row>
    <row r="35" spans="1:29" x14ac:dyDescent="0.3">
      <c r="A35" s="13" t="s">
        <v>67</v>
      </c>
      <c r="B35">
        <v>200</v>
      </c>
      <c r="C35">
        <v>1000</v>
      </c>
      <c r="D35">
        <v>0.85372828999999995</v>
      </c>
      <c r="E35">
        <v>105.18665</v>
      </c>
      <c r="F35">
        <v>-12299.753000000001</v>
      </c>
      <c r="G35">
        <v>0.48299103999999998</v>
      </c>
      <c r="I35">
        <f t="shared" si="20"/>
        <v>1900</v>
      </c>
      <c r="J35">
        <f t="shared" si="21"/>
        <v>3615.8122642916933</v>
      </c>
      <c r="K35" s="5">
        <f t="shared" si="2"/>
        <v>0.36158122642916934</v>
      </c>
      <c r="L35">
        <f t="shared" si="22"/>
        <v>423.66567847284932</v>
      </c>
      <c r="M35" s="35">
        <f t="shared" si="3"/>
        <v>4.2366567847284928E-5</v>
      </c>
      <c r="N35" s="12">
        <f t="shared" si="23"/>
        <v>2834.2398834289779</v>
      </c>
      <c r="O35" s="5">
        <f t="shared" si="5"/>
        <v>0.28342398834289778</v>
      </c>
      <c r="P35" s="12">
        <f t="shared" si="24"/>
        <v>397.94491144790294</v>
      </c>
      <c r="Q35" s="35">
        <f t="shared" si="7"/>
        <v>3.9794491144790289E-5</v>
      </c>
      <c r="R35" s="12">
        <f t="shared" si="25"/>
        <v>1163.8714157289114</v>
      </c>
      <c r="S35" s="5">
        <f t="shared" si="9"/>
        <v>0.11638714157289115</v>
      </c>
      <c r="T35" s="12">
        <f t="shared" si="26"/>
        <v>643.07046825940949</v>
      </c>
      <c r="U35" s="35">
        <f t="shared" si="11"/>
        <v>6.4307046825940945E-5</v>
      </c>
      <c r="V35" s="12">
        <f>EXP(D$29*LN(I35)+E$29/I35+F$29/I35^2+G$29)</f>
        <v>7702.9749657565035</v>
      </c>
      <c r="W35" s="5">
        <f t="shared" si="13"/>
        <v>0.77029749657565039</v>
      </c>
      <c r="X35" s="12">
        <f t="shared" si="28"/>
        <v>322.75958510336727</v>
      </c>
      <c r="Y35" s="35">
        <f t="shared" si="15"/>
        <v>3.2275958510336726E-5</v>
      </c>
      <c r="Z35" s="12">
        <f t="shared" si="29"/>
        <v>1081.1009716200381</v>
      </c>
      <c r="AA35" s="5">
        <f t="shared" si="17"/>
        <v>0.10811009716200382</v>
      </c>
      <c r="AB35" s="12">
        <f t="shared" si="30"/>
        <v>633.96267002329125</v>
      </c>
      <c r="AC35" s="35">
        <f t="shared" si="19"/>
        <v>6.3396267002329128E-5</v>
      </c>
    </row>
    <row r="36" spans="1:29" x14ac:dyDescent="0.3">
      <c r="A36" s="13" t="s">
        <v>67</v>
      </c>
      <c r="B36">
        <v>1000</v>
      </c>
      <c r="C36">
        <v>5000</v>
      </c>
      <c r="D36">
        <v>0.8850652</v>
      </c>
      <c r="E36">
        <v>134.69656000000001</v>
      </c>
      <c r="F36">
        <v>-11386.42</v>
      </c>
      <c r="G36">
        <v>0.23610007999999999</v>
      </c>
    </row>
    <row r="39" spans="1:29" x14ac:dyDescent="0.3">
      <c r="C39" s="1" t="s">
        <v>7</v>
      </c>
    </row>
    <row r="40" spans="1:29" x14ac:dyDescent="0.3">
      <c r="B40" t="s">
        <v>111</v>
      </c>
      <c r="C40" s="9">
        <v>30.07</v>
      </c>
    </row>
    <row r="41" spans="1:29" x14ac:dyDescent="0.3">
      <c r="B41" t="s">
        <v>1</v>
      </c>
      <c r="C41" s="9">
        <v>2.0158800000000001</v>
      </c>
    </row>
    <row r="42" spans="1:29" x14ac:dyDescent="0.3">
      <c r="B42" t="s">
        <v>9</v>
      </c>
      <c r="C42" s="9">
        <v>16.04</v>
      </c>
    </row>
    <row r="43" spans="1:29" x14ac:dyDescent="0.3">
      <c r="B43" t="s">
        <v>2</v>
      </c>
      <c r="C43" s="9">
        <v>44.01</v>
      </c>
    </row>
    <row r="44" spans="1:29" x14ac:dyDescent="0.3">
      <c r="B44" t="s">
        <v>3</v>
      </c>
      <c r="C44" s="9">
        <v>28.013400000000001</v>
      </c>
    </row>
    <row r="45" spans="1:29" x14ac:dyDescent="0.3">
      <c r="B45" t="s">
        <v>4</v>
      </c>
      <c r="C45" s="9">
        <f>15.999*2</f>
        <v>31.998000000000001</v>
      </c>
    </row>
    <row r="46" spans="1:29" x14ac:dyDescent="0.3">
      <c r="B46" t="s">
        <v>11</v>
      </c>
      <c r="C46" s="9">
        <v>12.0107</v>
      </c>
    </row>
    <row r="47" spans="1:29" x14ac:dyDescent="0.3">
      <c r="B47" t="s">
        <v>12</v>
      </c>
      <c r="C47" s="9">
        <v>15.999000000000001</v>
      </c>
    </row>
    <row r="48" spans="1:29" x14ac:dyDescent="0.3">
      <c r="B48" t="s">
        <v>13</v>
      </c>
      <c r="C48" s="9">
        <v>1.0079400000000001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2"/>
  <sheetViews>
    <sheetView topLeftCell="A37" zoomScale="75" zoomScaleNormal="75" workbookViewId="0">
      <selection activeCell="M49" sqref="M49"/>
    </sheetView>
  </sheetViews>
  <sheetFormatPr defaultRowHeight="14.4" x14ac:dyDescent="0.3"/>
  <cols>
    <col min="2" max="2" width="11.5546875" customWidth="1"/>
    <col min="3" max="3" width="12.44140625" customWidth="1"/>
    <col min="4" max="4" width="12.88671875" customWidth="1"/>
    <col min="5" max="5" width="12.6640625" customWidth="1"/>
    <col min="6" max="6" width="13.33203125" customWidth="1"/>
    <col min="7" max="7" width="12.21875" customWidth="1"/>
    <col min="9" max="9" width="11.88671875" customWidth="1"/>
    <col min="13" max="13" width="11.6640625" customWidth="1"/>
  </cols>
  <sheetData>
    <row r="1" spans="1:36" ht="18" x14ac:dyDescent="0.35">
      <c r="A1" s="15" t="s">
        <v>51</v>
      </c>
      <c r="B1" s="15" t="s">
        <v>53</v>
      </c>
      <c r="C1" s="15" t="s">
        <v>113</v>
      </c>
      <c r="D1" s="15" t="s">
        <v>55</v>
      </c>
      <c r="E1" s="15" t="s">
        <v>57</v>
      </c>
      <c r="F1" s="15" t="s">
        <v>59</v>
      </c>
      <c r="H1" s="18" t="s">
        <v>69</v>
      </c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</row>
    <row r="2" spans="1:36" ht="18" x14ac:dyDescent="0.35">
      <c r="A2" s="16"/>
      <c r="B2" s="15">
        <v>1</v>
      </c>
      <c r="C2" s="15">
        <v>2</v>
      </c>
      <c r="D2" s="15">
        <v>3</v>
      </c>
      <c r="E2" s="15">
        <v>4</v>
      </c>
      <c r="F2" s="15">
        <v>5</v>
      </c>
      <c r="H2" s="18">
        <v>1.1000000000000001</v>
      </c>
      <c r="I2" s="18">
        <v>1.2</v>
      </c>
      <c r="J2" s="18">
        <v>1.3</v>
      </c>
      <c r="K2" s="18">
        <v>1.4</v>
      </c>
      <c r="L2" s="18">
        <v>1.5</v>
      </c>
      <c r="M2" s="19"/>
      <c r="N2" s="18">
        <v>2.1</v>
      </c>
      <c r="O2" s="18">
        <v>2.2000000000000002</v>
      </c>
      <c r="P2" s="18">
        <v>2.2999999999999998</v>
      </c>
      <c r="Q2" s="18">
        <v>2.4</v>
      </c>
      <c r="R2" s="18">
        <v>2.5</v>
      </c>
      <c r="S2" s="19"/>
      <c r="T2" s="18">
        <v>3.1</v>
      </c>
      <c r="U2" s="18">
        <v>3.2</v>
      </c>
      <c r="V2" s="18">
        <v>3.3</v>
      </c>
      <c r="W2" s="18">
        <v>3.4</v>
      </c>
      <c r="X2" s="18">
        <v>3.5</v>
      </c>
      <c r="Y2" s="19"/>
      <c r="Z2" s="18">
        <v>4.0999999999999996</v>
      </c>
      <c r="AA2" s="18">
        <v>4.2</v>
      </c>
      <c r="AB2" s="18">
        <v>4.3</v>
      </c>
      <c r="AC2" s="18">
        <v>4.4000000000000004</v>
      </c>
      <c r="AD2" s="18">
        <v>4.5</v>
      </c>
      <c r="AE2" s="19"/>
      <c r="AF2" s="18">
        <v>5.0999999999999996</v>
      </c>
      <c r="AG2" s="18">
        <v>5.2</v>
      </c>
      <c r="AH2" s="18">
        <v>5.3</v>
      </c>
      <c r="AI2" s="18">
        <v>5.4</v>
      </c>
      <c r="AJ2" s="18">
        <v>5.5</v>
      </c>
    </row>
    <row r="3" spans="1:36" x14ac:dyDescent="0.3">
      <c r="A3" s="17">
        <v>300</v>
      </c>
      <c r="B3" s="35">
        <v>1.1200241135959739E-5</v>
      </c>
      <c r="C3" s="35">
        <v>1.7905909219797727E-5</v>
      </c>
      <c r="D3" s="35">
        <v>1.5014606593050621E-5</v>
      </c>
      <c r="E3" s="35">
        <v>8.9738347782159859E-6</v>
      </c>
      <c r="F3" s="35">
        <v>1.7905909219797727E-5</v>
      </c>
      <c r="H3" s="20">
        <f>((1+(($B3/B3)^0.5)*(($A$39/A$39)^0.25))^2)/((4/SQRT(2))*((1+($A$39/A$39))^0.5))</f>
        <v>1</v>
      </c>
      <c r="I3" s="20">
        <f t="shared" ref="I3:L18" si="0">((1+(($B3/C3)^0.5)*(($A$39/B$39)^0.25))^2)/((4/SQRT(2))*((1+($A$39/B$39))^0.5))</f>
        <v>0.80190144193664681</v>
      </c>
      <c r="J3" s="20">
        <f t="shared" si="0"/>
        <v>0.84521108202854511</v>
      </c>
      <c r="K3" s="20">
        <f t="shared" si="0"/>
        <v>0.97645061681085443</v>
      </c>
      <c r="L3" s="20">
        <f t="shared" si="0"/>
        <v>0.80331661993639103</v>
      </c>
      <c r="M3" s="19"/>
      <c r="N3" s="20">
        <f>(1+(($C3/B3)^0.5)*(($B$39/A$39)^0.25))^2/((4/SQRT(2))*((1+($B$39/A$39))^0.5))</f>
        <v>1.2820058290032612</v>
      </c>
      <c r="O3" s="20">
        <f>(1+(($C3/C3)^0.5)*(($B$39/B$39)^0.25))^2/((4/SQRT(2))*((1+($B$39/B$39))^0.5))</f>
        <v>1</v>
      </c>
      <c r="P3" s="20">
        <f t="shared" ref="P3:R18" si="1">(1+(($C3/D3)^0.5)*(($B$39/C$39)^0.25))^2/((4/SQRT(2))*((1+($B$39/C$39))^0.5))</f>
        <v>1.0822622245606772</v>
      </c>
      <c r="Q3" s="20">
        <f t="shared" si="1"/>
        <v>1.262575868888232</v>
      </c>
      <c r="R3" s="20">
        <f t="shared" si="1"/>
        <v>0.99976163973772258</v>
      </c>
      <c r="S3" s="19"/>
      <c r="T3" s="20">
        <f>(1+(($D3/B3)^0.5)*(($C$39/A$39)^0.25))^2/((4/SQRT(2))*((1+($C$39/A$39))^0.5))</f>
        <v>1.1330570235671809</v>
      </c>
      <c r="U3" s="20">
        <f t="shared" ref="U3:X3" si="2">(1+(($D3/C3)^0.5)*(($C$39/B$39)^0.25))^2/((4/SQRT(2))*((1+($C$39/B$39))^0.5))</f>
        <v>0.90750719959709136</v>
      </c>
      <c r="V3" s="20">
        <f t="shared" si="2"/>
        <v>1</v>
      </c>
      <c r="W3" s="20">
        <f t="shared" si="2"/>
        <v>1.0652834210288455</v>
      </c>
      <c r="X3" s="20">
        <f t="shared" si="2"/>
        <v>0.90432093668906588</v>
      </c>
      <c r="Y3" s="19"/>
      <c r="Z3" s="20">
        <f>(1+(($E3/B3)^0.5)*(($D$39/A$39)^0.25))^2/((4/SQRT(2))*((1+($D$39/A$39))^0.5))</f>
        <v>0.78234980818534361</v>
      </c>
      <c r="AA3" s="20">
        <f t="shared" ref="AA3:AD3" si="3">(1+(($E3/C3)^0.5)*(($D$39/B$39)^0.25))^2/((4/SQRT(2))*((1+($D$39/B$39))^0.5))</f>
        <v>0.6327602303399521</v>
      </c>
      <c r="AB3" s="20">
        <f t="shared" si="3"/>
        <v>0.63669183425093334</v>
      </c>
      <c r="AC3" s="20">
        <f t="shared" si="3"/>
        <v>1</v>
      </c>
      <c r="AD3" s="20">
        <f t="shared" si="3"/>
        <v>0.63732781254681337</v>
      </c>
      <c r="AE3" s="19"/>
      <c r="AF3" s="20">
        <f>(1+(($F3/B3)^0.5)*(($E$39/A$39)^0.25))^2/((4/SQRT(2))*((1+($E$39/A$39))^0.5))</f>
        <v>1.2842682846491416</v>
      </c>
      <c r="AG3" s="20">
        <f>(1+(($F3/C3)^0.5)*(($E$39/B$39)^0.25))^2/((4/SQRT(2))*((1+($E$39/B$39))^0.5))</f>
        <v>0.9997616397377227</v>
      </c>
      <c r="AH3" s="20">
        <f t="shared" ref="AH3:AJ3" si="4">(1+(($F3/D3)^0.5)*(($E$39/C$39)^0.25))^2/((4/SQRT(2))*((1+($E$39/C$39))^0.5))</f>
        <v>1.0784623957720949</v>
      </c>
      <c r="AI3" s="20">
        <f t="shared" si="4"/>
        <v>1.2716897777545455</v>
      </c>
      <c r="AJ3" s="20">
        <f t="shared" si="4"/>
        <v>1</v>
      </c>
    </row>
    <row r="4" spans="1:36" x14ac:dyDescent="0.3">
      <c r="A4" s="17">
        <f>A3+50</f>
        <v>350</v>
      </c>
      <c r="B4" s="35">
        <v>1.2766824004937321E-5</v>
      </c>
      <c r="C4" s="35">
        <v>2.0115404486540507E-5</v>
      </c>
      <c r="D4" s="35">
        <v>1.7404468283417195E-5</v>
      </c>
      <c r="E4" s="35">
        <v>9.9552563900437634E-6</v>
      </c>
      <c r="F4" s="35">
        <v>2.0115404486540507E-5</v>
      </c>
      <c r="H4" s="20">
        <f t="shared" ref="H4:H35" si="5">((1+(($B4/B4)^0.5)*(($A$39/A$39)^0.25))^2)/((4/SQRT(2))*((1+($A$39/A$39))^0.5))</f>
        <v>1</v>
      </c>
      <c r="I4" s="20">
        <f t="shared" si="0"/>
        <v>0.80663429649035345</v>
      </c>
      <c r="J4" s="20">
        <f t="shared" si="0"/>
        <v>0.83954595816482247</v>
      </c>
      <c r="K4" s="20">
        <f t="shared" si="0"/>
        <v>0.99393706073321197</v>
      </c>
      <c r="L4" s="20">
        <f t="shared" si="0"/>
        <v>0.80810843225371287</v>
      </c>
      <c r="M4" s="19"/>
      <c r="N4" s="20">
        <f t="shared" ref="N4:N35" si="6">(1+(($C4/B4)^0.5)*(($B$39/A$39)^0.25))^2/((4/SQRT(2))*((1+($B$39/A$39))^0.5))</f>
        <v>1.2709327817430942</v>
      </c>
      <c r="O4" s="20">
        <f t="shared" ref="O4:R35" si="7">(1+(($C4/C4)^0.5)*(($B$39/B$39)^0.25))^2/((4/SQRT(2))*((1+($B$39/B$39))^0.5))</f>
        <v>1</v>
      </c>
      <c r="P4" s="20">
        <f t="shared" si="1"/>
        <v>1.0655562155066054</v>
      </c>
      <c r="Q4" s="20">
        <f t="shared" si="1"/>
        <v>1.2743111912919629</v>
      </c>
      <c r="R4" s="20">
        <f t="shared" si="1"/>
        <v>0.99976163973772258</v>
      </c>
      <c r="S4" s="19"/>
      <c r="T4" s="20">
        <f t="shared" ref="T4:T35" si="8">(1+(($D4/B4)^0.5)*(($C$39/A$39)^0.25))^2/((4/SQRT(2))*((1+($C$39/A$39))^0.5))</f>
        <v>1.1445173048285069</v>
      </c>
      <c r="U4" s="20">
        <f t="shared" ref="U4:U35" si="9">(1+(($D4/C4)^0.5)*(($C$39/B$39)^0.25))^2/((4/SQRT(2))*((1+($C$39/B$39))^0.5))</f>
        <v>0.92195209742820616</v>
      </c>
      <c r="V4" s="20">
        <f t="shared" ref="V4:V35" si="10">(1+(($D4/D4)^0.5)*(($C$39/C$39)^0.25))^2/((4/SQRT(2))*((1+($C$39/C$39))^0.5))</f>
        <v>1</v>
      </c>
      <c r="W4" s="20">
        <f t="shared" ref="W4:W35" si="11">(1+(($D4/E4)^0.5)*(($C$39/D$39)^0.25))^2/((4/SQRT(2))*((1+($C$39/D$39))^0.5))</f>
        <v>1.1004264709328531</v>
      </c>
      <c r="X4" s="20">
        <f t="shared" ref="X4:X35" si="12">(1+(($D4/F4)^0.5)*(($C$39/E$39)^0.25))^2/((4/SQRT(2))*((1+($C$39/E$39))^0.5))</f>
        <v>0.91884349063790238</v>
      </c>
      <c r="Y4" s="19"/>
      <c r="Z4" s="20">
        <f t="shared" ref="Z4:Z35" si="13">(1+(($E4/B4)^0.5)*(($D$39/A$39)^0.25))^2/((4/SQRT(2))*((1+($D$39/A$39))^0.5))</f>
        <v>0.77504775434665374</v>
      </c>
      <c r="AA4" s="20">
        <f t="shared" ref="AA4:AA35" si="14">(1+(($E4/C4)^0.5)*(($D$39/B$39)^0.25))^2/((4/SQRT(2))*((1+($D$39/B$39))^0.5))</f>
        <v>0.6306656492292777</v>
      </c>
      <c r="AB4" s="20">
        <f t="shared" ref="AB4:AB35" si="15">(1+(($E4/D4)^0.5)*(($D$39/C$39)^0.25))^2/((4/SQRT(2))*((1+($D$39/C$39))^0.5))</f>
        <v>0.62943765233928084</v>
      </c>
      <c r="AC4" s="20">
        <f t="shared" ref="AC4:AC35" si="16">(1+(($E4/E4)^0.5)*(($D$39/D$39)^0.25))^2/((4/SQRT(2))*((1+($D$39/D$39))^0.5))</f>
        <v>1</v>
      </c>
      <c r="AD4" s="20">
        <f t="shared" ref="AD4:AD35" si="17">(1+(($E4/F4)^0.5)*(($D$39/E$39)^0.25))^2/((4/SQRT(2))*((1+($D$39/E$39))^0.5))</f>
        <v>0.63519034900702376</v>
      </c>
      <c r="AE4" s="19"/>
      <c r="AF4" s="20">
        <f t="shared" ref="AF4:AF34" si="18">(1+(($F4/B4)^0.5)*(($E$39/A$39)^0.25))^2/((4/SQRT(2))*((1+($E$39/A$39))^0.5))</f>
        <v>1.2732554296574525</v>
      </c>
      <c r="AG4" s="20">
        <f t="shared" ref="AG4:AG35" si="19">(1+(($F4/C4)^0.5)*(($E$39/B$39)^0.25))^2/((4/SQRT(2))*((1+($E$39/B$39))^0.5))</f>
        <v>0.9997616397377227</v>
      </c>
      <c r="AH4" s="20">
        <f t="shared" ref="AH4:AH35" si="20">(1+(($F4/D4)^0.5)*(($E$39/C$39)^0.25))^2/((4/SQRT(2))*((1+($E$39/C$39))^0.5))</f>
        <v>1.061963409225005</v>
      </c>
      <c r="AI4" s="20">
        <f t="shared" ref="AI4:AI35" si="21">(1+(($F4/E4)^0.5)*(($E$39/D$39)^0.25))^2/((4/SQRT(2))*((1+($E$39/D$39))^0.5))</f>
        <v>1.2834537148637861</v>
      </c>
      <c r="AJ4" s="20">
        <f t="shared" ref="AJ4:AJ35" si="22">(1+(($F4/F4)^0.5)*(($E$39/E$39)^0.25))^2/((4/SQRT(2))*((1+($E$39/E$39))^0.5))</f>
        <v>1</v>
      </c>
    </row>
    <row r="5" spans="1:36" x14ac:dyDescent="0.3">
      <c r="A5" s="17">
        <f t="shared" ref="A5:A35" si="23">A4+50</f>
        <v>400</v>
      </c>
      <c r="B5" s="35">
        <v>1.4233859669327116E-5</v>
      </c>
      <c r="C5" s="35">
        <v>2.2186138037054813E-5</v>
      </c>
      <c r="D5" s="35">
        <v>1.9702550668854888E-5</v>
      </c>
      <c r="E5" s="35">
        <v>1.0895288959717302E-5</v>
      </c>
      <c r="F5" s="35">
        <v>2.2186138037054813E-5</v>
      </c>
      <c r="H5" s="20">
        <f t="shared" si="5"/>
        <v>1</v>
      </c>
      <c r="I5" s="20">
        <f t="shared" si="0"/>
        <v>0.81017379268703915</v>
      </c>
      <c r="J5" s="20">
        <f t="shared" si="0"/>
        <v>0.83445830996481585</v>
      </c>
      <c r="K5" s="20">
        <f t="shared" si="0"/>
        <v>1.0061186584348301</v>
      </c>
      <c r="L5" s="20">
        <f t="shared" si="0"/>
        <v>0.811692118103155</v>
      </c>
      <c r="M5" s="19"/>
      <c r="N5" s="20">
        <f t="shared" si="6"/>
        <v>1.2628077005208109</v>
      </c>
      <c r="O5" s="20">
        <f t="shared" si="7"/>
        <v>1</v>
      </c>
      <c r="P5" s="20">
        <f t="shared" si="1"/>
        <v>1.0519739113664701</v>
      </c>
      <c r="Q5" s="20">
        <f t="shared" si="1"/>
        <v>1.281613948526608</v>
      </c>
      <c r="R5" s="20">
        <f t="shared" si="1"/>
        <v>0.99976163973772258</v>
      </c>
      <c r="S5" s="19"/>
      <c r="T5" s="20">
        <f t="shared" si="8"/>
        <v>1.1550596616150299</v>
      </c>
      <c r="U5" s="20">
        <f t="shared" si="9"/>
        <v>0.9342125815855945</v>
      </c>
      <c r="V5" s="20">
        <f t="shared" si="10"/>
        <v>1</v>
      </c>
      <c r="W5" s="20">
        <f t="shared" si="11"/>
        <v>1.1283969607468596</v>
      </c>
      <c r="X5" s="20">
        <f t="shared" si="12"/>
        <v>0.93117067508450468</v>
      </c>
      <c r="Y5" s="19"/>
      <c r="Z5" s="20">
        <f t="shared" si="13"/>
        <v>0.77013218944632145</v>
      </c>
      <c r="AA5" s="20">
        <f t="shared" si="14"/>
        <v>0.62938192670937232</v>
      </c>
      <c r="AB5" s="20">
        <f t="shared" si="15"/>
        <v>0.6239908301841387</v>
      </c>
      <c r="AC5" s="20">
        <f t="shared" si="16"/>
        <v>1</v>
      </c>
      <c r="AD5" s="20">
        <f t="shared" si="17"/>
        <v>0.63388036792244229</v>
      </c>
      <c r="AE5" s="19"/>
      <c r="AF5" s="20">
        <f t="shared" si="18"/>
        <v>1.2651742952498359</v>
      </c>
      <c r="AG5" s="20">
        <f t="shared" si="19"/>
        <v>0.9997616397377227</v>
      </c>
      <c r="AH5" s="20">
        <f t="shared" si="20"/>
        <v>1.0485485600673772</v>
      </c>
      <c r="AI5" s="20">
        <f t="shared" si="21"/>
        <v>1.2907741496074365</v>
      </c>
      <c r="AJ5" s="20">
        <f t="shared" si="22"/>
        <v>1</v>
      </c>
    </row>
    <row r="6" spans="1:36" x14ac:dyDescent="0.3">
      <c r="A6" s="17">
        <f t="shared" si="23"/>
        <v>450</v>
      </c>
      <c r="B6" s="35">
        <v>1.5617714653818616E-5</v>
      </c>
      <c r="C6" s="35">
        <v>2.4145386929020003E-5</v>
      </c>
      <c r="D6" s="35">
        <v>2.1905726826384256E-5</v>
      </c>
      <c r="E6" s="35">
        <v>1.1802559023561543E-5</v>
      </c>
      <c r="F6" s="35">
        <v>2.4145386929020003E-5</v>
      </c>
      <c r="H6" s="20">
        <f t="shared" si="5"/>
        <v>1</v>
      </c>
      <c r="I6" s="20">
        <f t="shared" si="0"/>
        <v>0.8128668296343815</v>
      </c>
      <c r="J6" s="20">
        <f t="shared" si="0"/>
        <v>0.83009156504393533</v>
      </c>
      <c r="K6" s="20">
        <f t="shared" si="0"/>
        <v>1.0146345011993649</v>
      </c>
      <c r="L6" s="20">
        <f t="shared" si="0"/>
        <v>0.81441883251741309</v>
      </c>
      <c r="M6" s="19"/>
      <c r="N6" s="20">
        <f t="shared" si="6"/>
        <v>1.2567129415755476</v>
      </c>
      <c r="O6" s="20">
        <f t="shared" si="7"/>
        <v>1</v>
      </c>
      <c r="P6" s="20">
        <f t="shared" si="1"/>
        <v>1.0410203140289398</v>
      </c>
      <c r="Q6" s="20">
        <f t="shared" si="1"/>
        <v>1.2860084457164815</v>
      </c>
      <c r="R6" s="20">
        <f t="shared" si="1"/>
        <v>0.99976163973772258</v>
      </c>
      <c r="S6" s="19"/>
      <c r="T6" s="20">
        <f t="shared" si="8"/>
        <v>1.1643034507799894</v>
      </c>
      <c r="U6" s="20">
        <f t="shared" si="9"/>
        <v>0.94445811478906261</v>
      </c>
      <c r="V6" s="20">
        <f t="shared" si="10"/>
        <v>1</v>
      </c>
      <c r="W6" s="20">
        <f t="shared" si="11"/>
        <v>1.1504985137955663</v>
      </c>
      <c r="X6" s="20">
        <f t="shared" si="12"/>
        <v>0.94147249044620873</v>
      </c>
      <c r="Y6" s="19"/>
      <c r="Z6" s="20">
        <f t="shared" si="13"/>
        <v>0.76677566809170783</v>
      </c>
      <c r="AA6" s="20">
        <f t="shared" si="14"/>
        <v>0.62861658129507803</v>
      </c>
      <c r="AB6" s="20">
        <f t="shared" si="15"/>
        <v>0.61987564819063889</v>
      </c>
      <c r="AC6" s="20">
        <f t="shared" si="16"/>
        <v>1</v>
      </c>
      <c r="AD6" s="20">
        <f t="shared" si="17"/>
        <v>0.63309937574687625</v>
      </c>
      <c r="AE6" s="19"/>
      <c r="AF6" s="20">
        <f t="shared" si="18"/>
        <v>1.2591123777898969</v>
      </c>
      <c r="AG6" s="20">
        <f t="shared" si="19"/>
        <v>0.9997616397377227</v>
      </c>
      <c r="AH6" s="20">
        <f t="shared" si="20"/>
        <v>1.0377294369193026</v>
      </c>
      <c r="AI6" s="20">
        <f t="shared" si="21"/>
        <v>1.2951792370970496</v>
      </c>
      <c r="AJ6" s="20">
        <f t="shared" si="22"/>
        <v>1</v>
      </c>
    </row>
    <row r="7" spans="1:36" x14ac:dyDescent="0.3">
      <c r="A7" s="17">
        <f t="shared" si="23"/>
        <v>500</v>
      </c>
      <c r="B7" s="35">
        <v>1.6931001433983565E-5</v>
      </c>
      <c r="C7" s="35">
        <v>2.6012399487748252E-5</v>
      </c>
      <c r="D7" s="35">
        <v>2.401707836888084E-5</v>
      </c>
      <c r="E7" s="35">
        <v>1.2682763985822909E-5</v>
      </c>
      <c r="F7" s="35">
        <v>2.6012399487748252E-5</v>
      </c>
      <c r="H7" s="20">
        <f t="shared" si="5"/>
        <v>1</v>
      </c>
      <c r="I7" s="20">
        <f t="shared" si="0"/>
        <v>0.81494437229641525</v>
      </c>
      <c r="J7" s="20">
        <f t="shared" si="0"/>
        <v>0.82639786238119273</v>
      </c>
      <c r="K7" s="20">
        <f t="shared" si="0"/>
        <v>1.020552260407678</v>
      </c>
      <c r="L7" s="20">
        <f t="shared" si="0"/>
        <v>0.81652238833325708</v>
      </c>
      <c r="M7" s="19"/>
      <c r="N7" s="20">
        <f t="shared" si="6"/>
        <v>1.2520617079340073</v>
      </c>
      <c r="O7" s="20">
        <f t="shared" si="7"/>
        <v>1</v>
      </c>
      <c r="P7" s="20">
        <f t="shared" si="1"/>
        <v>1.0321623981232513</v>
      </c>
      <c r="Q7" s="20">
        <f t="shared" si="1"/>
        <v>1.2884335277858867</v>
      </c>
      <c r="R7" s="20">
        <f t="shared" si="1"/>
        <v>0.99976163973772258</v>
      </c>
      <c r="S7" s="19"/>
      <c r="T7" s="20">
        <f t="shared" si="8"/>
        <v>1.172267470537619</v>
      </c>
      <c r="U7" s="20">
        <f t="shared" si="9"/>
        <v>0.95298879354878041</v>
      </c>
      <c r="V7" s="20">
        <f t="shared" si="10"/>
        <v>1</v>
      </c>
      <c r="W7" s="20">
        <f t="shared" si="11"/>
        <v>1.167913509425772</v>
      </c>
      <c r="X7" s="20">
        <f t="shared" si="12"/>
        <v>0.95005040259448625</v>
      </c>
      <c r="Y7" s="19"/>
      <c r="Z7" s="20">
        <f t="shared" si="13"/>
        <v>0.76448067791010144</v>
      </c>
      <c r="AA7" s="20">
        <f t="shared" si="14"/>
        <v>0.62819650113501113</v>
      </c>
      <c r="AB7" s="20">
        <f t="shared" si="15"/>
        <v>0.61674326778621691</v>
      </c>
      <c r="AC7" s="20">
        <f t="shared" si="16"/>
        <v>1</v>
      </c>
      <c r="AD7" s="20">
        <f t="shared" si="17"/>
        <v>0.6326707101160769</v>
      </c>
      <c r="AE7" s="19"/>
      <c r="AF7" s="20">
        <f t="shared" si="18"/>
        <v>1.254486135319975</v>
      </c>
      <c r="AG7" s="20">
        <f t="shared" si="19"/>
        <v>0.9997616397377227</v>
      </c>
      <c r="AH7" s="20">
        <f t="shared" si="20"/>
        <v>1.0289798878203611</v>
      </c>
      <c r="AI7" s="20">
        <f t="shared" si="21"/>
        <v>1.2976101482400124</v>
      </c>
      <c r="AJ7" s="20">
        <f t="shared" si="22"/>
        <v>1</v>
      </c>
    </row>
    <row r="8" spans="1:36" x14ac:dyDescent="0.3">
      <c r="A8" s="17">
        <f t="shared" si="23"/>
        <v>550</v>
      </c>
      <c r="B8" s="35">
        <v>1.8183594322960873E-5</v>
      </c>
      <c r="C8" s="35">
        <v>2.7801353479161252E-5</v>
      </c>
      <c r="D8" s="35">
        <v>2.6042132479705184E-5</v>
      </c>
      <c r="E8" s="35">
        <v>1.3539932368680856E-5</v>
      </c>
      <c r="F8" s="35">
        <v>2.7801353479161252E-5</v>
      </c>
      <c r="H8" s="20">
        <f t="shared" si="5"/>
        <v>1</v>
      </c>
      <c r="I8" s="20">
        <f t="shared" si="0"/>
        <v>0.81656416046091973</v>
      </c>
      <c r="J8" s="20">
        <f t="shared" si="0"/>
        <v>0.8232835582329262</v>
      </c>
      <c r="K8" s="20">
        <f t="shared" si="0"/>
        <v>1.0245884247398716</v>
      </c>
      <c r="L8" s="20">
        <f t="shared" si="0"/>
        <v>0.81816247772439743</v>
      </c>
      <c r="M8" s="19"/>
      <c r="N8" s="20">
        <f t="shared" si="6"/>
        <v>1.2484654276917471</v>
      </c>
      <c r="O8" s="20">
        <f t="shared" si="7"/>
        <v>1</v>
      </c>
      <c r="P8" s="20">
        <f t="shared" si="1"/>
        <v>1.024955397086168</v>
      </c>
      <c r="Q8" s="20">
        <f t="shared" si="1"/>
        <v>1.2894917314426435</v>
      </c>
      <c r="R8" s="20">
        <f t="shared" si="1"/>
        <v>0.99976163973772258</v>
      </c>
      <c r="S8" s="19"/>
      <c r="T8" s="20">
        <f t="shared" si="8"/>
        <v>1.1790880895749005</v>
      </c>
      <c r="U8" s="20">
        <f t="shared" si="9"/>
        <v>0.96009801309544363</v>
      </c>
      <c r="V8" s="20">
        <f t="shared" si="10"/>
        <v>1</v>
      </c>
      <c r="W8" s="20">
        <f t="shared" si="11"/>
        <v>1.1816059390393259</v>
      </c>
      <c r="X8" s="20">
        <f t="shared" si="12"/>
        <v>0.95719923945942409</v>
      </c>
      <c r="Y8" s="19"/>
      <c r="Z8" s="20">
        <f t="shared" si="13"/>
        <v>0.76293265953439759</v>
      </c>
      <c r="AA8" s="20">
        <f t="shared" si="14"/>
        <v>0.62801369892993109</v>
      </c>
      <c r="AB8" s="20">
        <f t="shared" si="15"/>
        <v>0.61434540790744163</v>
      </c>
      <c r="AC8" s="20">
        <f t="shared" si="16"/>
        <v>1</v>
      </c>
      <c r="AD8" s="20">
        <f t="shared" si="17"/>
        <v>0.63248417244655408</v>
      </c>
      <c r="AE8" s="19"/>
      <c r="AF8" s="20">
        <f t="shared" si="18"/>
        <v>1.2509091350482007</v>
      </c>
      <c r="AG8" s="20">
        <f t="shared" si="19"/>
        <v>0.9997616397377227</v>
      </c>
      <c r="AH8" s="20">
        <f t="shared" si="20"/>
        <v>1.0218608029482317</v>
      </c>
      <c r="AI8" s="20">
        <f t="shared" si="21"/>
        <v>1.2986708920965286</v>
      </c>
      <c r="AJ8" s="20">
        <f t="shared" si="22"/>
        <v>1</v>
      </c>
    </row>
    <row r="9" spans="1:36" x14ac:dyDescent="0.3">
      <c r="A9" s="17">
        <f t="shared" si="23"/>
        <v>600</v>
      </c>
      <c r="B9" s="35">
        <v>1.9383351886773399E-5</v>
      </c>
      <c r="C9" s="35">
        <v>2.9523052350328399E-5</v>
      </c>
      <c r="D9" s="35">
        <v>2.7987173862092605E-5</v>
      </c>
      <c r="E9" s="35">
        <v>1.437706138269561E-5</v>
      </c>
      <c r="F9" s="35">
        <v>2.9523052350328399E-5</v>
      </c>
      <c r="H9" s="20">
        <f t="shared" si="5"/>
        <v>1</v>
      </c>
      <c r="I9" s="20">
        <f t="shared" si="0"/>
        <v>0.81783669879094845</v>
      </c>
      <c r="J9" s="20">
        <f t="shared" si="0"/>
        <v>0.82065420176527837</v>
      </c>
      <c r="K9" s="20">
        <f t="shared" si="0"/>
        <v>1.0272369085522155</v>
      </c>
      <c r="L9" s="20">
        <f t="shared" si="0"/>
        <v>0.8194509771604761</v>
      </c>
      <c r="M9" s="19"/>
      <c r="N9" s="20">
        <f t="shared" si="6"/>
        <v>1.2456584296393418</v>
      </c>
      <c r="O9" s="20">
        <f t="shared" si="7"/>
        <v>1</v>
      </c>
      <c r="P9" s="20">
        <f t="shared" si="1"/>
        <v>1.0190519272548255</v>
      </c>
      <c r="Q9" s="20">
        <f t="shared" si="1"/>
        <v>1.2895831186052977</v>
      </c>
      <c r="R9" s="20">
        <f t="shared" si="1"/>
        <v>0.99976163973772258</v>
      </c>
      <c r="S9" s="19"/>
      <c r="T9" s="20">
        <f t="shared" si="8"/>
        <v>1.1849236375435241</v>
      </c>
      <c r="U9" s="20">
        <f t="shared" si="9"/>
        <v>0.96603776344501502</v>
      </c>
      <c r="V9" s="20">
        <f t="shared" si="10"/>
        <v>1</v>
      </c>
      <c r="W9" s="20">
        <f t="shared" si="11"/>
        <v>1.1923355162747267</v>
      </c>
      <c r="X9" s="20">
        <f t="shared" si="12"/>
        <v>0.96317226540282419</v>
      </c>
      <c r="Y9" s="19"/>
      <c r="Z9" s="20">
        <f t="shared" si="13"/>
        <v>0.761924365563592</v>
      </c>
      <c r="AA9" s="20">
        <f t="shared" si="14"/>
        <v>0.62799792630758111</v>
      </c>
      <c r="AB9" s="20">
        <f t="shared" si="15"/>
        <v>0.61250489208802439</v>
      </c>
      <c r="AC9" s="20">
        <f t="shared" si="16"/>
        <v>1</v>
      </c>
      <c r="AD9" s="20">
        <f t="shared" si="17"/>
        <v>0.6324680775359941</v>
      </c>
      <c r="AE9" s="19"/>
      <c r="AF9" s="20">
        <f t="shared" si="18"/>
        <v>1.2481171594343718</v>
      </c>
      <c r="AG9" s="20">
        <f t="shared" si="19"/>
        <v>0.9997616397377227</v>
      </c>
      <c r="AH9" s="20">
        <f t="shared" si="20"/>
        <v>1.016029176578882</v>
      </c>
      <c r="AI9" s="20">
        <f t="shared" si="21"/>
        <v>1.2987624985368014</v>
      </c>
      <c r="AJ9" s="20">
        <f t="shared" si="22"/>
        <v>1</v>
      </c>
    </row>
    <row r="10" spans="1:36" x14ac:dyDescent="0.3">
      <c r="A10" s="17">
        <f t="shared" si="23"/>
        <v>650</v>
      </c>
      <c r="B10" s="35">
        <v>2.0536626345330234E-5</v>
      </c>
      <c r="C10" s="35">
        <v>3.1185957088539986E-5</v>
      </c>
      <c r="D10" s="35">
        <v>2.9858478534896744E-5</v>
      </c>
      <c r="E10" s="35">
        <v>1.5196469093854172E-5</v>
      </c>
      <c r="F10" s="35">
        <v>3.1185957088539986E-5</v>
      </c>
      <c r="H10" s="20">
        <f t="shared" si="5"/>
        <v>1</v>
      </c>
      <c r="I10" s="20">
        <f t="shared" si="0"/>
        <v>0.81884123655507524</v>
      </c>
      <c r="J10" s="20">
        <f t="shared" si="0"/>
        <v>0.81842719867733926</v>
      </c>
      <c r="K10" s="20">
        <f t="shared" si="0"/>
        <v>1.0288463494337974</v>
      </c>
      <c r="L10" s="20">
        <f t="shared" si="0"/>
        <v>0.82046812204381514</v>
      </c>
      <c r="M10" s="19"/>
      <c r="N10" s="20">
        <f t="shared" si="6"/>
        <v>1.2434538777758033</v>
      </c>
      <c r="O10" s="20">
        <f t="shared" si="7"/>
        <v>1</v>
      </c>
      <c r="P10" s="20">
        <f t="shared" si="1"/>
        <v>1.0141854738197342</v>
      </c>
      <c r="Q10" s="20">
        <f t="shared" si="1"/>
        <v>1.2889809326479347</v>
      </c>
      <c r="R10" s="20">
        <f t="shared" si="1"/>
        <v>0.99976163973772258</v>
      </c>
      <c r="S10" s="19"/>
      <c r="T10" s="20">
        <f t="shared" si="8"/>
        <v>1.1899223627662516</v>
      </c>
      <c r="U10" s="20">
        <f t="shared" si="9"/>
        <v>0.9710150987021805</v>
      </c>
      <c r="V10" s="20">
        <f t="shared" si="10"/>
        <v>1</v>
      </c>
      <c r="W10" s="20">
        <f t="shared" si="11"/>
        <v>1.2006951717186454</v>
      </c>
      <c r="X10" s="20">
        <f t="shared" si="12"/>
        <v>0.9681776064023575</v>
      </c>
      <c r="Y10" s="19"/>
      <c r="Z10" s="20">
        <f t="shared" si="13"/>
        <v>0.7613145162496735</v>
      </c>
      <c r="AA10" s="20">
        <f t="shared" si="14"/>
        <v>0.62810190015780298</v>
      </c>
      <c r="AB10" s="20">
        <f t="shared" si="15"/>
        <v>0.61109366462986869</v>
      </c>
      <c r="AC10" s="20">
        <f t="shared" si="16"/>
        <v>1</v>
      </c>
      <c r="AD10" s="20">
        <f t="shared" si="17"/>
        <v>0.63257417597413312</v>
      </c>
      <c r="AE10" s="19"/>
      <c r="AF10" s="20">
        <f t="shared" si="18"/>
        <v>1.2459243897375376</v>
      </c>
      <c r="AG10" s="20">
        <f t="shared" si="19"/>
        <v>0.9997616397377227</v>
      </c>
      <c r="AH10" s="20">
        <f t="shared" si="20"/>
        <v>1.0112218294063753</v>
      </c>
      <c r="AI10" s="20">
        <f t="shared" si="21"/>
        <v>1.2981588673928284</v>
      </c>
      <c r="AJ10" s="20">
        <f t="shared" si="22"/>
        <v>1</v>
      </c>
    </row>
    <row r="11" spans="1:36" x14ac:dyDescent="0.3">
      <c r="A11" s="17">
        <f t="shared" si="23"/>
        <v>700</v>
      </c>
      <c r="B11" s="35">
        <v>2.1648625762371252E-5</v>
      </c>
      <c r="C11" s="35">
        <v>3.2796845146705307E-5</v>
      </c>
      <c r="D11" s="35">
        <v>3.1661977751033906E-5</v>
      </c>
      <c r="E11" s="35">
        <v>1.6000003188881081E-5</v>
      </c>
      <c r="F11" s="35">
        <v>3.2796845146705307E-5</v>
      </c>
      <c r="H11" s="20">
        <f t="shared" si="5"/>
        <v>1</v>
      </c>
      <c r="I11" s="20">
        <f t="shared" si="0"/>
        <v>0.81963581526774665</v>
      </c>
      <c r="J11" s="20">
        <f t="shared" si="0"/>
        <v>0.81653385273739598</v>
      </c>
      <c r="K11" s="20">
        <f t="shared" si="0"/>
        <v>1.0296679884905651</v>
      </c>
      <c r="L11" s="20">
        <f t="shared" si="0"/>
        <v>0.82127267751507671</v>
      </c>
      <c r="M11" s="19"/>
      <c r="N11" s="20">
        <f t="shared" si="6"/>
        <v>1.2417171050531119</v>
      </c>
      <c r="O11" s="20">
        <f t="shared" si="7"/>
        <v>1</v>
      </c>
      <c r="P11" s="20">
        <f t="shared" si="1"/>
        <v>1.0101517175306074</v>
      </c>
      <c r="Q11" s="20">
        <f t="shared" si="1"/>
        <v>1.287876277081629</v>
      </c>
      <c r="R11" s="20">
        <f t="shared" si="1"/>
        <v>0.99976163973772258</v>
      </c>
      <c r="S11" s="19"/>
      <c r="T11" s="20">
        <f t="shared" si="8"/>
        <v>1.1942132938190553</v>
      </c>
      <c r="U11" s="20">
        <f t="shared" si="9"/>
        <v>0.97519749422714685</v>
      </c>
      <c r="V11" s="20">
        <f t="shared" si="10"/>
        <v>1</v>
      </c>
      <c r="W11" s="20">
        <f t="shared" si="11"/>
        <v>1.2071477124573782</v>
      </c>
      <c r="X11" s="20">
        <f t="shared" si="12"/>
        <v>0.97238362000846512</v>
      </c>
      <c r="Y11" s="19"/>
      <c r="Z11" s="20">
        <f t="shared" si="13"/>
        <v>0.76100401384245997</v>
      </c>
      <c r="AA11" s="20">
        <f t="shared" si="14"/>
        <v>0.62829288756331447</v>
      </c>
      <c r="AB11" s="20">
        <f t="shared" si="15"/>
        <v>0.6100177127481512</v>
      </c>
      <c r="AC11" s="20">
        <f t="shared" si="16"/>
        <v>1</v>
      </c>
      <c r="AD11" s="20">
        <f t="shared" si="17"/>
        <v>0.63276906629351215</v>
      </c>
      <c r="AE11" s="19"/>
      <c r="AF11" s="20">
        <f t="shared" si="18"/>
        <v>1.2441968891392445</v>
      </c>
      <c r="AG11" s="20">
        <f t="shared" si="19"/>
        <v>0.9997616397377227</v>
      </c>
      <c r="AH11" s="20">
        <f t="shared" si="20"/>
        <v>1.0072369849848992</v>
      </c>
      <c r="AI11" s="20">
        <f t="shared" si="21"/>
        <v>1.2970515590444027</v>
      </c>
      <c r="AJ11" s="20">
        <f t="shared" si="22"/>
        <v>1</v>
      </c>
    </row>
    <row r="12" spans="1:36" x14ac:dyDescent="0.3">
      <c r="A12" s="17">
        <f t="shared" si="23"/>
        <v>750</v>
      </c>
      <c r="B12" s="35">
        <v>2.2723675209856552E-5</v>
      </c>
      <c r="C12" s="35">
        <v>3.436124855302177E-5</v>
      </c>
      <c r="D12" s="35">
        <v>3.3403127981944363E-5</v>
      </c>
      <c r="E12" s="35">
        <v>1.6789172073852852E-5</v>
      </c>
      <c r="F12" s="35">
        <v>3.436124855302177E-5</v>
      </c>
      <c r="H12" s="20">
        <f t="shared" si="5"/>
        <v>1</v>
      </c>
      <c r="I12" s="20">
        <f t="shared" si="0"/>
        <v>0.82026374639495603</v>
      </c>
      <c r="J12" s="20">
        <f t="shared" si="0"/>
        <v>0.81491809535915283</v>
      </c>
      <c r="K12" s="20">
        <f t="shared" si="0"/>
        <v>1.0298861876483165</v>
      </c>
      <c r="L12" s="20">
        <f t="shared" si="0"/>
        <v>0.82190849587598458</v>
      </c>
      <c r="M12" s="19"/>
      <c r="N12" s="20">
        <f t="shared" si="6"/>
        <v>1.2403489404163084</v>
      </c>
      <c r="O12" s="20">
        <f t="shared" si="7"/>
        <v>1</v>
      </c>
      <c r="P12" s="20">
        <f t="shared" si="1"/>
        <v>1.0067930604093589</v>
      </c>
      <c r="Q12" s="20">
        <f t="shared" si="1"/>
        <v>1.2864055079624879</v>
      </c>
      <c r="R12" s="20">
        <f t="shared" si="1"/>
        <v>0.99976163973772258</v>
      </c>
      <c r="S12" s="19"/>
      <c r="T12" s="20">
        <f t="shared" si="8"/>
        <v>1.197905408464776</v>
      </c>
      <c r="U12" s="20">
        <f t="shared" si="9"/>
        <v>0.97871989128374659</v>
      </c>
      <c r="V12" s="20">
        <f t="shared" si="10"/>
        <v>1</v>
      </c>
      <c r="W12" s="20">
        <f t="shared" si="11"/>
        <v>1.2120559770098784</v>
      </c>
      <c r="X12" s="20">
        <f t="shared" si="12"/>
        <v>0.97592596807787069</v>
      </c>
      <c r="Y12" s="19"/>
      <c r="Z12" s="20">
        <f t="shared" si="13"/>
        <v>0.7609216493911084</v>
      </c>
      <c r="AA12" s="20">
        <f t="shared" si="14"/>
        <v>0.62854769076879102</v>
      </c>
      <c r="AB12" s="20">
        <f t="shared" si="15"/>
        <v>0.60920690936969446</v>
      </c>
      <c r="AC12" s="20">
        <f t="shared" si="16"/>
        <v>1</v>
      </c>
      <c r="AD12" s="20">
        <f t="shared" si="17"/>
        <v>0.63302907712713863</v>
      </c>
      <c r="AE12" s="19"/>
      <c r="AF12" s="20">
        <f t="shared" si="18"/>
        <v>1.2428360225103423</v>
      </c>
      <c r="AG12" s="20">
        <f t="shared" si="19"/>
        <v>0.9997616397377227</v>
      </c>
      <c r="AH12" s="20">
        <f t="shared" si="20"/>
        <v>1.0039189975441374</v>
      </c>
      <c r="AI12" s="20">
        <f t="shared" si="21"/>
        <v>1.2955772544812525</v>
      </c>
      <c r="AJ12" s="20">
        <f t="shared" si="22"/>
        <v>1</v>
      </c>
    </row>
    <row r="13" spans="1:36" x14ac:dyDescent="0.3">
      <c r="A13" s="17">
        <f t="shared" si="23"/>
        <v>800</v>
      </c>
      <c r="B13" s="35">
        <v>2.3765408068193426E-5</v>
      </c>
      <c r="C13" s="35">
        <v>3.5883755272546038E-5</v>
      </c>
      <c r="D13" s="35">
        <v>3.508688010299101E-5</v>
      </c>
      <c r="E13" s="35">
        <v>1.7565231209349316E-5</v>
      </c>
      <c r="F13" s="35">
        <v>3.5883755272546038E-5</v>
      </c>
      <c r="H13" s="20">
        <f t="shared" si="5"/>
        <v>1</v>
      </c>
      <c r="I13" s="20">
        <f t="shared" si="0"/>
        <v>0.82075789099049312</v>
      </c>
      <c r="J13" s="20">
        <f t="shared" si="0"/>
        <v>0.81353442350823546</v>
      </c>
      <c r="K13" s="20">
        <f t="shared" si="0"/>
        <v>1.0296383953955157</v>
      </c>
      <c r="L13" s="20">
        <f t="shared" si="0"/>
        <v>0.82240884906024114</v>
      </c>
      <c r="M13" s="19"/>
      <c r="N13" s="20">
        <f t="shared" si="6"/>
        <v>1.2392749669521124</v>
      </c>
      <c r="O13" s="20">
        <f t="shared" si="7"/>
        <v>1</v>
      </c>
      <c r="P13" s="20">
        <f t="shared" si="1"/>
        <v>1.0039868599828032</v>
      </c>
      <c r="Q13" s="20">
        <f t="shared" si="1"/>
        <v>1.284667580133104</v>
      </c>
      <c r="R13" s="20">
        <f t="shared" si="1"/>
        <v>0.99976163973772258</v>
      </c>
      <c r="S13" s="19"/>
      <c r="T13" s="20">
        <f t="shared" si="8"/>
        <v>1.2010896129106201</v>
      </c>
      <c r="U13" s="20">
        <f t="shared" si="9"/>
        <v>0.98169119462662136</v>
      </c>
      <c r="V13" s="20">
        <f t="shared" si="10"/>
        <v>1</v>
      </c>
      <c r="W13" s="20">
        <f t="shared" si="11"/>
        <v>1.2157062300124823</v>
      </c>
      <c r="X13" s="20">
        <f t="shared" si="12"/>
        <v>0.97891414340906413</v>
      </c>
      <c r="Y13" s="19"/>
      <c r="Z13" s="20">
        <f t="shared" si="13"/>
        <v>0.76101518750485719</v>
      </c>
      <c r="AA13" s="20">
        <f t="shared" si="14"/>
        <v>0.62884954210624855</v>
      </c>
      <c r="AB13" s="20">
        <f t="shared" si="15"/>
        <v>0.60860814498566085</v>
      </c>
      <c r="AC13" s="20">
        <f t="shared" si="16"/>
        <v>1</v>
      </c>
      <c r="AD13" s="20">
        <f t="shared" si="17"/>
        <v>0.63333709855633691</v>
      </c>
      <c r="AE13" s="19"/>
      <c r="AF13" s="20">
        <f t="shared" si="18"/>
        <v>1.2417677739415856</v>
      </c>
      <c r="AG13" s="20">
        <f t="shared" si="19"/>
        <v>0.9997616397377227</v>
      </c>
      <c r="AH13" s="20">
        <f t="shared" si="20"/>
        <v>1.0011467378067183</v>
      </c>
      <c r="AI13" s="20">
        <f t="shared" si="21"/>
        <v>1.2938351439133624</v>
      </c>
      <c r="AJ13" s="20">
        <f t="shared" si="22"/>
        <v>1</v>
      </c>
    </row>
    <row r="14" spans="1:36" x14ac:dyDescent="0.3">
      <c r="A14" s="17">
        <f t="shared" si="23"/>
        <v>850</v>
      </c>
      <c r="B14" s="35">
        <v>2.4776908371381215E-5</v>
      </c>
      <c r="C14" s="35">
        <v>3.7368222590959552E-5</v>
      </c>
      <c r="D14" s="35">
        <v>3.6717695223215362E-5</v>
      </c>
      <c r="E14" s="35">
        <v>1.8329242264650574E-5</v>
      </c>
      <c r="F14" s="35">
        <v>3.7368222590959552E-5</v>
      </c>
      <c r="H14" s="20">
        <f t="shared" si="5"/>
        <v>1</v>
      </c>
      <c r="I14" s="20">
        <f t="shared" si="0"/>
        <v>0.82114355257313076</v>
      </c>
      <c r="J14" s="20">
        <f t="shared" si="0"/>
        <v>0.81234588915034978</v>
      </c>
      <c r="K14" s="20">
        <f t="shared" si="0"/>
        <v>1.0290285215710928</v>
      </c>
      <c r="L14" s="20">
        <f t="shared" si="0"/>
        <v>0.82279935731915299</v>
      </c>
      <c r="M14" s="19"/>
      <c r="N14" s="20">
        <f t="shared" si="6"/>
        <v>1.2384384117562726</v>
      </c>
      <c r="O14" s="20">
        <f t="shared" si="7"/>
        <v>1</v>
      </c>
      <c r="P14" s="20">
        <f t="shared" si="1"/>
        <v>1.0016367361650538</v>
      </c>
      <c r="Q14" s="20">
        <f t="shared" si="1"/>
        <v>1.2827353449078327</v>
      </c>
      <c r="R14" s="20">
        <f t="shared" si="1"/>
        <v>0.99976163973772258</v>
      </c>
      <c r="S14" s="19"/>
      <c r="T14" s="20">
        <f t="shared" si="8"/>
        <v>1.203841428743665</v>
      </c>
      <c r="U14" s="20">
        <f t="shared" si="9"/>
        <v>0.98419967161569555</v>
      </c>
      <c r="V14" s="20">
        <f t="shared" si="10"/>
        <v>1</v>
      </c>
      <c r="W14" s="20">
        <f t="shared" si="11"/>
        <v>1.2183259200908256</v>
      </c>
      <c r="X14" s="20">
        <f t="shared" si="12"/>
        <v>0.98143689437813697</v>
      </c>
      <c r="Y14" s="19"/>
      <c r="Z14" s="20">
        <f t="shared" si="13"/>
        <v>0.76124562380420702</v>
      </c>
      <c r="AA14" s="20">
        <f t="shared" si="14"/>
        <v>0.62918611772383048</v>
      </c>
      <c r="AB14" s="20">
        <f t="shared" si="15"/>
        <v>0.60818062819283192</v>
      </c>
      <c r="AC14" s="20">
        <f t="shared" si="16"/>
        <v>1</v>
      </c>
      <c r="AD14" s="20">
        <f t="shared" si="17"/>
        <v>0.63368055521043443</v>
      </c>
      <c r="AE14" s="19"/>
      <c r="AF14" s="20">
        <f t="shared" si="18"/>
        <v>1.2409356757162913</v>
      </c>
      <c r="AG14" s="20">
        <f t="shared" si="19"/>
        <v>0.9997616397377227</v>
      </c>
      <c r="AH14" s="20">
        <f t="shared" si="20"/>
        <v>0.99882501080607611</v>
      </c>
      <c r="AI14" s="20">
        <f t="shared" si="21"/>
        <v>1.2918982518079434</v>
      </c>
      <c r="AJ14" s="20">
        <f t="shared" si="22"/>
        <v>1</v>
      </c>
    </row>
    <row r="15" spans="1:36" x14ac:dyDescent="0.3">
      <c r="A15" s="17">
        <f t="shared" si="23"/>
        <v>900</v>
      </c>
      <c r="B15" s="35">
        <v>2.5760818329375184E-5</v>
      </c>
      <c r="C15" s="35">
        <v>3.8817932014343894E-5</v>
      </c>
      <c r="D15" s="35">
        <v>3.8299580858743605E-5</v>
      </c>
      <c r="E15" s="35">
        <v>1.9082115021886612E-5</v>
      </c>
      <c r="F15" s="35">
        <v>3.8817932014343894E-5</v>
      </c>
      <c r="H15" s="20">
        <f t="shared" si="5"/>
        <v>1</v>
      </c>
      <c r="I15" s="20">
        <f t="shared" si="0"/>
        <v>0.8214404741227247</v>
      </c>
      <c r="J15" s="20">
        <f t="shared" si="0"/>
        <v>0.81132238291513703</v>
      </c>
      <c r="K15" s="20">
        <f t="shared" si="0"/>
        <v>1.0281360896933933</v>
      </c>
      <c r="L15" s="20">
        <f t="shared" si="0"/>
        <v>0.8231000109915696</v>
      </c>
      <c r="M15" s="19"/>
      <c r="N15" s="20">
        <f t="shared" si="6"/>
        <v>1.2377953243032607</v>
      </c>
      <c r="O15" s="20">
        <f t="shared" si="7"/>
        <v>1</v>
      </c>
      <c r="P15" s="20">
        <f t="shared" si="1"/>
        <v>0.99966619455320682</v>
      </c>
      <c r="Q15" s="20">
        <f t="shared" si="1"/>
        <v>1.2806630916372437</v>
      </c>
      <c r="R15" s="20">
        <f t="shared" si="1"/>
        <v>0.99976163973772258</v>
      </c>
      <c r="S15" s="19"/>
      <c r="T15" s="20">
        <f t="shared" si="8"/>
        <v>1.2062236070945693</v>
      </c>
      <c r="U15" s="20">
        <f t="shared" si="9"/>
        <v>0.98631725759876765</v>
      </c>
      <c r="V15" s="20">
        <f t="shared" si="10"/>
        <v>1</v>
      </c>
      <c r="W15" s="20">
        <f t="shared" si="11"/>
        <v>1.2200970707696055</v>
      </c>
      <c r="X15" s="20">
        <f t="shared" si="12"/>
        <v>0.98356655139792115</v>
      </c>
      <c r="Y15" s="19"/>
      <c r="Z15" s="20">
        <f t="shared" si="13"/>
        <v>0.76158338104152545</v>
      </c>
      <c r="AA15" s="20">
        <f t="shared" si="14"/>
        <v>0.62954823069597399</v>
      </c>
      <c r="AB15" s="20">
        <f t="shared" si="15"/>
        <v>0.60789262232819885</v>
      </c>
      <c r="AC15" s="20">
        <f t="shared" si="16"/>
        <v>1</v>
      </c>
      <c r="AD15" s="20">
        <f t="shared" si="17"/>
        <v>0.63405007266613356</v>
      </c>
      <c r="AE15" s="19"/>
      <c r="AF15" s="20">
        <f t="shared" si="18"/>
        <v>1.2402960130828811</v>
      </c>
      <c r="AG15" s="20">
        <f t="shared" si="19"/>
        <v>0.9997616397377227</v>
      </c>
      <c r="AH15" s="20">
        <f t="shared" si="20"/>
        <v>0.996878259962233</v>
      </c>
      <c r="AI15" s="20">
        <f t="shared" si="21"/>
        <v>1.2898209965831333</v>
      </c>
      <c r="AJ15" s="20">
        <f t="shared" si="22"/>
        <v>1</v>
      </c>
    </row>
    <row r="16" spans="1:36" x14ac:dyDescent="0.3">
      <c r="A16" s="17">
        <f t="shared" si="23"/>
        <v>950</v>
      </c>
      <c r="B16" s="35">
        <v>2.6719420698859521E-5</v>
      </c>
      <c r="C16" s="35">
        <v>4.02357041733732E-5</v>
      </c>
      <c r="D16" s="35">
        <v>3.9836134248328826E-5</v>
      </c>
      <c r="E16" s="35">
        <v>1.982463791176652E-5</v>
      </c>
      <c r="F16" s="35">
        <v>4.02357041733732E-5</v>
      </c>
      <c r="H16" s="20">
        <f t="shared" si="5"/>
        <v>1</v>
      </c>
      <c r="I16" s="20">
        <f t="shared" si="0"/>
        <v>0.82166424329304766</v>
      </c>
      <c r="J16" s="20">
        <f t="shared" si="0"/>
        <v>0.81043924304259785</v>
      </c>
      <c r="K16" s="20">
        <f t="shared" si="0"/>
        <v>1.0270226210959275</v>
      </c>
      <c r="L16" s="20">
        <f t="shared" si="0"/>
        <v>0.82332659318198043</v>
      </c>
      <c r="M16" s="19"/>
      <c r="N16" s="20">
        <f t="shared" si="6"/>
        <v>1.2373112349845496</v>
      </c>
      <c r="O16" s="20">
        <f t="shared" si="7"/>
        <v>1</v>
      </c>
      <c r="P16" s="20">
        <f t="shared" si="1"/>
        <v>0.99801393880138101</v>
      </c>
      <c r="Q16" s="20">
        <f t="shared" si="1"/>
        <v>1.2784916923078156</v>
      </c>
      <c r="R16" s="20">
        <f t="shared" si="1"/>
        <v>0.99976163973772258</v>
      </c>
      <c r="S16" s="19"/>
      <c r="T16" s="20">
        <f t="shared" si="8"/>
        <v>1.2082884150005899</v>
      </c>
      <c r="U16" s="20">
        <f t="shared" si="9"/>
        <v>0.98810293157750351</v>
      </c>
      <c r="V16" s="20">
        <f t="shared" si="10"/>
        <v>1</v>
      </c>
      <c r="W16" s="20">
        <f t="shared" si="11"/>
        <v>1.2211663846198364</v>
      </c>
      <c r="X16" s="20">
        <f t="shared" si="12"/>
        <v>0.98536241952619863</v>
      </c>
      <c r="Y16" s="19"/>
      <c r="Z16" s="20">
        <f t="shared" si="13"/>
        <v>0.7620057268415702</v>
      </c>
      <c r="AA16" s="20">
        <f t="shared" si="14"/>
        <v>0.62992894977036473</v>
      </c>
      <c r="AB16" s="20">
        <f t="shared" si="15"/>
        <v>0.60771914398608795</v>
      </c>
      <c r="AC16" s="20">
        <f t="shared" si="16"/>
        <v>1</v>
      </c>
      <c r="AD16" s="20">
        <f t="shared" si="17"/>
        <v>0.63443857819480132</v>
      </c>
      <c r="AE16" s="19"/>
      <c r="AF16" s="20">
        <f t="shared" si="18"/>
        <v>1.2398145010215482</v>
      </c>
      <c r="AG16" s="20">
        <f t="shared" si="19"/>
        <v>0.9997616397377227</v>
      </c>
      <c r="AH16" s="20">
        <f t="shared" si="20"/>
        <v>0.99524593848557508</v>
      </c>
      <c r="AI16" s="20">
        <f t="shared" si="21"/>
        <v>1.2876443475051027</v>
      </c>
      <c r="AJ16" s="20">
        <f t="shared" si="22"/>
        <v>1</v>
      </c>
    </row>
    <row r="17" spans="1:36" x14ac:dyDescent="0.3">
      <c r="A17" s="17">
        <f t="shared" si="23"/>
        <v>1000</v>
      </c>
      <c r="B17" s="35">
        <v>2.7654702716178138E-5</v>
      </c>
      <c r="C17" s="35">
        <v>4.162398568976629E-5</v>
      </c>
      <c r="D17" s="35">
        <v>4.1330586291039859E-5</v>
      </c>
      <c r="E17" s="35">
        <v>2.0557500809907979E-5</v>
      </c>
      <c r="F17" s="35">
        <v>4.162398568976629E-5</v>
      </c>
      <c r="H17" s="20">
        <f t="shared" si="5"/>
        <v>1</v>
      </c>
      <c r="I17" s="20">
        <f t="shared" si="0"/>
        <v>0.82182729858759063</v>
      </c>
      <c r="J17" s="20">
        <f t="shared" si="0"/>
        <v>0.80967615271017113</v>
      </c>
      <c r="K17" s="20">
        <f t="shared" si="0"/>
        <v>1.0257361658372417</v>
      </c>
      <c r="L17" s="20">
        <f t="shared" si="0"/>
        <v>0.82349169846221248</v>
      </c>
      <c r="M17" s="19"/>
      <c r="N17" s="20">
        <f t="shared" si="6"/>
        <v>1.2369587938422302</v>
      </c>
      <c r="O17" s="20">
        <f t="shared" si="7"/>
        <v>1</v>
      </c>
      <c r="P17" s="20">
        <f t="shared" si="1"/>
        <v>0.9966304021502721</v>
      </c>
      <c r="Q17" s="20">
        <f t="shared" si="1"/>
        <v>1.2762521791333359</v>
      </c>
      <c r="R17" s="20">
        <f t="shared" si="1"/>
        <v>0.99976163973772258</v>
      </c>
      <c r="S17" s="19"/>
      <c r="T17" s="20">
        <f t="shared" si="8"/>
        <v>1.2100795456321449</v>
      </c>
      <c r="U17" s="20">
        <f t="shared" si="9"/>
        <v>0.98960534782407716</v>
      </c>
      <c r="V17" s="20">
        <f t="shared" si="10"/>
        <v>1</v>
      </c>
      <c r="W17" s="20">
        <f t="shared" si="11"/>
        <v>1.2216528995884055</v>
      </c>
      <c r="X17" s="20">
        <f t="shared" si="12"/>
        <v>0.98687342354433394</v>
      </c>
      <c r="Y17" s="19"/>
      <c r="Z17" s="20">
        <f t="shared" si="13"/>
        <v>0.76249498236751068</v>
      </c>
      <c r="AA17" s="20">
        <f t="shared" si="14"/>
        <v>0.63032299217397891</v>
      </c>
      <c r="AB17" s="20">
        <f t="shared" si="15"/>
        <v>0.60764031499257043</v>
      </c>
      <c r="AC17" s="20">
        <f t="shared" si="16"/>
        <v>1</v>
      </c>
      <c r="AD17" s="20">
        <f t="shared" si="17"/>
        <v>0.63484068117307035</v>
      </c>
      <c r="AE17" s="19"/>
      <c r="AF17" s="20">
        <f t="shared" si="18"/>
        <v>1.2394639358166106</v>
      </c>
      <c r="AG17" s="20">
        <f t="shared" si="19"/>
        <v>0.9997616397377227</v>
      </c>
      <c r="AH17" s="20">
        <f t="shared" si="20"/>
        <v>0.99387908436530736</v>
      </c>
      <c r="AI17" s="20">
        <f t="shared" si="21"/>
        <v>1.2853994107928555</v>
      </c>
      <c r="AJ17" s="20">
        <f t="shared" si="22"/>
        <v>1</v>
      </c>
    </row>
    <row r="18" spans="1:36" x14ac:dyDescent="0.3">
      <c r="A18" s="17">
        <f t="shared" si="23"/>
        <v>1050</v>
      </c>
      <c r="B18" s="35">
        <v>2.8570789679241E-5</v>
      </c>
      <c r="C18" s="35">
        <v>4.298063981918579E-5</v>
      </c>
      <c r="D18" s="35">
        <v>4.2789445744128016E-5</v>
      </c>
      <c r="E18" s="35">
        <v>2.1276848941608581E-5</v>
      </c>
      <c r="F18" s="35">
        <v>4.2984915954404778E-5</v>
      </c>
      <c r="H18" s="20">
        <f t="shared" si="5"/>
        <v>1</v>
      </c>
      <c r="I18" s="20">
        <f t="shared" si="0"/>
        <v>0.82200139821346507</v>
      </c>
      <c r="J18" s="20">
        <f t="shared" si="0"/>
        <v>0.80901602947611695</v>
      </c>
      <c r="K18" s="20">
        <f t="shared" si="0"/>
        <v>1.0245130960091549</v>
      </c>
      <c r="L18" s="20">
        <f t="shared" si="0"/>
        <v>0.82363398474537286</v>
      </c>
      <c r="M18" s="19"/>
      <c r="N18" s="20">
        <f t="shared" si="6"/>
        <v>1.2365827624691195</v>
      </c>
      <c r="O18" s="20">
        <f t="shared" si="7"/>
        <v>1</v>
      </c>
      <c r="P18" s="20">
        <f t="shared" si="1"/>
        <v>0.9953879820682815</v>
      </c>
      <c r="Q18" s="20">
        <f t="shared" si="1"/>
        <v>1.2740717819311163</v>
      </c>
      <c r="R18" s="20">
        <f t="shared" si="1"/>
        <v>0.99971146768859542</v>
      </c>
      <c r="S18" s="19"/>
      <c r="T18" s="20">
        <f t="shared" si="8"/>
        <v>1.2116342561070508</v>
      </c>
      <c r="U18" s="20">
        <f t="shared" si="9"/>
        <v>0.99096012139994827</v>
      </c>
      <c r="V18" s="20">
        <f t="shared" si="10"/>
        <v>1</v>
      </c>
      <c r="W18" s="20">
        <f t="shared" si="11"/>
        <v>1.2219247630450938</v>
      </c>
      <c r="X18" s="20">
        <f t="shared" si="12"/>
        <v>0.98818407293608512</v>
      </c>
      <c r="Y18" s="19"/>
      <c r="Z18" s="20">
        <f t="shared" si="13"/>
        <v>0.76296142414029333</v>
      </c>
      <c r="AA18" s="20">
        <f t="shared" si="14"/>
        <v>0.63070798757197166</v>
      </c>
      <c r="AB18" s="20">
        <f t="shared" si="15"/>
        <v>0.60759629271171656</v>
      </c>
      <c r="AC18" s="20">
        <f t="shared" si="16"/>
        <v>1</v>
      </c>
      <c r="AD18" s="20">
        <f t="shared" si="17"/>
        <v>0.63521669855955598</v>
      </c>
      <c r="AE18" s="19"/>
      <c r="AF18" s="20">
        <f t="shared" si="18"/>
        <v>1.2391620255843026</v>
      </c>
      <c r="AG18" s="20">
        <f t="shared" si="19"/>
        <v>0.9998109287816318</v>
      </c>
      <c r="AH18" s="20">
        <f t="shared" si="20"/>
        <v>0.9926982830449057</v>
      </c>
      <c r="AI18" s="20">
        <f t="shared" si="21"/>
        <v>1.2833073391342444</v>
      </c>
      <c r="AJ18" s="20">
        <f t="shared" si="22"/>
        <v>1</v>
      </c>
    </row>
    <row r="19" spans="1:36" x14ac:dyDescent="0.3">
      <c r="A19" s="17">
        <f t="shared" si="23"/>
        <v>1100</v>
      </c>
      <c r="B19" s="35">
        <v>2.9471359091525452E-5</v>
      </c>
      <c r="C19" s="35">
        <v>4.430577432562155E-5</v>
      </c>
      <c r="D19" s="35">
        <v>4.4218834030382452E-5</v>
      </c>
      <c r="E19" s="35">
        <v>2.1980455758778644E-5</v>
      </c>
      <c r="F19" s="35">
        <v>4.4320379231698144E-5</v>
      </c>
      <c r="H19" s="20">
        <f t="shared" si="5"/>
        <v>1</v>
      </c>
      <c r="I19" s="20">
        <f t="shared" ref="I19:I35" si="24">((1+(($B19/C19)^0.5)*(($A$39/B$39)^0.25))^2)/((4/SQRT(2))*((1+($A$39/B$39))^0.5))</f>
        <v>0.82222721321854697</v>
      </c>
      <c r="J19" s="20">
        <f t="shared" ref="J19:J35" si="25">((1+(($B19/D19)^0.5)*(($A$39/C$39)^0.25))^2)/((4/SQRT(2))*((1+($A$39/C$39))^0.5))</f>
        <v>0.80844293744816176</v>
      </c>
      <c r="K19" s="20">
        <f t="shared" ref="K19:K35" si="26">((1+(($B19/E19)^0.5)*(($A$39/D$39)^0.25))^2)/((4/SQRT(2))*((1+($A$39/D$39))^0.5))</f>
        <v>1.0234978515174327</v>
      </c>
      <c r="L19" s="20">
        <f t="shared" ref="L19:L35" si="27">((1+(($B19/F19)^0.5)*(($A$39/E$39)^0.25))^2)/((4/SQRT(2))*((1+($A$39/E$39))^0.5))</f>
        <v>0.82378395067086918</v>
      </c>
      <c r="M19" s="19"/>
      <c r="N19" s="20">
        <f t="shared" si="6"/>
        <v>1.2360954661137771</v>
      </c>
      <c r="O19" s="20">
        <f t="shared" si="7"/>
        <v>1</v>
      </c>
      <c r="P19" s="20">
        <f t="shared" si="7"/>
        <v>0.99420545035709396</v>
      </c>
      <c r="Q19" s="20">
        <f t="shared" si="7"/>
        <v>1.2720378314307739</v>
      </c>
      <c r="R19" s="20">
        <f t="shared" si="7"/>
        <v>0.99959543853160582</v>
      </c>
      <c r="S19" s="19"/>
      <c r="T19" s="20">
        <f t="shared" si="8"/>
        <v>1.2129879712379688</v>
      </c>
      <c r="U19" s="20">
        <f t="shared" si="9"/>
        <v>0.99225454177467953</v>
      </c>
      <c r="V19" s="20">
        <f t="shared" si="10"/>
        <v>1</v>
      </c>
      <c r="W19" s="20">
        <f t="shared" si="11"/>
        <v>1.2222245987694205</v>
      </c>
      <c r="X19" s="20">
        <f t="shared" si="12"/>
        <v>0.98936560939720464</v>
      </c>
      <c r="Y19" s="19"/>
      <c r="Z19" s="20">
        <f t="shared" si="13"/>
        <v>0.7633495684612982</v>
      </c>
      <c r="AA19" s="20">
        <f t="shared" si="14"/>
        <v>0.63106833596378209</v>
      </c>
      <c r="AB19" s="20">
        <f t="shared" si="15"/>
        <v>0.60754776351822037</v>
      </c>
      <c r="AC19" s="20">
        <f t="shared" si="16"/>
        <v>1</v>
      </c>
      <c r="AD19" s="20">
        <f t="shared" si="17"/>
        <v>0.63554536410591356</v>
      </c>
      <c r="AE19" s="19"/>
      <c r="AF19" s="20">
        <f t="shared" si="18"/>
        <v>1.2388440243062313</v>
      </c>
      <c r="AG19" s="20">
        <f t="shared" si="19"/>
        <v>0.99992494405806531</v>
      </c>
      <c r="AH19" s="20">
        <f t="shared" si="20"/>
        <v>0.99163761254210947</v>
      </c>
      <c r="AI19" s="20">
        <f t="shared" si="21"/>
        <v>1.2814844180322356</v>
      </c>
      <c r="AJ19" s="20">
        <f t="shared" si="22"/>
        <v>1</v>
      </c>
    </row>
    <row r="20" spans="1:36" x14ac:dyDescent="0.3">
      <c r="A20" s="17">
        <f t="shared" si="23"/>
        <v>1150</v>
      </c>
      <c r="B20" s="35">
        <v>3.0357453892443576E-5</v>
      </c>
      <c r="C20" s="35">
        <v>4.5604125163230026E-5</v>
      </c>
      <c r="D20" s="35">
        <v>4.5620940042731652E-5</v>
      </c>
      <c r="E20" s="35">
        <v>2.2670915352927005E-5</v>
      </c>
      <c r="F20" s="35">
        <v>4.5604125163230026E-5</v>
      </c>
      <c r="H20" s="20">
        <f t="shared" si="5"/>
        <v>1</v>
      </c>
      <c r="I20" s="20">
        <f t="shared" si="24"/>
        <v>0.82247718809831261</v>
      </c>
      <c r="J20" s="20">
        <f t="shared" si="25"/>
        <v>0.80794341559107652</v>
      </c>
      <c r="K20" s="20">
        <f t="shared" si="26"/>
        <v>1.0226149799716893</v>
      </c>
      <c r="L20" s="20">
        <f t="shared" si="27"/>
        <v>0.82414976031370046</v>
      </c>
      <c r="M20" s="19"/>
      <c r="N20" s="20">
        <f t="shared" si="6"/>
        <v>1.235556603753035</v>
      </c>
      <c r="O20" s="20">
        <f t="shared" si="7"/>
        <v>1</v>
      </c>
      <c r="P20" s="20">
        <f t="shared" si="7"/>
        <v>0.99310133695058234</v>
      </c>
      <c r="Q20" s="20">
        <f t="shared" si="7"/>
        <v>1.2701226194776154</v>
      </c>
      <c r="R20" s="20">
        <f t="shared" si="7"/>
        <v>0.99976163973772258</v>
      </c>
      <c r="S20" s="19"/>
      <c r="T20" s="20">
        <f t="shared" si="8"/>
        <v>1.2141709331484849</v>
      </c>
      <c r="U20" s="20">
        <f t="shared" si="9"/>
        <v>0.99346750731902955</v>
      </c>
      <c r="V20" s="20">
        <f t="shared" si="10"/>
        <v>1</v>
      </c>
      <c r="W20" s="20">
        <f t="shared" si="11"/>
        <v>1.222489134632563</v>
      </c>
      <c r="X20" s="20">
        <f t="shared" si="12"/>
        <v>0.99075770374960359</v>
      </c>
      <c r="Y20" s="19"/>
      <c r="Z20" s="20">
        <f t="shared" si="13"/>
        <v>0.76368781557612997</v>
      </c>
      <c r="AA20" s="20">
        <f t="shared" si="14"/>
        <v>0.63140872214849142</v>
      </c>
      <c r="AB20" s="20">
        <f t="shared" si="15"/>
        <v>0.60750496734982051</v>
      </c>
      <c r="AC20" s="20">
        <f t="shared" si="16"/>
        <v>1</v>
      </c>
      <c r="AD20" s="20">
        <f t="shared" si="17"/>
        <v>0.63594862953550768</v>
      </c>
      <c r="AE20" s="19"/>
      <c r="AF20" s="20">
        <f t="shared" si="18"/>
        <v>1.2380692055320026</v>
      </c>
      <c r="AG20" s="20">
        <f t="shared" si="19"/>
        <v>0.9997616397377227</v>
      </c>
      <c r="AH20" s="20">
        <f t="shared" si="20"/>
        <v>0.99039253215541334</v>
      </c>
      <c r="AI20" s="20">
        <f t="shared" si="21"/>
        <v>1.2792549593714353</v>
      </c>
      <c r="AJ20" s="20">
        <f t="shared" si="22"/>
        <v>1</v>
      </c>
    </row>
    <row r="21" spans="1:36" x14ac:dyDescent="0.3">
      <c r="A21" s="17">
        <f t="shared" si="23"/>
        <v>1200</v>
      </c>
      <c r="B21" s="35">
        <v>3.1229994415298866E-5</v>
      </c>
      <c r="C21" s="35">
        <v>4.6879510070716089E-5</v>
      </c>
      <c r="D21" s="35">
        <v>4.6997682324314512E-5</v>
      </c>
      <c r="E21" s="35">
        <v>2.335031278162104E-5</v>
      </c>
      <c r="F21" s="35">
        <v>4.6879510070716089E-5</v>
      </c>
      <c r="H21" s="20">
        <f t="shared" si="5"/>
        <v>1</v>
      </c>
      <c r="I21" s="20">
        <f t="shared" si="24"/>
        <v>0.8227321548072436</v>
      </c>
      <c r="J21" s="20">
        <f t="shared" si="25"/>
        <v>0.80750652979231985</v>
      </c>
      <c r="K21" s="20">
        <f t="shared" si="26"/>
        <v>1.0218109240996982</v>
      </c>
      <c r="L21" s="20">
        <f t="shared" si="27"/>
        <v>0.82440793396854872</v>
      </c>
      <c r="M21" s="19"/>
      <c r="N21" s="20">
        <f t="shared" si="6"/>
        <v>1.2350075963476288</v>
      </c>
      <c r="O21" s="20">
        <f t="shared" si="7"/>
        <v>1</v>
      </c>
      <c r="P21" s="20">
        <f t="shared" si="7"/>
        <v>0.99208594470182554</v>
      </c>
      <c r="Q21" s="20">
        <f t="shared" si="7"/>
        <v>1.2683050792281223</v>
      </c>
      <c r="R21" s="20">
        <f t="shared" si="7"/>
        <v>0.99976163973772258</v>
      </c>
      <c r="S21" s="19"/>
      <c r="T21" s="20">
        <f t="shared" si="8"/>
        <v>1.2152078817983316</v>
      </c>
      <c r="U21" s="20">
        <f t="shared" si="9"/>
        <v>0.99458676076564279</v>
      </c>
      <c r="V21" s="20">
        <f t="shared" si="10"/>
        <v>1</v>
      </c>
      <c r="W21" s="20">
        <f t="shared" si="11"/>
        <v>1.2226772336486256</v>
      </c>
      <c r="X21" s="20">
        <f t="shared" si="12"/>
        <v>0.99188337976780094</v>
      </c>
      <c r="Y21" s="19"/>
      <c r="Z21" s="20">
        <f t="shared" si="13"/>
        <v>0.76399644406330414</v>
      </c>
      <c r="AA21" s="20">
        <f t="shared" si="14"/>
        <v>0.63173271772298045</v>
      </c>
      <c r="AB21" s="20">
        <f t="shared" si="15"/>
        <v>0.60747454820537217</v>
      </c>
      <c r="AC21" s="20">
        <f t="shared" si="16"/>
        <v>1</v>
      </c>
      <c r="AD21" s="20">
        <f t="shared" si="17"/>
        <v>0.63627925779301264</v>
      </c>
      <c r="AE21" s="19"/>
      <c r="AF21" s="20">
        <f t="shared" si="18"/>
        <v>1.2375231173248022</v>
      </c>
      <c r="AG21" s="20">
        <f t="shared" si="19"/>
        <v>0.9997616397377227</v>
      </c>
      <c r="AH21" s="20">
        <f t="shared" si="20"/>
        <v>0.989389361158859</v>
      </c>
      <c r="AI21" s="20">
        <f t="shared" si="21"/>
        <v>1.2774329899757564</v>
      </c>
      <c r="AJ21" s="20">
        <f t="shared" si="22"/>
        <v>1</v>
      </c>
    </row>
    <row r="22" spans="1:36" x14ac:dyDescent="0.3">
      <c r="A22" s="17">
        <f t="shared" si="23"/>
        <v>1250</v>
      </c>
      <c r="B22" s="35">
        <v>3.208980057322155E-5</v>
      </c>
      <c r="C22" s="35">
        <v>4.8135033621927575E-5</v>
      </c>
      <c r="D22" s="35">
        <v>4.8350755900879186E-5</v>
      </c>
      <c r="E22" s="35">
        <v>2.4020336312083848E-5</v>
      </c>
      <c r="F22" s="35">
        <v>4.8135033621927575E-5</v>
      </c>
      <c r="H22" s="20">
        <f t="shared" si="5"/>
        <v>1</v>
      </c>
      <c r="I22" s="20">
        <f t="shared" si="24"/>
        <v>0.82297889970332982</v>
      </c>
      <c r="J22" s="20">
        <f t="shared" si="25"/>
        <v>0.8071233245980084</v>
      </c>
      <c r="K22" s="20">
        <f t="shared" si="26"/>
        <v>1.0210477455609595</v>
      </c>
      <c r="L22" s="20">
        <f t="shared" si="27"/>
        <v>0.82465778279813506</v>
      </c>
      <c r="M22" s="19"/>
      <c r="N22" s="20">
        <f t="shared" si="6"/>
        <v>1.2344768836118645</v>
      </c>
      <c r="O22" s="20">
        <f t="shared" si="7"/>
        <v>1</v>
      </c>
      <c r="P22" s="20">
        <f t="shared" si="7"/>
        <v>0.99116406313618644</v>
      </c>
      <c r="Q22" s="20">
        <f t="shared" si="7"/>
        <v>1.2665690429914116</v>
      </c>
      <c r="R22" s="20">
        <f t="shared" si="7"/>
        <v>0.99976163973772258</v>
      </c>
      <c r="S22" s="19"/>
      <c r="T22" s="20">
        <f t="shared" si="8"/>
        <v>1.2161192077369956</v>
      </c>
      <c r="U22" s="20">
        <f t="shared" si="9"/>
        <v>0.99560607043162297</v>
      </c>
      <c r="V22" s="20">
        <f t="shared" si="10"/>
        <v>1</v>
      </c>
      <c r="W22" s="20">
        <f t="shared" si="11"/>
        <v>1.2227631454010224</v>
      </c>
      <c r="X22" s="20">
        <f t="shared" si="12"/>
        <v>0.99290854317594335</v>
      </c>
      <c r="Y22" s="19"/>
      <c r="Z22" s="20">
        <f t="shared" si="13"/>
        <v>0.7642898927684757</v>
      </c>
      <c r="AA22" s="20">
        <f t="shared" si="14"/>
        <v>0.63204306896481988</v>
      </c>
      <c r="AB22" s="20">
        <f t="shared" si="15"/>
        <v>0.60746065775612745</v>
      </c>
      <c r="AC22" s="20">
        <f t="shared" si="16"/>
        <v>1</v>
      </c>
      <c r="AD22" s="20">
        <f t="shared" si="17"/>
        <v>0.63659596344557945</v>
      </c>
      <c r="AE22" s="19"/>
      <c r="AF22" s="20">
        <f t="shared" si="18"/>
        <v>1.2369952256636119</v>
      </c>
      <c r="AG22" s="20">
        <f t="shared" si="19"/>
        <v>0.9997616397377227</v>
      </c>
      <c r="AH22" s="20">
        <f t="shared" si="20"/>
        <v>0.98847857119859661</v>
      </c>
      <c r="AI22" s="20">
        <f t="shared" si="21"/>
        <v>1.2756927174504653</v>
      </c>
      <c r="AJ22" s="20">
        <f t="shared" si="22"/>
        <v>1</v>
      </c>
    </row>
    <row r="23" spans="1:36" x14ac:dyDescent="0.3">
      <c r="A23" s="17">
        <f t="shared" si="23"/>
        <v>1300</v>
      </c>
      <c r="B23" s="35">
        <v>3.2937607052286192E-5</v>
      </c>
      <c r="C23" s="35">
        <v>4.9373240783192826E-5</v>
      </c>
      <c r="D23" s="35">
        <v>4.968166736765261E-5</v>
      </c>
      <c r="E23" s="35">
        <v>2.4682362784327493E-5</v>
      </c>
      <c r="F23" s="35">
        <v>4.9373240783192826E-5</v>
      </c>
      <c r="H23" s="20">
        <f t="shared" si="5"/>
        <v>1</v>
      </c>
      <c r="I23" s="20">
        <f t="shared" si="24"/>
        <v>0.82320845320112512</v>
      </c>
      <c r="J23" s="20">
        <f t="shared" si="25"/>
        <v>0.80678640244295496</v>
      </c>
      <c r="K23" s="20">
        <f t="shared" si="26"/>
        <v>1.0202986993440355</v>
      </c>
      <c r="L23" s="20">
        <f t="shared" si="27"/>
        <v>0.82489022432357906</v>
      </c>
      <c r="M23" s="19"/>
      <c r="N23" s="20">
        <f t="shared" si="6"/>
        <v>1.2339836682773757</v>
      </c>
      <c r="O23" s="20">
        <f t="shared" si="7"/>
        <v>1</v>
      </c>
      <c r="P23" s="20">
        <f t="shared" si="7"/>
        <v>0.99033681799225515</v>
      </c>
      <c r="Q23" s="20">
        <f t="shared" si="7"/>
        <v>1.2649019702316091</v>
      </c>
      <c r="R23" s="20">
        <f t="shared" si="7"/>
        <v>0.99976163973772258</v>
      </c>
      <c r="S23" s="19"/>
      <c r="T23" s="20">
        <f t="shared" si="8"/>
        <v>1.2169218492189728</v>
      </c>
      <c r="U23" s="20">
        <f t="shared" si="9"/>
        <v>0.99652329061169309</v>
      </c>
      <c r="V23" s="20">
        <f t="shared" si="10"/>
        <v>1</v>
      </c>
      <c r="W23" s="20">
        <f t="shared" si="11"/>
        <v>1.2227318072782176</v>
      </c>
      <c r="X23" s="20">
        <f t="shared" si="12"/>
        <v>0.99383103461659583</v>
      </c>
      <c r="Y23" s="19"/>
      <c r="Z23" s="20">
        <f t="shared" si="13"/>
        <v>0.76457839227998825</v>
      </c>
      <c r="AA23" s="20">
        <f t="shared" si="14"/>
        <v>0.63234190870644802</v>
      </c>
      <c r="AB23" s="20">
        <f t="shared" si="15"/>
        <v>0.60746572436550939</v>
      </c>
      <c r="AC23" s="20">
        <f t="shared" si="16"/>
        <v>1</v>
      </c>
      <c r="AD23" s="20">
        <f t="shared" si="17"/>
        <v>0.63690092286949918</v>
      </c>
      <c r="AE23" s="19"/>
      <c r="AF23" s="20">
        <f t="shared" si="18"/>
        <v>1.2365046313345678</v>
      </c>
      <c r="AG23" s="20">
        <f t="shared" si="19"/>
        <v>0.9997616397377227</v>
      </c>
      <c r="AH23" s="20">
        <f t="shared" si="20"/>
        <v>0.98766127567375228</v>
      </c>
      <c r="AI23" s="20">
        <f t="shared" si="21"/>
        <v>1.2740215713805412</v>
      </c>
      <c r="AJ23" s="20">
        <f t="shared" si="22"/>
        <v>1</v>
      </c>
    </row>
    <row r="24" spans="1:36" x14ac:dyDescent="0.3">
      <c r="A24" s="17">
        <f t="shared" si="23"/>
        <v>1350</v>
      </c>
      <c r="B24" s="35">
        <v>3.3774075623917941E-5</v>
      </c>
      <c r="C24" s="35">
        <v>5.0596233819622763E-5</v>
      </c>
      <c r="D24" s="35">
        <v>5.0991763225716656E-5</v>
      </c>
      <c r="E24" s="35">
        <v>2.5337522794298451E-5</v>
      </c>
      <c r="F24" s="35">
        <v>5.0596233819622763E-5</v>
      </c>
      <c r="H24" s="20">
        <f t="shared" si="5"/>
        <v>1</v>
      </c>
      <c r="I24" s="20">
        <f t="shared" si="24"/>
        <v>0.82341488594052459</v>
      </c>
      <c r="J24" s="20">
        <f t="shared" si="25"/>
        <v>0.80648960489466348</v>
      </c>
      <c r="K24" s="20">
        <f t="shared" si="26"/>
        <v>1.0195451175807897</v>
      </c>
      <c r="L24" s="20">
        <f t="shared" si="27"/>
        <v>0.82509925449793375</v>
      </c>
      <c r="M24" s="19"/>
      <c r="N24" s="20">
        <f t="shared" si="6"/>
        <v>1.2335405582529417</v>
      </c>
      <c r="O24" s="20">
        <f t="shared" si="7"/>
        <v>1</v>
      </c>
      <c r="P24" s="20">
        <f t="shared" si="7"/>
        <v>0.98960293222166085</v>
      </c>
      <c r="Q24" s="20">
        <f t="shared" si="7"/>
        <v>1.2632940347606065</v>
      </c>
      <c r="R24" s="20">
        <f t="shared" si="7"/>
        <v>0.99976163973772258</v>
      </c>
      <c r="S24" s="19"/>
      <c r="T24" s="20">
        <f t="shared" si="8"/>
        <v>1.2176299785290718</v>
      </c>
      <c r="U24" s="20">
        <f t="shared" si="9"/>
        <v>0.99733902304308097</v>
      </c>
      <c r="V24" s="20">
        <f t="shared" si="10"/>
        <v>1</v>
      </c>
      <c r="W24" s="20">
        <f t="shared" si="11"/>
        <v>1.2225755773779412</v>
      </c>
      <c r="X24" s="20">
        <f t="shared" si="12"/>
        <v>0.99465145808136091</v>
      </c>
      <c r="Y24" s="19"/>
      <c r="Z24" s="20">
        <f t="shared" si="13"/>
        <v>0.76486912459640655</v>
      </c>
      <c r="AA24" s="20">
        <f t="shared" si="14"/>
        <v>0.63263090916530162</v>
      </c>
      <c r="AB24" s="20">
        <f t="shared" si="15"/>
        <v>0.60749098677849867</v>
      </c>
      <c r="AC24" s="20">
        <f t="shared" si="16"/>
        <v>1</v>
      </c>
      <c r="AD24" s="20">
        <f t="shared" si="17"/>
        <v>0.63719584242346206</v>
      </c>
      <c r="AE24" s="19"/>
      <c r="AF24" s="20">
        <f t="shared" si="18"/>
        <v>1.2360638754361575</v>
      </c>
      <c r="AG24" s="20">
        <f t="shared" si="19"/>
        <v>0.9997616397377227</v>
      </c>
      <c r="AH24" s="20">
        <f t="shared" si="20"/>
        <v>0.98693621397921283</v>
      </c>
      <c r="AI24" s="20">
        <f t="shared" si="21"/>
        <v>1.2724097021593481</v>
      </c>
      <c r="AJ24" s="20">
        <f t="shared" si="22"/>
        <v>1</v>
      </c>
    </row>
    <row r="25" spans="1:36" x14ac:dyDescent="0.3">
      <c r="A25" s="17">
        <f t="shared" si="23"/>
        <v>1400</v>
      </c>
      <c r="B25" s="35">
        <v>3.4599805222240128E-5</v>
      </c>
      <c r="C25" s="35">
        <v>5.1805762030686839E-5</v>
      </c>
      <c r="D25" s="35">
        <v>5.228225297760116E-5</v>
      </c>
      <c r="E25" s="35">
        <v>2.5986750830859947E-5</v>
      </c>
      <c r="F25" s="35">
        <v>5.1805762030686839E-5</v>
      </c>
      <c r="H25" s="20">
        <f t="shared" si="5"/>
        <v>1</v>
      </c>
      <c r="I25" s="20">
        <f t="shared" si="24"/>
        <v>0.82359445275630416</v>
      </c>
      <c r="J25" s="20">
        <f t="shared" si="25"/>
        <v>0.80622776834517351</v>
      </c>
      <c r="K25" s="20">
        <f t="shared" si="26"/>
        <v>1.0187741905896883</v>
      </c>
      <c r="L25" s="20">
        <f t="shared" si="27"/>
        <v>0.82528108093292518</v>
      </c>
      <c r="M25" s="19"/>
      <c r="N25" s="20">
        <f t="shared" si="6"/>
        <v>1.2331554456804088</v>
      </c>
      <c r="O25" s="20">
        <f t="shared" si="7"/>
        <v>1</v>
      </c>
      <c r="P25" s="20">
        <f t="shared" si="7"/>
        <v>0.98895958913366999</v>
      </c>
      <c r="Q25" s="20">
        <f t="shared" si="7"/>
        <v>1.2617374618335542</v>
      </c>
      <c r="R25" s="20">
        <f t="shared" si="7"/>
        <v>0.99976163973772258</v>
      </c>
      <c r="S25" s="19"/>
      <c r="T25" s="20">
        <f t="shared" si="8"/>
        <v>1.2182555326957456</v>
      </c>
      <c r="U25" s="20">
        <f t="shared" si="9"/>
        <v>0.998055687185604</v>
      </c>
      <c r="V25" s="20">
        <f t="shared" si="10"/>
        <v>1</v>
      </c>
      <c r="W25" s="20">
        <f t="shared" si="11"/>
        <v>1.2222919431440811</v>
      </c>
      <c r="X25" s="20">
        <f t="shared" si="12"/>
        <v>0.99537224589034756</v>
      </c>
      <c r="Y25" s="19"/>
      <c r="Z25" s="20">
        <f t="shared" si="13"/>
        <v>0.7651670543725444</v>
      </c>
      <c r="AA25" s="20">
        <f t="shared" si="14"/>
        <v>0.63291139343164526</v>
      </c>
      <c r="AB25" s="20">
        <f t="shared" si="15"/>
        <v>0.6075368669108614</v>
      </c>
      <c r="AC25" s="20">
        <f t="shared" si="16"/>
        <v>1</v>
      </c>
      <c r="AD25" s="20">
        <f t="shared" si="17"/>
        <v>0.63748207221099129</v>
      </c>
      <c r="AE25" s="19"/>
      <c r="AF25" s="20">
        <f t="shared" si="18"/>
        <v>1.2356808083924535</v>
      </c>
      <c r="AG25" s="20">
        <f t="shared" si="19"/>
        <v>0.9997616397377227</v>
      </c>
      <c r="AH25" s="20">
        <f t="shared" si="20"/>
        <v>0.986300604234436</v>
      </c>
      <c r="AI25" s="20">
        <f t="shared" si="21"/>
        <v>1.2708493165129897</v>
      </c>
      <c r="AJ25" s="20">
        <f t="shared" si="22"/>
        <v>1</v>
      </c>
    </row>
    <row r="26" spans="1:36" x14ac:dyDescent="0.3">
      <c r="A26" s="17">
        <f t="shared" si="23"/>
        <v>1450</v>
      </c>
      <c r="B26" s="35">
        <v>3.5415340267220723E-5</v>
      </c>
      <c r="C26" s="35">
        <v>5.3003291182477016E-5</v>
      </c>
      <c r="D26" s="35">
        <v>5.3554228112115686E-5</v>
      </c>
      <c r="E26" s="35">
        <v>2.663082411984484E-5</v>
      </c>
      <c r="F26" s="35">
        <v>5.3003291182477016E-5</v>
      </c>
      <c r="H26" s="20">
        <f t="shared" si="5"/>
        <v>1</v>
      </c>
      <c r="I26" s="20">
        <f t="shared" si="24"/>
        <v>0.82374497861806806</v>
      </c>
      <c r="J26" s="20">
        <f t="shared" si="25"/>
        <v>0.80599653474646737</v>
      </c>
      <c r="K26" s="20">
        <f t="shared" si="26"/>
        <v>1.0179773713866571</v>
      </c>
      <c r="L26" s="20">
        <f t="shared" si="27"/>
        <v>0.82543350113114589</v>
      </c>
      <c r="M26" s="19"/>
      <c r="N26" s="20">
        <f t="shared" si="6"/>
        <v>1.2328328524407297</v>
      </c>
      <c r="O26" s="20">
        <f t="shared" si="7"/>
        <v>1</v>
      </c>
      <c r="P26" s="20">
        <f t="shared" si="7"/>
        <v>0.98840302427658355</v>
      </c>
      <c r="Q26" s="20">
        <f t="shared" si="7"/>
        <v>1.2602260414364903</v>
      </c>
      <c r="R26" s="20">
        <f t="shared" si="7"/>
        <v>0.99976163973772258</v>
      </c>
      <c r="S26" s="19"/>
      <c r="T26" s="20">
        <f t="shared" si="8"/>
        <v>1.2188086279475552</v>
      </c>
      <c r="U26" s="20">
        <f t="shared" si="9"/>
        <v>0.99867687171684483</v>
      </c>
      <c r="V26" s="20">
        <f t="shared" si="10"/>
        <v>1</v>
      </c>
      <c r="W26" s="20">
        <f t="shared" si="11"/>
        <v>1.2218819034461221</v>
      </c>
      <c r="X26" s="20">
        <f t="shared" si="12"/>
        <v>0.99599700647367229</v>
      </c>
      <c r="Y26" s="19"/>
      <c r="Z26" s="20">
        <f t="shared" si="13"/>
        <v>0.76547552927147156</v>
      </c>
      <c r="AA26" s="20">
        <f t="shared" si="14"/>
        <v>0.6331844176468564</v>
      </c>
      <c r="AB26" s="20">
        <f t="shared" si="15"/>
        <v>0.60760323158375229</v>
      </c>
      <c r="AC26" s="20">
        <f t="shared" si="16"/>
        <v>1</v>
      </c>
      <c r="AD26" s="20">
        <f t="shared" si="17"/>
        <v>0.63776068993573776</v>
      </c>
      <c r="AE26" s="19"/>
      <c r="AF26" s="20">
        <f t="shared" si="18"/>
        <v>1.2353599282715293</v>
      </c>
      <c r="AG26" s="20">
        <f t="shared" si="19"/>
        <v>0.9997616397377227</v>
      </c>
      <c r="AH26" s="20">
        <f t="shared" si="20"/>
        <v>0.98575072803740826</v>
      </c>
      <c r="AI26" s="20">
        <f t="shared" si="21"/>
        <v>1.269334189632217</v>
      </c>
      <c r="AJ26" s="20">
        <f t="shared" si="22"/>
        <v>1</v>
      </c>
    </row>
    <row r="27" spans="1:36" x14ac:dyDescent="0.3">
      <c r="A27" s="17">
        <f t="shared" si="23"/>
        <v>1500</v>
      </c>
      <c r="B27" s="35">
        <v>3.622117759638003E-5</v>
      </c>
      <c r="C27" s="35">
        <v>5.4190057647382637E-5</v>
      </c>
      <c r="D27" s="35">
        <v>5.4808677833757027E-5</v>
      </c>
      <c r="E27" s="35">
        <v>2.7270392933467893E-5</v>
      </c>
      <c r="F27" s="35">
        <v>5.4190057647382637E-5</v>
      </c>
      <c r="H27" s="20">
        <f t="shared" si="5"/>
        <v>1</v>
      </c>
      <c r="I27" s="20">
        <f t="shared" si="24"/>
        <v>0.82386541488751619</v>
      </c>
      <c r="J27" s="20">
        <f t="shared" si="25"/>
        <v>0.80579220353362713</v>
      </c>
      <c r="K27" s="20">
        <f t="shared" si="26"/>
        <v>1.0171492188646545</v>
      </c>
      <c r="L27" s="20">
        <f t="shared" si="27"/>
        <v>0.82555545317127399</v>
      </c>
      <c r="M27" s="19"/>
      <c r="N27" s="20">
        <f t="shared" si="6"/>
        <v>1.2325748992462684</v>
      </c>
      <c r="O27" s="20">
        <f t="shared" si="7"/>
        <v>1</v>
      </c>
      <c r="P27" s="20">
        <f t="shared" si="7"/>
        <v>0.98792893100074031</v>
      </c>
      <c r="Q27" s="20">
        <f t="shared" si="7"/>
        <v>1.2587547673196431</v>
      </c>
      <c r="R27" s="20">
        <f t="shared" si="7"/>
        <v>0.99976163973772258</v>
      </c>
      <c r="S27" s="19"/>
      <c r="T27" s="20">
        <f t="shared" si="8"/>
        <v>1.2192978863514801</v>
      </c>
      <c r="U27" s="20">
        <f t="shared" si="9"/>
        <v>0.99920688134722524</v>
      </c>
      <c r="V27" s="20">
        <f t="shared" si="10"/>
        <v>1</v>
      </c>
      <c r="W27" s="20">
        <f t="shared" si="11"/>
        <v>1.2213488205864214</v>
      </c>
      <c r="X27" s="20">
        <f t="shared" si="12"/>
        <v>0.99653006857829707</v>
      </c>
      <c r="Y27" s="19"/>
      <c r="Z27" s="20">
        <f t="shared" si="13"/>
        <v>0.76579671648171987</v>
      </c>
      <c r="AA27" s="20">
        <f t="shared" si="14"/>
        <v>0.63345083216276254</v>
      </c>
      <c r="AB27" s="20">
        <f t="shared" si="15"/>
        <v>0.60768957695428094</v>
      </c>
      <c r="AC27" s="20">
        <f t="shared" si="16"/>
        <v>1</v>
      </c>
      <c r="AD27" s="20">
        <f t="shared" si="17"/>
        <v>0.63803256330915048</v>
      </c>
      <c r="AE27" s="19"/>
      <c r="AF27" s="20">
        <f t="shared" si="18"/>
        <v>1.2351033447055424</v>
      </c>
      <c r="AG27" s="20">
        <f t="shared" si="19"/>
        <v>0.9997616397377227</v>
      </c>
      <c r="AH27" s="20">
        <f t="shared" si="20"/>
        <v>0.98528233115574015</v>
      </c>
      <c r="AI27" s="20">
        <f t="shared" si="21"/>
        <v>1.2678593033471692</v>
      </c>
      <c r="AJ27" s="20">
        <f t="shared" si="22"/>
        <v>1</v>
      </c>
    </row>
    <row r="28" spans="1:36" x14ac:dyDescent="0.3">
      <c r="A28" s="17">
        <f t="shared" si="23"/>
        <v>1550</v>
      </c>
      <c r="B28" s="35">
        <v>3.7017772281997028E-5</v>
      </c>
      <c r="C28" s="35">
        <v>5.5367110934860202E-5</v>
      </c>
      <c r="D28" s="35">
        <v>5.6046502190922885E-5</v>
      </c>
      <c r="E28" s="35">
        <v>2.7906004404441499E-5</v>
      </c>
      <c r="F28" s="35">
        <v>5.5367110934860202E-5</v>
      </c>
      <c r="H28" s="20">
        <f t="shared" si="5"/>
        <v>1</v>
      </c>
      <c r="I28" s="20">
        <f t="shared" si="24"/>
        <v>0.82395551670822598</v>
      </c>
      <c r="J28" s="20">
        <f t="shared" si="25"/>
        <v>0.80561161471066944</v>
      </c>
      <c r="K28" s="20">
        <f t="shared" si="26"/>
        <v>1.0162865530638105</v>
      </c>
      <c r="L28" s="20">
        <f t="shared" si="27"/>
        <v>0.82564668904469973</v>
      </c>
      <c r="M28" s="19"/>
      <c r="N28" s="20">
        <f t="shared" si="6"/>
        <v>1.2323820069842764</v>
      </c>
      <c r="O28" s="20">
        <f t="shared" si="7"/>
        <v>1</v>
      </c>
      <c r="P28" s="20">
        <f t="shared" si="7"/>
        <v>0.98753273726116853</v>
      </c>
      <c r="Q28" s="20">
        <f t="shared" si="7"/>
        <v>1.2573195667853707</v>
      </c>
      <c r="R28" s="20">
        <f t="shared" si="7"/>
        <v>0.99976163973772258</v>
      </c>
      <c r="S28" s="19"/>
      <c r="T28" s="20">
        <f t="shared" si="8"/>
        <v>1.2197306954333726</v>
      </c>
      <c r="U28" s="20">
        <f t="shared" si="9"/>
        <v>0.99965042040270402</v>
      </c>
      <c r="V28" s="20">
        <f t="shared" si="10"/>
        <v>1</v>
      </c>
      <c r="W28" s="20">
        <f t="shared" si="11"/>
        <v>1.2206976033411361</v>
      </c>
      <c r="X28" s="20">
        <f t="shared" si="12"/>
        <v>0.99697616301922565</v>
      </c>
      <c r="Y28" s="19"/>
      <c r="Z28" s="20">
        <f t="shared" si="13"/>
        <v>0.76613192198402513</v>
      </c>
      <c r="AA28" s="20">
        <f t="shared" si="14"/>
        <v>0.63371132746627978</v>
      </c>
      <c r="AB28" s="20">
        <f t="shared" si="15"/>
        <v>0.60779515872885226</v>
      </c>
      <c r="AC28" s="20">
        <f t="shared" si="16"/>
        <v>1</v>
      </c>
      <c r="AD28" s="20">
        <f t="shared" si="17"/>
        <v>0.63829839691265677</v>
      </c>
      <c r="AE28" s="19"/>
      <c r="AF28" s="20">
        <f t="shared" si="18"/>
        <v>1.234911476495574</v>
      </c>
      <c r="AG28" s="20">
        <f t="shared" si="19"/>
        <v>0.9997616397377227</v>
      </c>
      <c r="AH28" s="20">
        <f t="shared" si="20"/>
        <v>0.9848908970136715</v>
      </c>
      <c r="AI28" s="20">
        <f t="shared" si="21"/>
        <v>1.2664205752716675</v>
      </c>
      <c r="AJ28" s="20">
        <f t="shared" si="22"/>
        <v>1</v>
      </c>
    </row>
    <row r="29" spans="1:36" x14ac:dyDescent="0.3">
      <c r="A29" s="17">
        <f>A28+50</f>
        <v>1600</v>
      </c>
      <c r="B29" s="35">
        <v>3.7805542547564514E-5</v>
      </c>
      <c r="C29" s="35">
        <v>5.6535347342177393E-5</v>
      </c>
      <c r="D29" s="35">
        <v>5.7268523108268448E-5</v>
      </c>
      <c r="E29" s="35">
        <v>2.8538121362356258E-5</v>
      </c>
      <c r="F29" s="35">
        <v>5.6535347342177393E-5</v>
      </c>
      <c r="H29" s="20">
        <f t="shared" si="5"/>
        <v>1</v>
      </c>
      <c r="I29" s="20">
        <f t="shared" si="24"/>
        <v>0.82401560734428581</v>
      </c>
      <c r="J29" s="20">
        <f t="shared" si="25"/>
        <v>0.80545205575681933</v>
      </c>
      <c r="K29" s="20">
        <f t="shared" si="26"/>
        <v>1.0153878346857208</v>
      </c>
      <c r="L29" s="20">
        <f t="shared" si="27"/>
        <v>0.82570753603146263</v>
      </c>
      <c r="M29" s="19"/>
      <c r="N29" s="20">
        <f t="shared" si="6"/>
        <v>1.2322534061764339</v>
      </c>
      <c r="O29" s="20">
        <f t="shared" si="7"/>
        <v>1</v>
      </c>
      <c r="P29" s="20">
        <f t="shared" si="7"/>
        <v>0.98720979300710854</v>
      </c>
      <c r="Q29" s="20">
        <f t="shared" si="7"/>
        <v>1.2559170966585804</v>
      </c>
      <c r="R29" s="20">
        <f t="shared" si="7"/>
        <v>0.99976163973772258</v>
      </c>
      <c r="S29" s="19"/>
      <c r="T29" s="20">
        <f t="shared" si="8"/>
        <v>1.2201134161658338</v>
      </c>
      <c r="U29" s="20">
        <f t="shared" si="9"/>
        <v>1.0000123728143895</v>
      </c>
      <c r="V29" s="20">
        <f t="shared" si="10"/>
        <v>1</v>
      </c>
      <c r="W29" s="20">
        <f t="shared" si="11"/>
        <v>1.2199341250858291</v>
      </c>
      <c r="X29" s="20">
        <f t="shared" si="12"/>
        <v>0.99734020138726787</v>
      </c>
      <c r="Y29" s="19"/>
      <c r="Z29" s="20">
        <f t="shared" si="13"/>
        <v>0.76648182524199726</v>
      </c>
      <c r="AA29" s="20">
        <f t="shared" si="14"/>
        <v>0.63396646895209974</v>
      </c>
      <c r="AB29" s="20">
        <f t="shared" si="15"/>
        <v>0.60791908410071682</v>
      </c>
      <c r="AC29" s="20">
        <f t="shared" si="16"/>
        <v>1</v>
      </c>
      <c r="AD29" s="20">
        <f t="shared" si="17"/>
        <v>0.63855876768034747</v>
      </c>
      <c r="AE29" s="19"/>
      <c r="AF29" s="20">
        <f t="shared" si="18"/>
        <v>1.2347835583594735</v>
      </c>
      <c r="AG29" s="20">
        <f t="shared" si="19"/>
        <v>0.9997616397377227</v>
      </c>
      <c r="AH29" s="20">
        <f t="shared" si="20"/>
        <v>0.98457183184466401</v>
      </c>
      <c r="AI29" s="20">
        <f t="shared" si="21"/>
        <v>1.2650146542869873</v>
      </c>
      <c r="AJ29" s="20">
        <f t="shared" si="22"/>
        <v>1</v>
      </c>
    </row>
    <row r="30" spans="1:36" x14ac:dyDescent="0.3">
      <c r="A30" s="17">
        <f t="shared" si="23"/>
        <v>1650</v>
      </c>
      <c r="B30" s="35">
        <v>3.8584873950157802E-5</v>
      </c>
      <c r="C30" s="35">
        <v>5.7695536762125899E-5</v>
      </c>
      <c r="D30" s="35">
        <v>5.8475493717138189E-5</v>
      </c>
      <c r="E30" s="35">
        <v>2.9167137329169114E-5</v>
      </c>
      <c r="F30" s="35">
        <v>5.7695536762125899E-5</v>
      </c>
      <c r="H30" s="20">
        <f t="shared" si="5"/>
        <v>1</v>
      </c>
      <c r="I30" s="20">
        <f t="shared" si="24"/>
        <v>0.82404640544164376</v>
      </c>
      <c r="J30" s="20">
        <f t="shared" si="25"/>
        <v>0.8053111869148305</v>
      </c>
      <c r="K30" s="20">
        <f t="shared" si="26"/>
        <v>1.0144527071574008</v>
      </c>
      <c r="L30" s="20">
        <f t="shared" si="27"/>
        <v>0.82573872178831897</v>
      </c>
      <c r="M30" s="19"/>
      <c r="N30" s="20">
        <f t="shared" si="6"/>
        <v>1.2321875079926656</v>
      </c>
      <c r="O30" s="20">
        <f t="shared" si="7"/>
        <v>1</v>
      </c>
      <c r="P30" s="20">
        <f t="shared" si="7"/>
        <v>0.98695549527050463</v>
      </c>
      <c r="Q30" s="20">
        <f t="shared" si="7"/>
        <v>1.2545445879856627</v>
      </c>
      <c r="R30" s="20">
        <f t="shared" si="7"/>
        <v>0.99976163973772258</v>
      </c>
      <c r="S30" s="19"/>
      <c r="T30" s="20">
        <f t="shared" si="8"/>
        <v>1.2204515508229794</v>
      </c>
      <c r="U30" s="20">
        <f t="shared" si="9"/>
        <v>1.000297650418442</v>
      </c>
      <c r="V30" s="20">
        <f t="shared" si="10"/>
        <v>1</v>
      </c>
      <c r="W30" s="20">
        <f t="shared" si="11"/>
        <v>1.2190648100033288</v>
      </c>
      <c r="X30" s="20">
        <f t="shared" si="12"/>
        <v>0.99762712345825721</v>
      </c>
      <c r="Y30" s="19"/>
      <c r="Z30" s="20">
        <f t="shared" si="13"/>
        <v>0.76684665244283579</v>
      </c>
      <c r="AA30" s="20">
        <f t="shared" si="14"/>
        <v>0.63421672345657232</v>
      </c>
      <c r="AB30" s="20">
        <f t="shared" si="15"/>
        <v>0.60806037651467482</v>
      </c>
      <c r="AC30" s="20">
        <f t="shared" si="16"/>
        <v>1</v>
      </c>
      <c r="AD30" s="20">
        <f t="shared" si="17"/>
        <v>0.63881415197470903</v>
      </c>
      <c r="AE30" s="19"/>
      <c r="AF30" s="20">
        <f t="shared" si="18"/>
        <v>1.2347180099743194</v>
      </c>
      <c r="AG30" s="20">
        <f t="shared" si="19"/>
        <v>0.9997616397377227</v>
      </c>
      <c r="AH30" s="20">
        <f t="shared" si="20"/>
        <v>0.98432058829304614</v>
      </c>
      <c r="AI30" s="20">
        <f t="shared" si="21"/>
        <v>1.2636387648699376</v>
      </c>
      <c r="AJ30" s="20">
        <f t="shared" si="22"/>
        <v>1</v>
      </c>
    </row>
    <row r="31" spans="1:36" x14ac:dyDescent="0.3">
      <c r="A31" s="17">
        <f t="shared" si="23"/>
        <v>1700</v>
      </c>
      <c r="B31" s="35">
        <v>3.935612295990263E-5</v>
      </c>
      <c r="C31" s="35">
        <v>5.8848344179660944E-5</v>
      </c>
      <c r="D31" s="35">
        <v>5.9668106293820559E-5</v>
      </c>
      <c r="E31" s="35">
        <v>2.9793388531181943E-5</v>
      </c>
      <c r="F31" s="35">
        <v>5.8848344179660944E-5</v>
      </c>
      <c r="H31" s="20">
        <f t="shared" si="5"/>
        <v>1</v>
      </c>
      <c r="I31" s="20">
        <f t="shared" si="24"/>
        <v>0.82404889815261495</v>
      </c>
      <c r="J31" s="20">
        <f t="shared" si="25"/>
        <v>0.80518698079069861</v>
      </c>
      <c r="K31" s="20">
        <f t="shared" si="26"/>
        <v>1.0134816574486367</v>
      </c>
      <c r="L31" s="20">
        <f t="shared" si="27"/>
        <v>0.82574124587562248</v>
      </c>
      <c r="M31" s="19"/>
      <c r="N31" s="20">
        <f t="shared" si="6"/>
        <v>1.2321821747727213</v>
      </c>
      <c r="O31" s="20">
        <f t="shared" si="7"/>
        <v>1</v>
      </c>
      <c r="P31" s="20">
        <f t="shared" si="7"/>
        <v>0.98676536976636375</v>
      </c>
      <c r="Q31" s="20">
        <f t="shared" si="7"/>
        <v>1.2531997269323722</v>
      </c>
      <c r="R31" s="20">
        <f t="shared" si="7"/>
        <v>0.99976163973772258</v>
      </c>
      <c r="S31" s="19"/>
      <c r="T31" s="20">
        <f t="shared" si="8"/>
        <v>1.2207498793813787</v>
      </c>
      <c r="U31" s="20">
        <f t="shared" si="9"/>
        <v>1.0005110898367464</v>
      </c>
      <c r="V31" s="20">
        <f t="shared" si="10"/>
        <v>1</v>
      </c>
      <c r="W31" s="20">
        <f t="shared" si="11"/>
        <v>1.2180963401334814</v>
      </c>
      <c r="X31" s="20">
        <f t="shared" si="12"/>
        <v>0.99784179346255941</v>
      </c>
      <c r="Y31" s="19"/>
      <c r="Z31" s="20">
        <f t="shared" si="13"/>
        <v>0.76722630479524723</v>
      </c>
      <c r="AA31" s="20">
        <f t="shared" si="14"/>
        <v>0.63446247965242908</v>
      </c>
      <c r="AB31" s="20">
        <f t="shared" si="15"/>
        <v>0.60821802105299971</v>
      </c>
      <c r="AC31" s="20">
        <f t="shared" si="16"/>
        <v>1</v>
      </c>
      <c r="AD31" s="20">
        <f t="shared" si="17"/>
        <v>0.63906494639788947</v>
      </c>
      <c r="AE31" s="19"/>
      <c r="AF31" s="20">
        <f t="shared" si="18"/>
        <v>1.2347127050634379</v>
      </c>
      <c r="AG31" s="20">
        <f t="shared" si="19"/>
        <v>0.9997616397377227</v>
      </c>
      <c r="AH31" s="20">
        <f t="shared" si="20"/>
        <v>0.98413274604989842</v>
      </c>
      <c r="AI31" s="20">
        <f t="shared" si="21"/>
        <v>1.2622905877060238</v>
      </c>
      <c r="AJ31" s="20">
        <f t="shared" si="22"/>
        <v>1</v>
      </c>
    </row>
    <row r="32" spans="1:36" x14ac:dyDescent="0.3">
      <c r="A32" s="17">
        <f t="shared" si="23"/>
        <v>1750</v>
      </c>
      <c r="B32" s="35">
        <v>4.0119620040712045E-5</v>
      </c>
      <c r="C32" s="35">
        <v>5.9994347018045676E-5</v>
      </c>
      <c r="D32" s="35">
        <v>6.0846999051163818E-5</v>
      </c>
      <c r="E32" s="35">
        <v>3.0417163578468476E-5</v>
      </c>
      <c r="F32" s="35">
        <v>5.9994347018045676E-5</v>
      </c>
      <c r="H32" s="20">
        <f t="shared" si="5"/>
        <v>1</v>
      </c>
      <c r="I32" s="20">
        <f t="shared" si="24"/>
        <v>0.82402424789833129</v>
      </c>
      <c r="J32" s="20">
        <f t="shared" si="25"/>
        <v>0.80507767318792289</v>
      </c>
      <c r="K32" s="20">
        <f t="shared" si="26"/>
        <v>1.0124757642476632</v>
      </c>
      <c r="L32" s="20">
        <f t="shared" si="27"/>
        <v>0.82571628534462305</v>
      </c>
      <c r="M32" s="19"/>
      <c r="N32" s="20">
        <f t="shared" si="6"/>
        <v>1.2322349172183036</v>
      </c>
      <c r="O32" s="20">
        <f t="shared" si="7"/>
        <v>1</v>
      </c>
      <c r="P32" s="20">
        <f t="shared" si="7"/>
        <v>0.98663512213862925</v>
      </c>
      <c r="Q32" s="20">
        <f t="shared" si="7"/>
        <v>1.2518805627970364</v>
      </c>
      <c r="R32" s="20">
        <f t="shared" si="7"/>
        <v>0.99976163973772258</v>
      </c>
      <c r="S32" s="19"/>
      <c r="T32" s="20">
        <f t="shared" si="8"/>
        <v>1.2210125710779109</v>
      </c>
      <c r="U32" s="20">
        <f t="shared" si="9"/>
        <v>1.0006573839791362</v>
      </c>
      <c r="V32" s="20">
        <f t="shared" si="10"/>
        <v>1</v>
      </c>
      <c r="W32" s="20">
        <f t="shared" si="11"/>
        <v>1.2170354496726696</v>
      </c>
      <c r="X32" s="20">
        <f t="shared" si="12"/>
        <v>0.99798893117638121</v>
      </c>
      <c r="Y32" s="19"/>
      <c r="Z32" s="20">
        <f t="shared" si="13"/>
        <v>0.76762045376064481</v>
      </c>
      <c r="AA32" s="20">
        <f t="shared" si="14"/>
        <v>0.63470406383203015</v>
      </c>
      <c r="AB32" s="20">
        <f t="shared" si="15"/>
        <v>0.60839099595299562</v>
      </c>
      <c r="AC32" s="20">
        <f t="shared" si="16"/>
        <v>1</v>
      </c>
      <c r="AD32" s="20">
        <f t="shared" si="17"/>
        <v>0.63931148389733594</v>
      </c>
      <c r="AE32" s="19"/>
      <c r="AF32" s="20">
        <f t="shared" si="18"/>
        <v>1.2347651675451341</v>
      </c>
      <c r="AG32" s="20">
        <f t="shared" si="19"/>
        <v>0.9997616397377227</v>
      </c>
      <c r="AH32" s="20">
        <f t="shared" si="20"/>
        <v>0.98400406249811767</v>
      </c>
      <c r="AI32" s="20">
        <f t="shared" si="21"/>
        <v>1.2609681674825539</v>
      </c>
      <c r="AJ32" s="20">
        <f t="shared" si="22"/>
        <v>1</v>
      </c>
    </row>
    <row r="33" spans="1:36" x14ac:dyDescent="0.3">
      <c r="A33" s="17">
        <f t="shared" si="23"/>
        <v>1800</v>
      </c>
      <c r="B33" s="35">
        <v>4.0875672315690835E-5</v>
      </c>
      <c r="C33" s="35">
        <v>6.1134049219992517E-5</v>
      </c>
      <c r="D33" s="35">
        <v>6.201276197967806E-5</v>
      </c>
      <c r="E33" s="35">
        <v>3.103871130924076E-5</v>
      </c>
      <c r="F33" s="35">
        <v>6.1134049219992517E-5</v>
      </c>
      <c r="H33" s="20">
        <f t="shared" si="5"/>
        <v>1</v>
      </c>
      <c r="I33" s="20">
        <f t="shared" si="24"/>
        <v>0.8239737239348035</v>
      </c>
      <c r="J33" s="20">
        <f t="shared" si="25"/>
        <v>0.80498172282937652</v>
      </c>
      <c r="K33" s="20">
        <f t="shared" si="26"/>
        <v>1.0114365107898429</v>
      </c>
      <c r="L33" s="20">
        <f t="shared" si="27"/>
        <v>0.82566512544010506</v>
      </c>
      <c r="M33" s="19"/>
      <c r="N33" s="20">
        <f t="shared" si="6"/>
        <v>1.2323430378336389</v>
      </c>
      <c r="O33" s="20">
        <f t="shared" si="7"/>
        <v>1</v>
      </c>
      <c r="P33" s="20">
        <f t="shared" si="7"/>
        <v>0.9865606680674901</v>
      </c>
      <c r="Q33" s="20">
        <f t="shared" si="7"/>
        <v>1.2505854364931714</v>
      </c>
      <c r="R33" s="20">
        <f t="shared" si="7"/>
        <v>0.99976163973772258</v>
      </c>
      <c r="S33" s="19"/>
      <c r="T33" s="20">
        <f t="shared" si="8"/>
        <v>1.2212432762028715</v>
      </c>
      <c r="U33" s="20">
        <f t="shared" si="9"/>
        <v>1.0007410382261106</v>
      </c>
      <c r="V33" s="20">
        <f t="shared" si="10"/>
        <v>1</v>
      </c>
      <c r="W33" s="20">
        <f t="shared" si="11"/>
        <v>1.2158887824560369</v>
      </c>
      <c r="X33" s="20">
        <f t="shared" si="12"/>
        <v>0.99807306783715066</v>
      </c>
      <c r="Y33" s="19"/>
      <c r="Z33" s="20">
        <f t="shared" si="13"/>
        <v>0.76802861182495308</v>
      </c>
      <c r="AA33" s="20">
        <f t="shared" si="14"/>
        <v>0.63494175220047921</v>
      </c>
      <c r="AB33" s="20">
        <f t="shared" si="15"/>
        <v>0.60857829417700626</v>
      </c>
      <c r="AC33" s="20">
        <f t="shared" si="16"/>
        <v>1</v>
      </c>
      <c r="AD33" s="20">
        <f t="shared" si="17"/>
        <v>0.63955404631004087</v>
      </c>
      <c r="AE33" s="19"/>
      <c r="AF33" s="20">
        <f t="shared" si="18"/>
        <v>1.2348727142161398</v>
      </c>
      <c r="AG33" s="20">
        <f t="shared" si="19"/>
        <v>0.9997616397377227</v>
      </c>
      <c r="AH33" s="20">
        <f t="shared" si="20"/>
        <v>0.98393050247142178</v>
      </c>
      <c r="AI33" s="20">
        <f t="shared" si="21"/>
        <v>1.2596698411999823</v>
      </c>
      <c r="AJ33" s="20">
        <f t="shared" si="22"/>
        <v>1</v>
      </c>
    </row>
    <row r="34" spans="1:36" x14ac:dyDescent="0.3">
      <c r="A34" s="17">
        <f>A33+50</f>
        <v>1850</v>
      </c>
      <c r="B34" s="35">
        <v>4.1624565884490295E-5</v>
      </c>
      <c r="C34" s="35">
        <v>6.2267892744054997E-5</v>
      </c>
      <c r="D34" s="35">
        <v>6.3165941895916049E-5</v>
      </c>
      <c r="E34" s="35">
        <v>3.1658247181812881E-5</v>
      </c>
      <c r="F34" s="35">
        <v>6.2267892744054997E-5</v>
      </c>
      <c r="H34" s="20">
        <f t="shared" si="5"/>
        <v>1</v>
      </c>
      <c r="I34" s="20">
        <f t="shared" si="24"/>
        <v>0.82389865229023107</v>
      </c>
      <c r="J34" s="20">
        <f t="shared" si="25"/>
        <v>0.80489777816118024</v>
      </c>
      <c r="K34" s="20">
        <f t="shared" si="26"/>
        <v>1.0103656457862418</v>
      </c>
      <c r="L34" s="20">
        <f t="shared" si="27"/>
        <v>0.82558910890534387</v>
      </c>
      <c r="M34" s="19"/>
      <c r="N34" s="20">
        <f t="shared" si="6"/>
        <v>1.2325037348172165</v>
      </c>
      <c r="O34" s="20">
        <f t="shared" si="7"/>
        <v>1</v>
      </c>
      <c r="P34" s="20">
        <f t="shared" si="7"/>
        <v>0.98653814873146894</v>
      </c>
      <c r="Q34" s="20">
        <f t="shared" si="7"/>
        <v>1.249312924597114</v>
      </c>
      <c r="R34" s="20">
        <f t="shared" si="7"/>
        <v>0.99976163973772258</v>
      </c>
      <c r="S34" s="19"/>
      <c r="T34" s="20">
        <f t="shared" si="8"/>
        <v>1.221445202060961</v>
      </c>
      <c r="U34" s="20">
        <f t="shared" si="9"/>
        <v>1.0007663441738375</v>
      </c>
      <c r="V34" s="20">
        <f t="shared" si="10"/>
        <v>1</v>
      </c>
      <c r="W34" s="20">
        <f t="shared" si="11"/>
        <v>1.2146627952661375</v>
      </c>
      <c r="X34" s="20">
        <f t="shared" si="12"/>
        <v>0.99809851972401165</v>
      </c>
      <c r="Y34" s="19"/>
      <c r="Z34" s="20">
        <f t="shared" si="13"/>
        <v>0.76845018509205099</v>
      </c>
      <c r="AA34" s="20">
        <f t="shared" si="14"/>
        <v>0.63517578050856882</v>
      </c>
      <c r="AB34" s="20">
        <f t="shared" si="15"/>
        <v>0.60877893784044712</v>
      </c>
      <c r="AC34" s="20">
        <f t="shared" si="16"/>
        <v>1</v>
      </c>
      <c r="AD34" s="20">
        <f t="shared" si="17"/>
        <v>0.63979287419229269</v>
      </c>
      <c r="AE34" s="19"/>
      <c r="AF34" s="20">
        <f t="shared" si="18"/>
        <v>1.2350325580964889</v>
      </c>
      <c r="AG34" s="20">
        <f t="shared" si="19"/>
        <v>0.9997616397377227</v>
      </c>
      <c r="AH34" s="20">
        <f t="shared" si="20"/>
        <v>0.98390825354245293</v>
      </c>
      <c r="AI34" s="20">
        <f t="shared" si="21"/>
        <v>1.2583941820854474</v>
      </c>
      <c r="AJ34" s="20">
        <f t="shared" si="22"/>
        <v>1</v>
      </c>
    </row>
    <row r="35" spans="1:36" x14ac:dyDescent="0.3">
      <c r="A35" s="17">
        <f t="shared" si="23"/>
        <v>1900</v>
      </c>
      <c r="B35" s="35">
        <v>4.2366567847284928E-5</v>
      </c>
      <c r="C35" s="35">
        <v>6.3396267002329128E-5</v>
      </c>
      <c r="D35" s="35">
        <v>6.4307046825940945E-5</v>
      </c>
      <c r="E35" s="35">
        <v>3.2275958510336726E-5</v>
      </c>
      <c r="F35" s="35">
        <v>6.3396267002329128E-5</v>
      </c>
      <c r="H35" s="20">
        <f t="shared" si="5"/>
        <v>1</v>
      </c>
      <c r="I35" s="20">
        <f t="shared" si="24"/>
        <v>0.82380037935804051</v>
      </c>
      <c r="J35" s="20">
        <f t="shared" si="25"/>
        <v>0.80482464983832491</v>
      </c>
      <c r="K35" s="20">
        <f t="shared" si="26"/>
        <v>1.0092650802960914</v>
      </c>
      <c r="L35" s="20">
        <f t="shared" si="27"/>
        <v>0.8254895991146961</v>
      </c>
      <c r="M35" s="19"/>
      <c r="N35" s="20">
        <f t="shared" si="6"/>
        <v>1.2327141767692018</v>
      </c>
      <c r="O35" s="20">
        <f t="shared" si="7"/>
        <v>1</v>
      </c>
      <c r="P35" s="20">
        <f t="shared" si="7"/>
        <v>0.98656393621318694</v>
      </c>
      <c r="Q35" s="20">
        <f t="shared" si="7"/>
        <v>1.2480617953123736</v>
      </c>
      <c r="R35" s="20">
        <f t="shared" si="7"/>
        <v>0.99976163973772258</v>
      </c>
      <c r="S35" s="19"/>
      <c r="T35" s="20">
        <f t="shared" si="8"/>
        <v>1.2216211761685452</v>
      </c>
      <c r="U35" s="20">
        <f t="shared" si="9"/>
        <v>1.0007373658217953</v>
      </c>
      <c r="V35" s="20">
        <f t="shared" si="10"/>
        <v>1</v>
      </c>
      <c r="W35" s="20">
        <f t="shared" si="11"/>
        <v>1.2133636943802708</v>
      </c>
      <c r="X35" s="20">
        <f t="shared" si="12"/>
        <v>0.99806937425434483</v>
      </c>
      <c r="Y35" s="19"/>
      <c r="Z35" s="20">
        <f t="shared" si="13"/>
        <v>0.76888451231141886</v>
      </c>
      <c r="AA35" s="20">
        <f t="shared" si="14"/>
        <v>0.63540635164462578</v>
      </c>
      <c r="AB35" s="20">
        <f t="shared" si="15"/>
        <v>0.60899198751525785</v>
      </c>
      <c r="AC35" s="20">
        <f t="shared" si="16"/>
        <v>1</v>
      </c>
      <c r="AD35" s="20">
        <f t="shared" si="17"/>
        <v>0.64002817456663896</v>
      </c>
      <c r="AE35" s="19"/>
      <c r="AF35" s="20">
        <f>(1+(($F35/B35)^0.5)*(($E$39/A$39)^0.25))^2/((4/SQRT(2))*((1+($E$39/A$39))^0.5))</f>
        <v>1.2352418827449265</v>
      </c>
      <c r="AG35" s="20">
        <f t="shared" si="19"/>
        <v>0.9997616397377227</v>
      </c>
      <c r="AH35" s="20">
        <f t="shared" si="20"/>
        <v>0.98393373137377238</v>
      </c>
      <c r="AI35" s="20">
        <f t="shared" si="21"/>
        <v>1.2571399554515239</v>
      </c>
      <c r="AJ35" s="20">
        <f t="shared" si="22"/>
        <v>1</v>
      </c>
    </row>
    <row r="36" spans="1:36" x14ac:dyDescent="0.3">
      <c r="O36" s="2"/>
    </row>
    <row r="37" spans="1:36" x14ac:dyDescent="0.3">
      <c r="A37" s="17"/>
      <c r="B37" s="21" t="s">
        <v>7</v>
      </c>
      <c r="C37" s="17"/>
      <c r="D37" s="17"/>
      <c r="E37" s="17"/>
      <c r="F37" s="17"/>
      <c r="G37" s="21" t="s">
        <v>16</v>
      </c>
    </row>
    <row r="38" spans="1:36" x14ac:dyDescent="0.3">
      <c r="A38" s="22" t="s">
        <v>9</v>
      </c>
      <c r="B38" s="22" t="s">
        <v>111</v>
      </c>
      <c r="C38" s="22" t="s">
        <v>2</v>
      </c>
      <c r="D38" s="22" t="s">
        <v>1</v>
      </c>
      <c r="E38" s="22" t="s">
        <v>3</v>
      </c>
      <c r="F38" s="17"/>
      <c r="G38" s="23">
        <f>'weight etc'!G6</f>
        <v>18.636387008</v>
      </c>
      <c r="N38" t="s">
        <v>78</v>
      </c>
      <c r="O38">
        <f>0.12</f>
        <v>0.12</v>
      </c>
      <c r="P38" t="s">
        <v>81</v>
      </c>
    </row>
    <row r="39" spans="1:36" x14ac:dyDescent="0.3">
      <c r="A39" s="24">
        <v>16.04</v>
      </c>
      <c r="B39" s="24">
        <v>30.07</v>
      </c>
      <c r="C39" s="24">
        <v>44.01</v>
      </c>
      <c r="D39" s="24">
        <v>2</v>
      </c>
      <c r="E39" s="24">
        <v>28</v>
      </c>
      <c r="F39" s="17"/>
      <c r="G39" s="17"/>
      <c r="N39" t="s">
        <v>79</v>
      </c>
      <c r="O39">
        <f>0.102</f>
        <v>0.10199999999999999</v>
      </c>
      <c r="P39" t="s">
        <v>81</v>
      </c>
    </row>
    <row r="40" spans="1:36" x14ac:dyDescent="0.3">
      <c r="A40" s="17"/>
      <c r="B40" s="17"/>
      <c r="C40" s="17"/>
      <c r="D40" s="17"/>
      <c r="E40" s="17"/>
      <c r="F40" s="17"/>
      <c r="G40" s="17"/>
      <c r="N40" t="s">
        <v>82</v>
      </c>
      <c r="O40">
        <f>2*O38*(1500/60)</f>
        <v>6</v>
      </c>
      <c r="P40" t="s">
        <v>80</v>
      </c>
    </row>
    <row r="41" spans="1:36" x14ac:dyDescent="0.3">
      <c r="A41" s="17"/>
      <c r="B41" s="21" t="s">
        <v>14</v>
      </c>
      <c r="C41" s="17"/>
      <c r="D41" s="17"/>
      <c r="E41" s="17"/>
      <c r="F41" s="17"/>
      <c r="G41" s="17"/>
      <c r="N41" t="s">
        <v>83</v>
      </c>
      <c r="O41">
        <f>O39</f>
        <v>0.10199999999999999</v>
      </c>
    </row>
    <row r="42" spans="1:36" x14ac:dyDescent="0.3">
      <c r="A42" s="25">
        <f>'weight etc'!J13</f>
        <v>0.69715229644151422</v>
      </c>
      <c r="B42" s="25">
        <f>'weight etc'!J11</f>
        <v>7.0994447552094983E-2</v>
      </c>
      <c r="C42" s="25">
        <f>'weight etc'!J14</f>
        <v>3.4478034810297493E-2</v>
      </c>
      <c r="D42" s="25">
        <f>'weight etc'!J12</f>
        <v>1.0816903507823956E-5</v>
      </c>
      <c r="E42" s="25">
        <f>'weight etc'!J15</f>
        <v>0.1973644042925855</v>
      </c>
      <c r="F42" s="17"/>
      <c r="G42" s="25">
        <f>SUM(A42:E42)</f>
        <v>1</v>
      </c>
      <c r="N42" t="s">
        <v>35</v>
      </c>
      <c r="O42">
        <v>0.76</v>
      </c>
    </row>
    <row r="43" spans="1:36" x14ac:dyDescent="0.3">
      <c r="A43" s="17"/>
      <c r="B43" s="17"/>
      <c r="C43" s="17"/>
      <c r="D43" s="17"/>
      <c r="E43" s="17"/>
      <c r="F43" s="17"/>
      <c r="G43" s="21"/>
      <c r="N43" t="s">
        <v>36</v>
      </c>
      <c r="O43">
        <v>0.71</v>
      </c>
    </row>
    <row r="44" spans="1:36" x14ac:dyDescent="0.3">
      <c r="A44" s="17"/>
      <c r="B44" s="21" t="s">
        <v>70</v>
      </c>
      <c r="C44" s="17"/>
      <c r="D44" s="17"/>
      <c r="E44" s="17"/>
      <c r="F44" s="17"/>
      <c r="G44" s="21"/>
      <c r="N44" t="s">
        <v>84</v>
      </c>
      <c r="O44">
        <f>'weight etc'!G17</f>
        <v>0.76340070000000004</v>
      </c>
    </row>
    <row r="45" spans="1:36" x14ac:dyDescent="0.3">
      <c r="A45" s="25">
        <f>'weight etc'!C4</f>
        <v>0.81</v>
      </c>
      <c r="B45" s="25">
        <f>'weight etc'!A4</f>
        <v>4.4000000000000004E-2</v>
      </c>
      <c r="C45" s="25">
        <f>'weight etc'!D4</f>
        <v>1.46E-2</v>
      </c>
      <c r="D45" s="25">
        <f>'weight etc'!B4</f>
        <v>1E-4</v>
      </c>
      <c r="E45" s="25">
        <f>'weight etc'!E4</f>
        <v>0.1313</v>
      </c>
      <c r="F45" s="17"/>
      <c r="G45" s="25">
        <f>SUM(A45:E45)</f>
        <v>1</v>
      </c>
    </row>
    <row r="46" spans="1:36" x14ac:dyDescent="0.3">
      <c r="B46" s="9"/>
    </row>
    <row r="47" spans="1:36" x14ac:dyDescent="0.3">
      <c r="B47" s="9"/>
    </row>
    <row r="48" spans="1:36" ht="18" x14ac:dyDescent="0.35">
      <c r="A48" s="18" t="s">
        <v>51</v>
      </c>
      <c r="B48" s="26"/>
      <c r="C48" s="19"/>
      <c r="D48" s="19"/>
      <c r="E48" s="19"/>
      <c r="F48" s="19"/>
      <c r="G48" s="19"/>
      <c r="H48" s="19"/>
      <c r="I48" s="29" t="s">
        <v>76</v>
      </c>
      <c r="L48" s="15" t="s">
        <v>52</v>
      </c>
      <c r="M48" s="15" t="s">
        <v>112</v>
      </c>
      <c r="N48" s="15" t="s">
        <v>54</v>
      </c>
      <c r="O48" s="15" t="s">
        <v>56</v>
      </c>
      <c r="P48" s="15" t="s">
        <v>58</v>
      </c>
      <c r="R48" s="29" t="s">
        <v>77</v>
      </c>
      <c r="T48" s="10" t="s">
        <v>85</v>
      </c>
      <c r="U48" t="s">
        <v>86</v>
      </c>
    </row>
    <row r="49" spans="1:21" ht="18" x14ac:dyDescent="0.35">
      <c r="A49" s="27"/>
      <c r="B49" s="19"/>
      <c r="C49" s="28" t="s">
        <v>71</v>
      </c>
      <c r="D49" s="28" t="s">
        <v>72</v>
      </c>
      <c r="E49" s="28" t="s">
        <v>73</v>
      </c>
      <c r="F49" s="28" t="s">
        <v>74</v>
      </c>
      <c r="G49" s="28" t="s">
        <v>75</v>
      </c>
      <c r="H49" s="19"/>
      <c r="I49" s="30"/>
      <c r="L49" s="16"/>
      <c r="M49" s="15"/>
      <c r="N49" s="15"/>
      <c r="O49" s="15"/>
      <c r="P49" s="15"/>
      <c r="R49" s="30"/>
    </row>
    <row r="50" spans="1:21" x14ac:dyDescent="0.3">
      <c r="A50" s="19">
        <v>300</v>
      </c>
      <c r="B50" s="19"/>
      <c r="C50" s="37">
        <f>B3/((1/A$45)*(B$45*I3+C$45*J3+D$45*K3+E$45*L3))</f>
        <v>5.9219197912748158E-5</v>
      </c>
      <c r="D50" s="37">
        <f>C3/((1/B$45)*(A$45*N3+C$45*P3+D$45*Q3+E$45*R3))</f>
        <v>6.6451268812813694E-7</v>
      </c>
      <c r="E50" s="37">
        <f>D3/((1/C$45)*(A$45*T3+B$45*U3+D$45*W3+E$45*X3))</f>
        <v>2.0362563769934892E-7</v>
      </c>
      <c r="F50" s="37">
        <f>E3/((1/D$45)*(A$45*Z3+B$45*AA3+C$45*AB3+E$45*AD3))</f>
        <v>1.189340945866192E-9</v>
      </c>
      <c r="G50" s="37">
        <f>F3/((1/E$45)*(A$45*AF3+$B45*AG3+C$45*AH3+D$45*AI3))</f>
        <v>2.1370821891344312E-6</v>
      </c>
      <c r="H50" s="37"/>
      <c r="I50" s="38">
        <f>SUM(C50:G50)</f>
        <v>6.222560776865594E-5</v>
      </c>
      <c r="L50" s="5">
        <v>3.4624381768493896E-2</v>
      </c>
      <c r="M50" s="5">
        <v>2.6149881267754985E-2</v>
      </c>
      <c r="N50" s="5">
        <v>1.6614877503019931E-2</v>
      </c>
      <c r="O50" s="5">
        <v>0.18786392110727454</v>
      </c>
      <c r="P50" s="5">
        <v>2.6149881267754985E-2</v>
      </c>
      <c r="R50" s="36">
        <f>0.5*(($A$45*L50+$B$45*M50+$C$45*N50+$D$45*O50+$E$45*P50)+(1/(A$45/L50+B$45/M50+C$45/N50+D$45/O50+E$45/P50)))</f>
        <v>3.2586681780850807E-2</v>
      </c>
      <c r="T50">
        <f>(R50/O$41)*O$42*(((O$44*O$40*O$41)/I50)^O$43)</f>
        <v>137.05134077812389</v>
      </c>
      <c r="U50">
        <f>T50*100</f>
        <v>13705.134077812389</v>
      </c>
    </row>
    <row r="51" spans="1:21" x14ac:dyDescent="0.3">
      <c r="A51" s="19">
        <f>A50+50</f>
        <v>350</v>
      </c>
      <c r="B51" s="19"/>
      <c r="C51" s="37">
        <f t="shared" ref="C51:C82" si="28">B4/((1/A$45)*(B$45*I4+C$45*J4+D$45*K4+E$45*L4))</f>
        <v>6.7170542704343429E-5</v>
      </c>
      <c r="D51" s="37">
        <f t="shared" ref="D51:D82" si="29">C4/((1/B$45)*(A$45*N4+C$45*P4+D$45*Q4+E$45*R4))</f>
        <v>7.523556361587975E-7</v>
      </c>
      <c r="E51" s="37">
        <f t="shared" ref="E51:E82" si="30">D4/((1/C$45)*(A$45*T4+B$45*U4+D$45*W4+E$45*X4))</f>
        <v>2.3347125687386257E-7</v>
      </c>
      <c r="F51" s="37">
        <f t="shared" ref="F51:F82" si="31">E4/((1/D$45)*(A$45*Z4+B$45*AA4+C$45*AB4+E$45*AD4))</f>
        <v>1.3306884697409658E-9</v>
      </c>
      <c r="G51" s="37">
        <f t="shared" ref="G51:G82" si="32">F4/((1/E$45)*(A$45*AF4+$B46*AG4+C$45*AH4+D$45*AI4))</f>
        <v>2.5226633410886067E-6</v>
      </c>
      <c r="H51" s="37"/>
      <c r="I51" s="38">
        <f t="shared" ref="I51:I82" si="33">SUM(C51:G51)</f>
        <v>7.0680363626934438E-5</v>
      </c>
      <c r="L51" s="5">
        <v>4.2662678116967799E-2</v>
      </c>
      <c r="M51" s="5">
        <v>2.9418282672912403E-2</v>
      </c>
      <c r="N51" s="5">
        <v>2.0558157059506806E-2</v>
      </c>
      <c r="O51" s="5">
        <v>0.2094838633670425</v>
      </c>
      <c r="P51" s="5">
        <v>2.9418282672912403E-2</v>
      </c>
      <c r="R51" s="36">
        <f t="shared" ref="R51:R82" si="34">0.5*(($A$45*L51+$B$45*M51+$C$45*N51+$D$45*O51+$E$45*P51)+(1/(A$45/L51+B$45/M51+C$45/N51+D$45/O51+E$45/P51)))</f>
        <v>3.9506302217915901E-2</v>
      </c>
      <c r="T51">
        <f t="shared" ref="T51:T82" si="35">(R51/O$41)*O$42*(((O$44*O$40*O$41)/I51)^O$43)</f>
        <v>151.7838256426044</v>
      </c>
      <c r="U51">
        <f t="shared" ref="U51:U82" si="36">T51*100</f>
        <v>15178.382564260441</v>
      </c>
    </row>
    <row r="52" spans="1:21" x14ac:dyDescent="0.3">
      <c r="A52" s="19">
        <f t="shared" ref="A52:A82" si="37">A51+50</f>
        <v>400</v>
      </c>
      <c r="B52" s="19"/>
      <c r="C52" s="37">
        <f t="shared" si="28"/>
        <v>7.46209671014482E-5</v>
      </c>
      <c r="D52" s="37">
        <f t="shared" si="29"/>
        <v>8.3461448439348751E-7</v>
      </c>
      <c r="E52" s="37">
        <f t="shared" si="30"/>
        <v>2.6172566291769258E-7</v>
      </c>
      <c r="F52" s="37">
        <f t="shared" si="31"/>
        <v>1.4647382406355566E-9</v>
      </c>
      <c r="G52" s="37">
        <f t="shared" si="32"/>
        <v>2.8003831278652223E-6</v>
      </c>
      <c r="H52" s="37"/>
      <c r="I52" s="38">
        <f t="shared" si="33"/>
        <v>7.8519155114865246E-5</v>
      </c>
      <c r="L52" s="5">
        <v>5.13183960574762E-2</v>
      </c>
      <c r="M52" s="5">
        <v>3.2511110685354401E-2</v>
      </c>
      <c r="N52" s="5">
        <v>2.4569551026357925E-2</v>
      </c>
      <c r="O52" s="5">
        <v>0.22937261677082471</v>
      </c>
      <c r="P52" s="5">
        <v>3.2511110685354401E-2</v>
      </c>
      <c r="R52" s="36">
        <f t="shared" si="34"/>
        <v>4.6791251441351656E-2</v>
      </c>
      <c r="T52">
        <f t="shared" si="35"/>
        <v>166.83732404311965</v>
      </c>
      <c r="U52">
        <f t="shared" si="36"/>
        <v>16683.732404311966</v>
      </c>
    </row>
    <row r="53" spans="1:21" x14ac:dyDescent="0.3">
      <c r="A53" s="19">
        <f t="shared" si="37"/>
        <v>450</v>
      </c>
      <c r="B53" s="19"/>
      <c r="C53" s="37">
        <f t="shared" si="28"/>
        <v>8.1657229326582945E-5</v>
      </c>
      <c r="D53" s="37">
        <f t="shared" si="29"/>
        <v>9.1229394221746033E-7</v>
      </c>
      <c r="E53" s="37">
        <f t="shared" si="30"/>
        <v>2.8855250182145879E-7</v>
      </c>
      <c r="F53" s="37">
        <f t="shared" si="31"/>
        <v>1.5929523325453175E-9</v>
      </c>
      <c r="G53" s="37">
        <f t="shared" si="32"/>
        <v>3.0626038828691841E-6</v>
      </c>
      <c r="H53" s="37"/>
      <c r="I53" s="38">
        <f t="shared" si="33"/>
        <v>8.5922272605823584E-5</v>
      </c>
      <c r="L53" s="5">
        <v>6.0448475946187886E-2</v>
      </c>
      <c r="M53" s="5">
        <v>3.5482940410039639E-2</v>
      </c>
      <c r="N53" s="5">
        <v>2.8583481603457809E-2</v>
      </c>
      <c r="O53" s="5">
        <v>0.24829449701848472</v>
      </c>
      <c r="P53" s="5">
        <v>3.5482940410039639E-2</v>
      </c>
      <c r="R53" s="36">
        <f t="shared" si="34"/>
        <v>5.4335971892575788E-2</v>
      </c>
      <c r="T53">
        <f t="shared" si="35"/>
        <v>181.73291666044148</v>
      </c>
      <c r="U53">
        <f t="shared" si="36"/>
        <v>18173.291666044148</v>
      </c>
    </row>
    <row r="54" spans="1:21" x14ac:dyDescent="0.3">
      <c r="A54" s="19">
        <f t="shared" si="37"/>
        <v>500</v>
      </c>
      <c r="B54" s="19"/>
      <c r="C54" s="37">
        <f t="shared" si="28"/>
        <v>8.8344533381105349E-5</v>
      </c>
      <c r="D54" s="37">
        <f t="shared" si="29"/>
        <v>9.8613561154174817E-7</v>
      </c>
      <c r="E54" s="37">
        <f t="shared" si="30"/>
        <v>3.141100055025219E-7</v>
      </c>
      <c r="F54" s="37">
        <f t="shared" si="31"/>
        <v>1.716336025312749E-9</v>
      </c>
      <c r="G54" s="37">
        <f t="shared" si="32"/>
        <v>3.3118125749428386E-6</v>
      </c>
      <c r="H54" s="37"/>
      <c r="I54" s="38">
        <f t="shared" si="33"/>
        <v>9.2958307909117772E-5</v>
      </c>
      <c r="L54" s="5">
        <v>6.9954482653116296E-2</v>
      </c>
      <c r="M54" s="5">
        <v>3.8365820799659223E-2</v>
      </c>
      <c r="N54" s="5">
        <v>3.2560178795050611E-2</v>
      </c>
      <c r="O54" s="5">
        <v>0.26665152307824158</v>
      </c>
      <c r="P54" s="5">
        <v>3.8365820799659223E-2</v>
      </c>
      <c r="R54" s="36">
        <f t="shared" si="34"/>
        <v>6.2071451485128527E-2</v>
      </c>
      <c r="T54">
        <f t="shared" si="35"/>
        <v>196.32179472185808</v>
      </c>
      <c r="U54">
        <f t="shared" si="36"/>
        <v>19632.17947218581</v>
      </c>
    </row>
    <row r="55" spans="1:21" x14ac:dyDescent="0.3">
      <c r="A55" s="19">
        <f t="shared" si="37"/>
        <v>550</v>
      </c>
      <c r="B55" s="19"/>
      <c r="C55" s="37">
        <f t="shared" si="28"/>
        <v>9.4733049780719182E-5</v>
      </c>
      <c r="D55" s="37">
        <f t="shared" si="29"/>
        <v>1.056703073735934E-6</v>
      </c>
      <c r="E55" s="37">
        <f t="shared" si="30"/>
        <v>3.3853953430349351E-7</v>
      </c>
      <c r="F55" s="37">
        <f t="shared" si="31"/>
        <v>1.8356177062897085E-9</v>
      </c>
      <c r="G55" s="37">
        <f t="shared" si="32"/>
        <v>3.5499070495432972E-6</v>
      </c>
      <c r="H55" s="37"/>
      <c r="I55" s="38">
        <f t="shared" si="33"/>
        <v>9.968003505600818E-5</v>
      </c>
      <c r="L55" s="5">
        <v>7.9765110201444764E-2</v>
      </c>
      <c r="M55" s="5">
        <v>4.1179880626187479E-2</v>
      </c>
      <c r="N55" s="5">
        <v>3.6475838542706064E-2</v>
      </c>
      <c r="O55" s="5">
        <v>0.28466684917077789</v>
      </c>
      <c r="P55" s="5">
        <v>4.1179880626187479E-2</v>
      </c>
      <c r="R55" s="36">
        <f t="shared" si="34"/>
        <v>6.995037457317646E-2</v>
      </c>
      <c r="T55">
        <f t="shared" si="35"/>
        <v>210.54235608694771</v>
      </c>
      <c r="U55">
        <f t="shared" si="36"/>
        <v>21054.235608694769</v>
      </c>
    </row>
    <row r="56" spans="1:21" x14ac:dyDescent="0.3">
      <c r="A56" s="19">
        <f t="shared" si="37"/>
        <v>600</v>
      </c>
      <c r="B56" s="19"/>
      <c r="C56" s="37">
        <f t="shared" si="28"/>
        <v>1.0086221335299214E-4</v>
      </c>
      <c r="D56" s="37">
        <f t="shared" si="29"/>
        <v>1.1244354186145767E-6</v>
      </c>
      <c r="E56" s="37">
        <f t="shared" si="30"/>
        <v>3.6196373536403982E-7</v>
      </c>
      <c r="F56" s="37">
        <f t="shared" si="31"/>
        <v>1.9513469519973063E-9</v>
      </c>
      <c r="G56" s="37">
        <f t="shared" si="32"/>
        <v>3.7783703749411845E-6</v>
      </c>
      <c r="H56" s="37"/>
      <c r="I56" s="38">
        <f t="shared" si="33"/>
        <v>1.0612893422886393E-4</v>
      </c>
      <c r="L56" s="5">
        <v>8.9826928573873283E-2</v>
      </c>
      <c r="M56" s="5">
        <v>4.3938497217291671E-2</v>
      </c>
      <c r="N56" s="5">
        <v>4.0316711901283019E-2</v>
      </c>
      <c r="O56" s="5">
        <v>0.30247027547913818</v>
      </c>
      <c r="P56" s="5">
        <v>4.3938497217291671E-2</v>
      </c>
      <c r="R56" s="36">
        <f t="shared" si="34"/>
        <v>7.7939187185440267E-2</v>
      </c>
      <c r="T56">
        <f t="shared" si="35"/>
        <v>224.3753356816693</v>
      </c>
      <c r="U56">
        <f t="shared" si="36"/>
        <v>22437.533568166931</v>
      </c>
    </row>
    <row r="57" spans="1:21" x14ac:dyDescent="0.3">
      <c r="A57" s="19">
        <f t="shared" si="37"/>
        <v>650</v>
      </c>
      <c r="B57" s="19"/>
      <c r="C57" s="37">
        <f t="shared" si="28"/>
        <v>1.0676361017141641E-4</v>
      </c>
      <c r="D57" s="37">
        <f t="shared" si="29"/>
        <v>1.1896820840797933E-6</v>
      </c>
      <c r="E57" s="37">
        <f t="shared" si="30"/>
        <v>3.8448792995152402E-7</v>
      </c>
      <c r="F57" s="37">
        <f t="shared" si="31"/>
        <v>2.0639518926625869E-9</v>
      </c>
      <c r="G57" s="37">
        <f t="shared" si="32"/>
        <v>3.9983854236277817E-6</v>
      </c>
      <c r="H57" s="37"/>
      <c r="I57" s="38">
        <f t="shared" si="33"/>
        <v>1.1233822956096818E-4</v>
      </c>
      <c r="L57" s="5">
        <v>0.10009889923746504</v>
      </c>
      <c r="M57" s="5">
        <v>4.6650995214853018E-2</v>
      </c>
      <c r="N57" s="5">
        <v>4.4075447802547796E-2</v>
      </c>
      <c r="O57" s="5">
        <v>0.32014035544935004</v>
      </c>
      <c r="P57" s="5">
        <v>4.6650995214853018E-2</v>
      </c>
      <c r="R57" s="36">
        <f t="shared" si="34"/>
        <v>8.6013462028299792E-2</v>
      </c>
      <c r="T57">
        <f t="shared" si="35"/>
        <v>237.82258394141505</v>
      </c>
      <c r="U57">
        <f t="shared" si="36"/>
        <v>23782.258394141503</v>
      </c>
    </row>
    <row r="58" spans="1:21" x14ac:dyDescent="0.3">
      <c r="A58" s="19">
        <f t="shared" si="37"/>
        <v>700</v>
      </c>
      <c r="B58" s="19"/>
      <c r="C58" s="37">
        <f t="shared" si="28"/>
        <v>1.124629616439521E-4</v>
      </c>
      <c r="D58" s="37">
        <f t="shared" si="29"/>
        <v>1.2527262656584595E-6</v>
      </c>
      <c r="E58" s="37">
        <f t="shared" si="30"/>
        <v>4.062023886820321E-7</v>
      </c>
      <c r="F58" s="37">
        <f t="shared" si="31"/>
        <v>2.1737747353542613E-9</v>
      </c>
      <c r="G58" s="37">
        <f t="shared" si="32"/>
        <v>4.2109124164773792E-6</v>
      </c>
      <c r="H58" s="37"/>
      <c r="I58" s="38">
        <f t="shared" si="33"/>
        <v>1.1833497648950533E-4</v>
      </c>
      <c r="L58" s="5">
        <v>0.11054888000162956</v>
      </c>
      <c r="M58" s="5">
        <v>4.9324142408919636E-2</v>
      </c>
      <c r="N58" s="5">
        <v>4.7748785277358687E-2</v>
      </c>
      <c r="O58" s="5">
        <v>0.33772623843922261</v>
      </c>
      <c r="P58" s="5">
        <v>4.9324142408919636E-2</v>
      </c>
      <c r="R58" s="36">
        <f t="shared" si="34"/>
        <v>9.4155029222995401E-2</v>
      </c>
      <c r="T58">
        <f t="shared" si="35"/>
        <v>250.89640845436011</v>
      </c>
      <c r="U58">
        <f t="shared" si="36"/>
        <v>25089.64084543601</v>
      </c>
    </row>
    <row r="59" spans="1:21" x14ac:dyDescent="0.3">
      <c r="A59" s="19">
        <f t="shared" si="37"/>
        <v>750</v>
      </c>
      <c r="B59" s="19"/>
      <c r="C59" s="37">
        <f t="shared" si="28"/>
        <v>1.1798151969877396E-4</v>
      </c>
      <c r="D59" s="37">
        <f t="shared" si="29"/>
        <v>1.3138011038766566E-6</v>
      </c>
      <c r="E59" s="37">
        <f t="shared" si="30"/>
        <v>4.2718464327413485E-7</v>
      </c>
      <c r="F59" s="37">
        <f t="shared" si="31"/>
        <v>2.281094822864897E-9</v>
      </c>
      <c r="G59" s="37">
        <f t="shared" si="32"/>
        <v>4.4167428380397514E-6</v>
      </c>
      <c r="H59" s="37"/>
      <c r="I59" s="38">
        <f t="shared" si="33"/>
        <v>1.2414152937878736E-4</v>
      </c>
      <c r="L59" s="5">
        <v>0.1211512859328311</v>
      </c>
      <c r="M59" s="5">
        <v>5.196302273624883E-2</v>
      </c>
      <c r="N59" s="5">
        <v>5.1336075207427501E-2</v>
      </c>
      <c r="O59" s="5">
        <v>0.35525954308309998</v>
      </c>
      <c r="P59" s="5">
        <v>5.196302273624883E-2</v>
      </c>
      <c r="R59" s="36">
        <f t="shared" si="34"/>
        <v>0.10235012472958374</v>
      </c>
      <c r="T59">
        <f t="shared" si="35"/>
        <v>263.61400836398025</v>
      </c>
      <c r="U59">
        <f t="shared" si="36"/>
        <v>26361.400836398025</v>
      </c>
    </row>
    <row r="60" spans="1:21" x14ac:dyDescent="0.3">
      <c r="A60" s="19">
        <f t="shared" si="37"/>
        <v>800</v>
      </c>
      <c r="B60" s="19"/>
      <c r="C60" s="37">
        <f t="shared" si="28"/>
        <v>1.2333706926022557E-4</v>
      </c>
      <c r="D60" s="37">
        <f t="shared" si="29"/>
        <v>1.3731011670045265E-6</v>
      </c>
      <c r="E60" s="37">
        <f t="shared" si="30"/>
        <v>4.4750155145069587E-7</v>
      </c>
      <c r="F60" s="37">
        <f t="shared" si="31"/>
        <v>2.3861442021562844E-9</v>
      </c>
      <c r="G60" s="37">
        <f t="shared" si="32"/>
        <v>4.6165378463232905E-6</v>
      </c>
      <c r="H60" s="37"/>
      <c r="I60" s="38">
        <f t="shared" si="33"/>
        <v>1.2977659596920624E-4</v>
      </c>
      <c r="L60" s="5">
        <v>0.13188546766413481</v>
      </c>
      <c r="M60" s="5">
        <v>5.4571569118581818E-2</v>
      </c>
      <c r="N60" s="5">
        <v>5.4838322076130375E-2</v>
      </c>
      <c r="O60" s="5">
        <v>0.37276108369629846</v>
      </c>
      <c r="P60" s="5">
        <v>5.4571569118581818E-2</v>
      </c>
      <c r="R60" s="36">
        <f t="shared" si="34"/>
        <v>0.11058815644525624</v>
      </c>
      <c r="T60">
        <f t="shared" si="35"/>
        <v>275.99450345573825</v>
      </c>
      <c r="U60">
        <f t="shared" si="36"/>
        <v>27599.450345573827</v>
      </c>
    </row>
    <row r="61" spans="1:21" x14ac:dyDescent="0.3">
      <c r="A61" s="19">
        <f t="shared" si="37"/>
        <v>850</v>
      </c>
      <c r="B61" s="19"/>
      <c r="C61" s="37">
        <f t="shared" si="28"/>
        <v>1.2854466298379229E-4</v>
      </c>
      <c r="D61" s="37">
        <f t="shared" si="29"/>
        <v>1.4307907829989612E-6</v>
      </c>
      <c r="E61" s="37">
        <f t="shared" si="30"/>
        <v>4.6721104929559693E-7</v>
      </c>
      <c r="F61" s="37">
        <f t="shared" si="31"/>
        <v>2.4891184904132242E-9</v>
      </c>
      <c r="G61" s="37">
        <f t="shared" si="32"/>
        <v>4.8108562383683363E-6</v>
      </c>
      <c r="H61" s="37"/>
      <c r="I61" s="38">
        <f t="shared" si="33"/>
        <v>1.352560101729456E-4</v>
      </c>
      <c r="L61" s="5">
        <v>0.1427345561722495</v>
      </c>
      <c r="M61" s="5">
        <v>5.715290166325572E-2</v>
      </c>
      <c r="N61" s="5">
        <v>5.8257557042552116E-2</v>
      </c>
      <c r="O61" s="5">
        <v>0.39024482174012276</v>
      </c>
      <c r="P61" s="5">
        <v>5.715290166325572E-2</v>
      </c>
      <c r="R61" s="36">
        <f t="shared" si="34"/>
        <v>0.11886086000707996</v>
      </c>
      <c r="T61">
        <f t="shared" si="35"/>
        <v>288.05733958854336</v>
      </c>
      <c r="U61">
        <f t="shared" si="36"/>
        <v>28805.733958854336</v>
      </c>
    </row>
    <row r="62" spans="1:21" x14ac:dyDescent="0.3">
      <c r="A62" s="19">
        <f t="shared" si="37"/>
        <v>900</v>
      </c>
      <c r="B62" s="19"/>
      <c r="C62" s="37">
        <f t="shared" si="28"/>
        <v>1.3361716956774111E-4</v>
      </c>
      <c r="D62" s="37">
        <f t="shared" si="29"/>
        <v>1.4870102079775668E-6</v>
      </c>
      <c r="E62" s="37">
        <f t="shared" si="30"/>
        <v>4.8636360539407278E-7</v>
      </c>
      <c r="F62" s="37">
        <f t="shared" si="31"/>
        <v>2.5901846768681279E-9</v>
      </c>
      <c r="G62" s="37">
        <f t="shared" si="32"/>
        <v>5.0001752113819043E-6</v>
      </c>
      <c r="H62" s="37"/>
      <c r="I62" s="38">
        <f t="shared" si="33"/>
        <v>1.4059330877717153E-4</v>
      </c>
      <c r="L62" s="5">
        <v>0.15368462164368987</v>
      </c>
      <c r="M62" s="5">
        <v>5.9709549845231212E-2</v>
      </c>
      <c r="N62" s="5">
        <v>6.1596425125701765E-2</v>
      </c>
      <c r="O62" s="5">
        <v>0.40772026241893028</v>
      </c>
      <c r="P62" s="5">
        <v>5.9709549845231212E-2</v>
      </c>
      <c r="R62" s="36">
        <f t="shared" si="34"/>
        <v>0.12716170817516328</v>
      </c>
      <c r="T62">
        <f t="shared" si="35"/>
        <v>299.82144561258644</v>
      </c>
      <c r="U62">
        <f t="shared" si="36"/>
        <v>29982.144561258643</v>
      </c>
    </row>
    <row r="63" spans="1:21" x14ac:dyDescent="0.3">
      <c r="A63" s="19">
        <f t="shared" si="37"/>
        <v>950</v>
      </c>
      <c r="B63" s="19"/>
      <c r="C63" s="37">
        <f t="shared" si="28"/>
        <v>1.3856568969611906E-4</v>
      </c>
      <c r="D63" s="37">
        <f t="shared" si="29"/>
        <v>1.5418802755258723E-6</v>
      </c>
      <c r="E63" s="37">
        <f t="shared" si="30"/>
        <v>5.0500341633254888E-7</v>
      </c>
      <c r="F63" s="37">
        <f t="shared" si="31"/>
        <v>2.6894868627214652E-9</v>
      </c>
      <c r="G63" s="37">
        <f t="shared" si="32"/>
        <v>5.1849060460498032E-6</v>
      </c>
      <c r="H63" s="37"/>
      <c r="I63" s="38">
        <f t="shared" si="33"/>
        <v>1.4580016892088999E-4</v>
      </c>
      <c r="L63" s="5">
        <v>0.16472404970258256</v>
      </c>
      <c r="M63" s="5">
        <v>6.2243602990377275E-2</v>
      </c>
      <c r="N63" s="5">
        <v>6.4857912466515732E-2</v>
      </c>
      <c r="O63" s="5">
        <v>0.42519394971073743</v>
      </c>
      <c r="P63" s="5">
        <v>6.2243602990377275E-2</v>
      </c>
      <c r="R63" s="36">
        <f t="shared" si="34"/>
        <v>0.13548548951784339</v>
      </c>
      <c r="T63">
        <f t="shared" si="35"/>
        <v>311.30480852414667</v>
      </c>
      <c r="U63">
        <f t="shared" si="36"/>
        <v>31130.480852414665</v>
      </c>
    </row>
    <row r="64" spans="1:21" x14ac:dyDescent="0.3">
      <c r="A64" s="19">
        <f t="shared" si="37"/>
        <v>1000</v>
      </c>
      <c r="B64" s="19"/>
      <c r="C64" s="37">
        <f t="shared" si="28"/>
        <v>1.4339987628601177E-4</v>
      </c>
      <c r="D64" s="37">
        <f t="shared" si="29"/>
        <v>1.5955059575810334E-6</v>
      </c>
      <c r="E64" s="37">
        <f t="shared" si="30"/>
        <v>5.2316938698378169E-7</v>
      </c>
      <c r="F64" s="37">
        <f t="shared" si="31"/>
        <v>2.7871505743866071E-9</v>
      </c>
      <c r="G64" s="37">
        <f t="shared" si="32"/>
        <v>5.3654061405715805E-6</v>
      </c>
      <c r="H64" s="37"/>
      <c r="I64" s="38">
        <f t="shared" si="33"/>
        <v>1.5088674492172254E-4</v>
      </c>
      <c r="L64" s="5">
        <v>0.17584307146648104</v>
      </c>
      <c r="M64" s="5">
        <v>6.4756815004108376E-2</v>
      </c>
      <c r="N64" s="5">
        <v>6.804516620831616E-2</v>
      </c>
      <c r="O64" s="5">
        <v>0.44267042247945676</v>
      </c>
      <c r="P64" s="5">
        <v>6.4756815004108376E-2</v>
      </c>
      <c r="R64" s="36">
        <f t="shared" si="34"/>
        <v>0.14382800265643697</v>
      </c>
      <c r="T64">
        <f t="shared" si="35"/>
        <v>322.52428363099392</v>
      </c>
      <c r="U64">
        <f t="shared" si="36"/>
        <v>32252.428363099392</v>
      </c>
    </row>
    <row r="65" spans="1:21" x14ac:dyDescent="0.3">
      <c r="A65" s="19">
        <f t="shared" si="37"/>
        <v>1050</v>
      </c>
      <c r="B65" s="19"/>
      <c r="C65" s="37">
        <f t="shared" si="28"/>
        <v>1.481344011566038E-4</v>
      </c>
      <c r="D65" s="37">
        <f t="shared" si="29"/>
        <v>1.6479815165203243E-6</v>
      </c>
      <c r="E65" s="37">
        <f t="shared" si="30"/>
        <v>5.4093658647691113E-7</v>
      </c>
      <c r="F65" s="37">
        <f t="shared" si="31"/>
        <v>2.882945125520175E-9</v>
      </c>
      <c r="G65" s="37">
        <f t="shared" si="32"/>
        <v>5.5422580123696579E-6</v>
      </c>
      <c r="H65" s="37"/>
      <c r="I65" s="38">
        <f t="shared" si="33"/>
        <v>1.5586846021709621E-4</v>
      </c>
      <c r="L65" s="5">
        <v>0.18694510477551057</v>
      </c>
      <c r="M65" s="5">
        <v>6.7253286720778363E-2</v>
      </c>
      <c r="N65" s="5">
        <v>7.1158562818063056E-2</v>
      </c>
      <c r="O65" s="5">
        <v>0.4602122381354537</v>
      </c>
      <c r="P65" s="5">
        <v>6.7253286720778363E-2</v>
      </c>
      <c r="R65" s="36">
        <f t="shared" si="34"/>
        <v>0.1521311504161364</v>
      </c>
      <c r="T65">
        <f t="shared" si="35"/>
        <v>333.36579641246215</v>
      </c>
      <c r="U65">
        <f t="shared" si="36"/>
        <v>33336.579641246215</v>
      </c>
    </row>
    <row r="66" spans="1:21" x14ac:dyDescent="0.3">
      <c r="A66" s="19">
        <f t="shared" si="37"/>
        <v>1100</v>
      </c>
      <c r="B66" s="19"/>
      <c r="C66" s="37">
        <f t="shared" si="28"/>
        <v>1.5278299991210639E-4</v>
      </c>
      <c r="D66" s="37">
        <f t="shared" si="29"/>
        <v>1.6994233331064579E-6</v>
      </c>
      <c r="E66" s="37">
        <f t="shared" si="30"/>
        <v>5.5837395850998308E-7</v>
      </c>
      <c r="F66" s="37">
        <f t="shared" si="31"/>
        <v>2.9767783508179357E-9</v>
      </c>
      <c r="G66" s="37">
        <f t="shared" si="32"/>
        <v>5.7159796567858237E-6</v>
      </c>
      <c r="H66" s="37"/>
      <c r="I66" s="38">
        <f t="shared" si="33"/>
        <v>1.607597536388595E-4</v>
      </c>
      <c r="L66" s="5">
        <v>0.19794062568852358</v>
      </c>
      <c r="M66" s="5">
        <v>6.9736626783681935E-2</v>
      </c>
      <c r="N66" s="5">
        <v>7.4200600704751513E-2</v>
      </c>
      <c r="O66" s="5">
        <v>0.47787052033996424</v>
      </c>
      <c r="P66" s="5">
        <v>6.9736626783681935E-2</v>
      </c>
      <c r="R66" s="36">
        <f t="shared" si="34"/>
        <v>0.16034250167047506</v>
      </c>
      <c r="T66">
        <f t="shared" si="35"/>
        <v>343.73518803149148</v>
      </c>
      <c r="U66">
        <f t="shared" si="36"/>
        <v>34373.518803149149</v>
      </c>
    </row>
    <row r="67" spans="1:21" x14ac:dyDescent="0.3">
      <c r="A67" s="19">
        <f t="shared" si="37"/>
        <v>1150</v>
      </c>
      <c r="B67" s="19"/>
      <c r="C67" s="37">
        <f t="shared" si="28"/>
        <v>1.5732461503100551E-4</v>
      </c>
      <c r="D67" s="37">
        <f t="shared" si="29"/>
        <v>1.7498812064884199E-6</v>
      </c>
      <c r="E67" s="37">
        <f t="shared" si="30"/>
        <v>5.7548458771924842E-7</v>
      </c>
      <c r="F67" s="37">
        <f t="shared" si="31"/>
        <v>3.0688677965356221E-9</v>
      </c>
      <c r="G67" s="37">
        <f t="shared" si="32"/>
        <v>5.885278235350089E-6</v>
      </c>
      <c r="H67" s="37"/>
      <c r="I67" s="38">
        <f t="shared" si="33"/>
        <v>1.6553832792835977E-4</v>
      </c>
      <c r="L67" s="5">
        <v>0.20883175781236479</v>
      </c>
      <c r="M67" s="5">
        <v>7.2207570872555832E-2</v>
      </c>
      <c r="N67" s="5">
        <v>7.7177043564584297E-2</v>
      </c>
      <c r="O67" s="5">
        <v>0.49563333242481378</v>
      </c>
      <c r="P67" s="5">
        <v>7.2207570872555832E-2</v>
      </c>
      <c r="R67" s="36">
        <f t="shared" si="34"/>
        <v>0.16846659561001448</v>
      </c>
      <c r="T67">
        <f t="shared" si="35"/>
        <v>353.71792005930178</v>
      </c>
      <c r="U67">
        <f t="shared" si="36"/>
        <v>35371.792005930176</v>
      </c>
    </row>
    <row r="68" spans="1:21" x14ac:dyDescent="0.3">
      <c r="A68" s="19">
        <f t="shared" si="37"/>
        <v>1200</v>
      </c>
      <c r="B68" s="19"/>
      <c r="C68" s="37">
        <f t="shared" si="28"/>
        <v>1.6180645303163883E-4</v>
      </c>
      <c r="D68" s="37">
        <f t="shared" si="29"/>
        <v>1.7995405729929088E-6</v>
      </c>
      <c r="E68" s="37">
        <f t="shared" si="30"/>
        <v>5.9232077854926997E-7</v>
      </c>
      <c r="F68" s="37">
        <f t="shared" si="31"/>
        <v>3.159521089073154E-9</v>
      </c>
      <c r="G68" s="37">
        <f t="shared" si="32"/>
        <v>6.0525881152108227E-6</v>
      </c>
      <c r="H68" s="37"/>
      <c r="I68" s="38">
        <f t="shared" si="33"/>
        <v>1.7025406201948091E-4</v>
      </c>
      <c r="L68" s="5">
        <v>0.21962107240295556</v>
      </c>
      <c r="M68" s="5">
        <v>7.4666770730626789E-2</v>
      </c>
      <c r="N68" s="5">
        <v>8.0092964087683613E-2</v>
      </c>
      <c r="O68" s="5">
        <v>0.51349074924892368</v>
      </c>
      <c r="P68" s="5">
        <v>7.4666770730626789E-2</v>
      </c>
      <c r="R68" s="36">
        <f t="shared" si="34"/>
        <v>0.17650773028851025</v>
      </c>
      <c r="T68">
        <f t="shared" si="35"/>
        <v>363.2835738878465</v>
      </c>
      <c r="U68">
        <f t="shared" si="36"/>
        <v>36328.357388784651</v>
      </c>
    </row>
    <row r="69" spans="1:21" x14ac:dyDescent="0.3">
      <c r="A69" s="19">
        <f t="shared" si="37"/>
        <v>1250</v>
      </c>
      <c r="B69" s="19"/>
      <c r="C69" s="37">
        <f t="shared" si="28"/>
        <v>1.6622082208199061E-4</v>
      </c>
      <c r="D69" s="37">
        <f t="shared" si="29"/>
        <v>1.8484509514218254E-6</v>
      </c>
      <c r="E69" s="37">
        <f t="shared" si="30"/>
        <v>6.0889150045216957E-7</v>
      </c>
      <c r="F69" s="37">
        <f t="shared" si="31"/>
        <v>3.2488948352137315E-9</v>
      </c>
      <c r="G69" s="37">
        <f t="shared" si="32"/>
        <v>6.217384592628999E-6</v>
      </c>
      <c r="H69" s="37"/>
      <c r="I69" s="38">
        <f t="shared" si="33"/>
        <v>1.7489879802132881E-4</v>
      </c>
      <c r="L69" s="5">
        <v>0.23031138792705452</v>
      </c>
      <c r="M69" s="5">
        <v>7.7114808095426354E-2</v>
      </c>
      <c r="N69" s="5">
        <v>8.2952842734709348E-2</v>
      </c>
      <c r="O69" s="5">
        <v>0.53143441771148781</v>
      </c>
      <c r="P69" s="5">
        <v>7.7114808095426354E-2</v>
      </c>
      <c r="R69" s="36">
        <f t="shared" si="34"/>
        <v>0.18446993325401262</v>
      </c>
      <c r="T69">
        <f t="shared" si="35"/>
        <v>372.48448547757897</v>
      </c>
      <c r="U69">
        <f t="shared" si="36"/>
        <v>37248.4485477579</v>
      </c>
    </row>
    <row r="70" spans="1:21" x14ac:dyDescent="0.3">
      <c r="A70" s="19">
        <f t="shared" si="37"/>
        <v>1300</v>
      </c>
      <c r="B70" s="19"/>
      <c r="C70" s="37">
        <f t="shared" si="28"/>
        <v>1.7057348407703118E-4</v>
      </c>
      <c r="D70" s="37">
        <f t="shared" si="29"/>
        <v>1.8966813816715327E-6</v>
      </c>
      <c r="E70" s="37">
        <f t="shared" si="30"/>
        <v>6.2521426838084703E-7</v>
      </c>
      <c r="F70" s="37">
        <f t="shared" si="31"/>
        <v>3.3371426976672716E-9</v>
      </c>
      <c r="G70" s="37">
        <f t="shared" si="32"/>
        <v>6.3798881847686206E-6</v>
      </c>
      <c r="H70" s="37"/>
      <c r="I70" s="38">
        <f t="shared" si="33"/>
        <v>1.7947860505454984E-4</v>
      </c>
      <c r="L70" s="5">
        <v>0.24090565354892257</v>
      </c>
      <c r="M70" s="5">
        <v>7.955220609556829E-2</v>
      </c>
      <c r="N70" s="5">
        <v>8.5760653143048524E-2</v>
      </c>
      <c r="O70" s="5">
        <v>0.54945724022810871</v>
      </c>
      <c r="P70" s="5">
        <v>7.955220609556829E-2</v>
      </c>
      <c r="R70" s="36">
        <f t="shared" si="34"/>
        <v>0.19235696585013545</v>
      </c>
      <c r="T70">
        <f t="shared" si="35"/>
        <v>381.34684254959615</v>
      </c>
      <c r="U70">
        <f t="shared" si="36"/>
        <v>38134.684254959611</v>
      </c>
    </row>
    <row r="71" spans="1:21" x14ac:dyDescent="0.3">
      <c r="A71" s="19">
        <f t="shared" si="37"/>
        <v>1350</v>
      </c>
      <c r="B71" s="19"/>
      <c r="C71" s="37">
        <f t="shared" si="28"/>
        <v>1.7486938032832907E-4</v>
      </c>
      <c r="D71" s="37">
        <f t="shared" si="29"/>
        <v>1.9442905942005771E-6</v>
      </c>
      <c r="E71" s="37">
        <f t="shared" si="30"/>
        <v>6.4130460944130236E-7</v>
      </c>
      <c r="F71" s="37">
        <f t="shared" si="31"/>
        <v>3.4243924722843395E-9</v>
      </c>
      <c r="G71" s="37">
        <f t="shared" si="32"/>
        <v>6.5402874269096801E-6</v>
      </c>
      <c r="H71" s="37"/>
      <c r="I71" s="38">
        <f t="shared" si="33"/>
        <v>1.8399868735135289E-4</v>
      </c>
      <c r="L71" s="5">
        <v>0.25140686799126138</v>
      </c>
      <c r="M71" s="5">
        <v>8.1979438234875135E-2</v>
      </c>
      <c r="N71" s="5">
        <v>8.8519933766636111E-2</v>
      </c>
      <c r="O71" s="5">
        <v>0.56755313298892429</v>
      </c>
      <c r="P71" s="5">
        <v>8.1979438234875135E-2</v>
      </c>
      <c r="R71" s="36">
        <f t="shared" si="34"/>
        <v>0.20017233421037983</v>
      </c>
      <c r="T71">
        <f t="shared" si="35"/>
        <v>389.89426074016325</v>
      </c>
      <c r="U71">
        <f t="shared" si="36"/>
        <v>38989.426074016323</v>
      </c>
    </row>
    <row r="72" spans="1:21" x14ac:dyDescent="0.3">
      <c r="A72" s="19">
        <f t="shared" si="37"/>
        <v>1400</v>
      </c>
      <c r="B72" s="19"/>
      <c r="C72" s="37">
        <f t="shared" si="28"/>
        <v>1.7911278142985302E-4</v>
      </c>
      <c r="D72" s="37">
        <f t="shared" si="29"/>
        <v>1.9913289447556977E-6</v>
      </c>
      <c r="E72" s="37">
        <f t="shared" si="30"/>
        <v>6.5717637061328137E-7</v>
      </c>
      <c r="F72" s="37">
        <f t="shared" si="31"/>
        <v>3.5107512253816964E-9</v>
      </c>
      <c r="G72" s="37">
        <f t="shared" si="32"/>
        <v>6.6987447795397699E-6</v>
      </c>
      <c r="H72" s="37"/>
      <c r="I72" s="38">
        <f t="shared" si="33"/>
        <v>1.8846354227598715E-4</v>
      </c>
      <c r="L72" s="5">
        <v>0.26181802339494037</v>
      </c>
      <c r="M72" s="5">
        <v>8.4396935572595852E-2</v>
      </c>
      <c r="N72" s="5">
        <v>9.1233848018377056E-2</v>
      </c>
      <c r="O72" s="5">
        <v>0.58571683904220351</v>
      </c>
      <c r="P72" s="5">
        <v>8.4396935572595852E-2</v>
      </c>
      <c r="R72" s="36">
        <f t="shared" si="34"/>
        <v>0.20791930374673528</v>
      </c>
      <c r="T72">
        <f t="shared" si="35"/>
        <v>398.14809066789064</v>
      </c>
      <c r="U72">
        <f t="shared" si="36"/>
        <v>39814.809066789065</v>
      </c>
    </row>
    <row r="73" spans="1:21" x14ac:dyDescent="0.3">
      <c r="A73" s="19">
        <f t="shared" si="37"/>
        <v>1450</v>
      </c>
      <c r="B73" s="19"/>
      <c r="C73" s="37">
        <f t="shared" si="28"/>
        <v>1.833074050075684E-4</v>
      </c>
      <c r="D73" s="37">
        <f t="shared" si="29"/>
        <v>2.0378399278112444E-6</v>
      </c>
      <c r="E73" s="37">
        <f t="shared" si="30"/>
        <v>6.7284196783418285E-7</v>
      </c>
      <c r="F73" s="37">
        <f t="shared" si="31"/>
        <v>3.5963092827748713E-9</v>
      </c>
      <c r="G73" s="37">
        <f t="shared" si="32"/>
        <v>6.8554012605491369E-6</v>
      </c>
      <c r="H73" s="37"/>
      <c r="I73" s="38">
        <f t="shared" si="33"/>
        <v>1.9287708447304579E-4</v>
      </c>
      <c r="L73" s="5">
        <v>0.27214206693439685</v>
      </c>
      <c r="M73" s="5">
        <v>8.6805092534340753E-2</v>
      </c>
      <c r="N73" s="5">
        <v>9.3905234860365616E-2</v>
      </c>
      <c r="O73" s="5">
        <v>0.60394378212444455</v>
      </c>
      <c r="P73" s="5">
        <v>8.6805092534340753E-2</v>
      </c>
      <c r="R73" s="36">
        <f t="shared" si="34"/>
        <v>0.21560091517065361</v>
      </c>
      <c r="T73">
        <f t="shared" si="35"/>
        <v>406.12768379229874</v>
      </c>
      <c r="U73">
        <f t="shared" si="36"/>
        <v>40612.768379229878</v>
      </c>
    </row>
    <row r="74" spans="1:21" x14ac:dyDescent="0.3">
      <c r="A74" s="19">
        <f t="shared" si="37"/>
        <v>1500</v>
      </c>
      <c r="B74" s="19"/>
      <c r="C74" s="37">
        <f t="shared" si="28"/>
        <v>1.8745650910690956E-4</v>
      </c>
      <c r="D74" s="37">
        <f t="shared" si="29"/>
        <v>2.0838613713731627E-6</v>
      </c>
      <c r="E74" s="37">
        <f t="shared" si="30"/>
        <v>6.8831258947067775E-7</v>
      </c>
      <c r="F74" s="37">
        <f t="shared" si="31"/>
        <v>3.6811433523927248E-9</v>
      </c>
      <c r="G74" s="37">
        <f t="shared" si="32"/>
        <v>7.0103801116889014E-6</v>
      </c>
      <c r="H74" s="37"/>
      <c r="I74" s="38">
        <f t="shared" si="33"/>
        <v>1.9724274432279468E-4</v>
      </c>
      <c r="L74" s="5">
        <v>0.28238187509002421</v>
      </c>
      <c r="M74" s="5">
        <v>8.9204271669036342E-2</v>
      </c>
      <c r="N74" s="5">
        <v>9.6536651474592242E-2</v>
      </c>
      <c r="O74" s="5">
        <v>0.62222995115555424</v>
      </c>
      <c r="P74" s="5">
        <v>8.9204271669036342E-2</v>
      </c>
      <c r="R74" s="36">
        <f t="shared" si="34"/>
        <v>0.22322000085811006</v>
      </c>
      <c r="T74">
        <f t="shared" si="35"/>
        <v>413.85062277353364</v>
      </c>
      <c r="U74">
        <f t="shared" si="36"/>
        <v>41385.062277353361</v>
      </c>
    </row>
    <row r="75" spans="1:21" x14ac:dyDescent="0.3">
      <c r="A75" s="19">
        <f t="shared" si="37"/>
        <v>1550</v>
      </c>
      <c r="B75" s="19"/>
      <c r="C75" s="37">
        <f t="shared" si="28"/>
        <v>1.9156296691174142E-4</v>
      </c>
      <c r="D75" s="37">
        <f t="shared" si="29"/>
        <v>2.1294263883988279E-6</v>
      </c>
      <c r="E75" s="37">
        <f t="shared" si="30"/>
        <v>7.0359836393877743E-7</v>
      </c>
      <c r="F75" s="37">
        <f t="shared" si="31"/>
        <v>3.7653189876178657E-9</v>
      </c>
      <c r="G75" s="37">
        <f t="shared" si="32"/>
        <v>7.163789726102702E-6</v>
      </c>
      <c r="H75" s="37"/>
      <c r="I75" s="38">
        <f t="shared" si="33"/>
        <v>2.0156354670916937E-4</v>
      </c>
      <c r="L75" s="5">
        <v>0.29254023696161124</v>
      </c>
      <c r="M75" s="5">
        <v>9.1594807584058871E-2</v>
      </c>
      <c r="N75" s="5">
        <v>9.9130409368286446E-2</v>
      </c>
      <c r="O75" s="5">
        <v>0.64057180808045888</v>
      </c>
      <c r="P75" s="5">
        <v>9.1594807584058871E-2</v>
      </c>
      <c r="R75" s="36">
        <f t="shared" si="34"/>
        <v>0.23077920085643711</v>
      </c>
      <c r="T75">
        <f t="shared" si="35"/>
        <v>421.33292136012267</v>
      </c>
      <c r="U75">
        <f t="shared" si="36"/>
        <v>42133.292136012264</v>
      </c>
    </row>
    <row r="76" spans="1:21" x14ac:dyDescent="0.3">
      <c r="A76" s="19">
        <f>A75+50</f>
        <v>1600</v>
      </c>
      <c r="B76" s="19"/>
      <c r="C76" s="37">
        <f t="shared" si="28"/>
        <v>1.9562932702124223E-4</v>
      </c>
      <c r="D76" s="37">
        <f t="shared" si="29"/>
        <v>2.1745641405808226E-6</v>
      </c>
      <c r="E76" s="37">
        <f t="shared" si="30"/>
        <v>7.1870849887230376E-7</v>
      </c>
      <c r="F76" s="37">
        <f t="shared" si="31"/>
        <v>3.848892544890995E-9</v>
      </c>
      <c r="G76" s="37">
        <f t="shared" si="32"/>
        <v>7.3157260051232953E-6</v>
      </c>
      <c r="H76" s="37"/>
      <c r="I76" s="38">
        <f t="shared" si="33"/>
        <v>2.0584217455836356E-4</v>
      </c>
      <c r="L76" s="5">
        <v>0.30261984404153691</v>
      </c>
      <c r="M76" s="5">
        <v>9.3977010231863126E-2</v>
      </c>
      <c r="N76" s="5">
        <v>0.10168860502974988</v>
      </c>
      <c r="O76" s="5">
        <v>0.65896621367659614</v>
      </c>
      <c r="P76" s="5">
        <v>9.3977010231863126E-2</v>
      </c>
      <c r="R76" s="36">
        <f t="shared" si="34"/>
        <v>0.23828097813617588</v>
      </c>
      <c r="T76">
        <f t="shared" si="35"/>
        <v>428.58919815939049</v>
      </c>
      <c r="U76">
        <f t="shared" si="36"/>
        <v>42858.919815939051</v>
      </c>
    </row>
    <row r="77" spans="1:21" x14ac:dyDescent="0.3">
      <c r="A77" s="19">
        <f t="shared" si="37"/>
        <v>1650</v>
      </c>
      <c r="B77" s="19"/>
      <c r="C77" s="37">
        <f t="shared" si="28"/>
        <v>1.9965786245422395E-4</v>
      </c>
      <c r="D77" s="37">
        <f t="shared" si="29"/>
        <v>2.2193004562051379E-6</v>
      </c>
      <c r="E77" s="37">
        <f t="shared" si="30"/>
        <v>7.3365139751023311E-7</v>
      </c>
      <c r="F77" s="37">
        <f t="shared" si="31"/>
        <v>3.931912750337543E-9</v>
      </c>
      <c r="G77" s="37">
        <f t="shared" si="32"/>
        <v>7.4662742703211704E-6</v>
      </c>
      <c r="H77" s="37"/>
      <c r="I77" s="38">
        <f t="shared" si="33"/>
        <v>2.1008102049101081E-4</v>
      </c>
      <c r="L77" s="5">
        <v>0.31262328459459382</v>
      </c>
      <c r="M77" s="5">
        <v>9.6351167679172872E-2</v>
      </c>
      <c r="N77" s="5">
        <v>0.10421314605134162</v>
      </c>
      <c r="O77" s="5">
        <v>0.67741036732480031</v>
      </c>
      <c r="P77" s="5">
        <v>9.6351167679172872E-2</v>
      </c>
      <c r="R77" s="36">
        <f t="shared" si="34"/>
        <v>0.24572763288276081</v>
      </c>
      <c r="T77">
        <f t="shared" si="35"/>
        <v>435.63282802682073</v>
      </c>
      <c r="U77">
        <f t="shared" si="36"/>
        <v>43563.282802682072</v>
      </c>
    </row>
    <row r="78" spans="1:21" x14ac:dyDescent="0.3">
      <c r="A78" s="19">
        <f t="shared" si="37"/>
        <v>1700</v>
      </c>
      <c r="B78" s="19"/>
      <c r="C78" s="37">
        <f t="shared" si="28"/>
        <v>2.0365061078071023E-4</v>
      </c>
      <c r="D78" s="37">
        <f t="shared" si="29"/>
        <v>2.263658333584249E-6</v>
      </c>
      <c r="E78" s="37">
        <f t="shared" si="30"/>
        <v>7.4843475669146739E-7</v>
      </c>
      <c r="F78" s="37">
        <f t="shared" si="31"/>
        <v>4.0144219618836267E-9</v>
      </c>
      <c r="G78" s="37">
        <f t="shared" si="32"/>
        <v>7.6155108260785651E-6</v>
      </c>
      <c r="H78" s="37"/>
      <c r="I78" s="38">
        <f t="shared" si="33"/>
        <v>2.1428222911902637E-4</v>
      </c>
      <c r="L78" s="5">
        <v>0.3225530413077608</v>
      </c>
      <c r="M78" s="5">
        <v>9.8717548459049634E-2</v>
      </c>
      <c r="N78" s="5">
        <v>0.10670577347196208</v>
      </c>
      <c r="O78" s="5">
        <v>0.69590175773378993</v>
      </c>
      <c r="P78" s="5">
        <v>9.8717548459049634E-2</v>
      </c>
      <c r="R78" s="36">
        <f t="shared" si="34"/>
        <v>0.25312131574191887</v>
      </c>
      <c r="T78">
        <f t="shared" si="35"/>
        <v>442.47607426228456</v>
      </c>
      <c r="U78">
        <f t="shared" si="36"/>
        <v>44247.607426228453</v>
      </c>
    </row>
    <row r="79" spans="1:21" x14ac:dyDescent="0.3">
      <c r="A79" s="19">
        <f t="shared" si="37"/>
        <v>1750</v>
      </c>
      <c r="B79" s="19"/>
      <c r="C79" s="37">
        <f t="shared" si="28"/>
        <v>2.0760940721427726E-4</v>
      </c>
      <c r="D79" s="37">
        <f t="shared" si="29"/>
        <v>2.3076583540652892E-6</v>
      </c>
      <c r="E79" s="37">
        <f t="shared" si="30"/>
        <v>7.6306564988497934E-7</v>
      </c>
      <c r="F79" s="37">
        <f t="shared" si="31"/>
        <v>4.096457192518953E-9</v>
      </c>
      <c r="G79" s="37">
        <f t="shared" si="32"/>
        <v>7.7635042453836919E-6</v>
      </c>
      <c r="H79" s="37"/>
      <c r="I79" s="38">
        <f t="shared" si="33"/>
        <v>2.1844773192080373E-4</v>
      </c>
      <c r="L79" s="5">
        <v>0.33241149124214853</v>
      </c>
      <c r="M79" s="5">
        <v>0.10107640358348652</v>
      </c>
      <c r="N79" s="5">
        <v>0.10916808095686818</v>
      </c>
      <c r="O79" s="5">
        <v>0.71443812233168347</v>
      </c>
      <c r="P79" s="5">
        <v>0.10107640358348652</v>
      </c>
      <c r="R79" s="36">
        <f t="shared" si="34"/>
        <v>0.26046404000544765</v>
      </c>
      <c r="T79">
        <f t="shared" si="35"/>
        <v>449.13020432512656</v>
      </c>
      <c r="U79">
        <f t="shared" si="36"/>
        <v>44913.020432512654</v>
      </c>
    </row>
    <row r="80" spans="1:21" x14ac:dyDescent="0.3">
      <c r="A80" s="19">
        <f t="shared" si="37"/>
        <v>1800</v>
      </c>
      <c r="B80" s="19"/>
      <c r="C80" s="37">
        <f t="shared" si="28"/>
        <v>2.1153591207796361E-4</v>
      </c>
      <c r="D80" s="37">
        <f t="shared" si="29"/>
        <v>2.3513190230522127E-6</v>
      </c>
      <c r="E80" s="37">
        <f t="shared" si="30"/>
        <v>7.7755059795611101E-7</v>
      </c>
      <c r="F80" s="37">
        <f t="shared" si="31"/>
        <v>4.1780509449354369E-9</v>
      </c>
      <c r="G80" s="37">
        <f t="shared" si="32"/>
        <v>7.9103164347827825E-6</v>
      </c>
      <c r="H80" s="37"/>
      <c r="I80" s="38">
        <f t="shared" si="33"/>
        <v>2.2257927618469963E-4</v>
      </c>
      <c r="L80" s="5">
        <v>0.34220090738457043</v>
      </c>
      <c r="M80" s="5">
        <v>0.10342796827726457</v>
      </c>
      <c r="N80" s="5">
        <v>0.11160153132296376</v>
      </c>
      <c r="O80" s="5">
        <v>0.73301741357105921</v>
      </c>
      <c r="P80" s="5">
        <v>0.10342796827726457</v>
      </c>
      <c r="R80" s="36">
        <f t="shared" si="34"/>
        <v>0.26775769276725525</v>
      </c>
      <c r="T80">
        <f t="shared" si="35"/>
        <v>455.60559137225897</v>
      </c>
      <c r="U80">
        <f t="shared" si="36"/>
        <v>45560.5591372259</v>
      </c>
    </row>
    <row r="81" spans="1:21" x14ac:dyDescent="0.3">
      <c r="A81" s="19">
        <f>A80+50</f>
        <v>1850</v>
      </c>
      <c r="B81" s="19"/>
      <c r="C81" s="37">
        <f t="shared" si="28"/>
        <v>2.154316337411644E-4</v>
      </c>
      <c r="D81" s="37">
        <f t="shared" si="29"/>
        <v>2.3946570533202289E-6</v>
      </c>
      <c r="E81" s="37">
        <f t="shared" si="30"/>
        <v>7.9189562981414829E-7</v>
      </c>
      <c r="F81" s="37">
        <f t="shared" si="31"/>
        <v>4.2592318962425327E-9</v>
      </c>
      <c r="G81" s="37">
        <f t="shared" si="32"/>
        <v>8.0560035218782512E-6</v>
      </c>
      <c r="H81" s="37"/>
      <c r="I81" s="38">
        <f t="shared" si="33"/>
        <v>2.2667844917807325E-4</v>
      </c>
      <c r="L81" s="5">
        <v>0.35192346128794966</v>
      </c>
      <c r="M81" s="5">
        <v>0.10577246348105238</v>
      </c>
      <c r="N81" s="5">
        <v>0.11400747082843236</v>
      </c>
      <c r="O81" s="5">
        <v>0.75163777079072347</v>
      </c>
      <c r="P81" s="5">
        <v>0.10577246348105238</v>
      </c>
      <c r="R81" s="36">
        <f t="shared" si="34"/>
        <v>0.27500404510387827</v>
      </c>
      <c r="T81">
        <f t="shared" si="35"/>
        <v>461.91180357673795</v>
      </c>
      <c r="U81">
        <f t="shared" si="36"/>
        <v>46191.180357673795</v>
      </c>
    </row>
    <row r="82" spans="1:21" x14ac:dyDescent="0.3">
      <c r="A82" s="19">
        <f t="shared" si="37"/>
        <v>1900</v>
      </c>
      <c r="B82" s="19"/>
      <c r="C82" s="37">
        <f t="shared" si="28"/>
        <v>2.1929794788644609E-4</v>
      </c>
      <c r="D82" s="37">
        <f t="shared" si="29"/>
        <v>2.4376876017621342E-6</v>
      </c>
      <c r="E82" s="37">
        <f t="shared" si="30"/>
        <v>8.061063346578565E-7</v>
      </c>
      <c r="F82" s="37">
        <f t="shared" si="31"/>
        <v>4.3400254627826538E-9</v>
      </c>
      <c r="G82" s="37">
        <f t="shared" si="32"/>
        <v>8.2006165992829705E-6</v>
      </c>
      <c r="H82" s="37"/>
      <c r="I82" s="38">
        <f t="shared" si="33"/>
        <v>2.3074669844761186E-4</v>
      </c>
      <c r="L82" s="5">
        <v>0.36158122642916934</v>
      </c>
      <c r="M82" s="5">
        <v>0.10811009716200382</v>
      </c>
      <c r="N82" s="5">
        <v>0.11638714157289115</v>
      </c>
      <c r="O82" s="5">
        <v>0.77029749657565039</v>
      </c>
      <c r="P82" s="5">
        <v>0.10811009716200382</v>
      </c>
      <c r="R82" s="36">
        <f t="shared" si="34"/>
        <v>0.2822047613460813</v>
      </c>
      <c r="T82">
        <f t="shared" si="35"/>
        <v>468.05768289090463</v>
      </c>
      <c r="U82">
        <f t="shared" si="36"/>
        <v>46805.768289090462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D15" sqref="D15"/>
    </sheetView>
  </sheetViews>
  <sheetFormatPr defaultRowHeight="14.4" x14ac:dyDescent="0.3"/>
  <cols>
    <col min="1" max="1" width="22.109375" style="31" customWidth="1"/>
    <col min="2" max="2" width="20.109375" style="31" customWidth="1"/>
    <col min="3" max="3" width="23.33203125" style="31" customWidth="1"/>
    <col min="4" max="16384" width="8.88671875" style="31"/>
  </cols>
  <sheetData>
    <row r="1" spans="1:11" x14ac:dyDescent="0.3">
      <c r="A1" s="39" t="s">
        <v>87</v>
      </c>
      <c r="B1" s="32"/>
      <c r="C1" s="32"/>
    </row>
    <row r="2" spans="1:11" x14ac:dyDescent="0.3">
      <c r="A2" s="32"/>
      <c r="B2" s="32"/>
      <c r="C2" s="32"/>
    </row>
    <row r="3" spans="1:11" x14ac:dyDescent="0.3">
      <c r="A3" s="1" t="s">
        <v>33</v>
      </c>
      <c r="B3" s="1" t="s">
        <v>46</v>
      </c>
      <c r="C3" s="33"/>
      <c r="D3" s="31" t="s">
        <v>88</v>
      </c>
      <c r="E3" s="31" t="s">
        <v>89</v>
      </c>
      <c r="F3" s="31" t="s">
        <v>90</v>
      </c>
      <c r="G3" s="31" t="s">
        <v>91</v>
      </c>
      <c r="H3" s="31" t="s">
        <v>92</v>
      </c>
      <c r="I3" s="31" t="s">
        <v>93</v>
      </c>
      <c r="K3" s="7">
        <v>0.19</v>
      </c>
    </row>
    <row r="4" spans="1:11" x14ac:dyDescent="0.3">
      <c r="A4" t="s">
        <v>0</v>
      </c>
      <c r="B4" s="7">
        <v>0.19</v>
      </c>
      <c r="C4" s="7">
        <v>0.19</v>
      </c>
      <c r="D4" s="31">
        <v>3.45</v>
      </c>
      <c r="E4" s="31">
        <v>-9.2999999999999999E-2</v>
      </c>
      <c r="F4" s="31">
        <v>1.284</v>
      </c>
      <c r="G4" s="31">
        <v>0.85699999999999998</v>
      </c>
      <c r="H4" s="31">
        <v>0.217</v>
      </c>
      <c r="I4" s="31">
        <v>-1.9E-2</v>
      </c>
      <c r="K4" s="7">
        <v>0.19800000000000001</v>
      </c>
    </row>
    <row r="5" spans="1:11" x14ac:dyDescent="0.3">
      <c r="A5" t="s">
        <v>1</v>
      </c>
      <c r="B5" s="7">
        <v>0.18</v>
      </c>
      <c r="C5" s="7">
        <v>0.19800000000000001</v>
      </c>
      <c r="D5" s="31">
        <v>3.4649999999999999</v>
      </c>
      <c r="E5" s="31">
        <v>-0.21299999999999999</v>
      </c>
      <c r="F5" s="31">
        <v>0.56200000000000006</v>
      </c>
      <c r="G5" s="31">
        <v>-0.19600000000000001</v>
      </c>
      <c r="H5" s="31">
        <v>2.7E-2</v>
      </c>
      <c r="I5" s="31">
        <v>1E-3</v>
      </c>
      <c r="K5" s="7">
        <v>0</v>
      </c>
    </row>
    <row r="6" spans="1:11" x14ac:dyDescent="0.3">
      <c r="A6" t="s">
        <v>5</v>
      </c>
      <c r="B6" s="7">
        <v>1.7999999999999999E-2</v>
      </c>
      <c r="C6" s="7">
        <v>0</v>
      </c>
      <c r="K6" s="7">
        <v>0.12</v>
      </c>
    </row>
    <row r="7" spans="1:11" x14ac:dyDescent="0.3">
      <c r="A7" t="s">
        <v>2</v>
      </c>
      <c r="B7" s="7">
        <v>0.12</v>
      </c>
      <c r="C7" s="7">
        <v>0.12</v>
      </c>
      <c r="D7" s="31">
        <v>2.5470000000000002</v>
      </c>
      <c r="E7" s="31">
        <v>8.06</v>
      </c>
      <c r="F7" s="31">
        <v>-5.9409999999999998</v>
      </c>
      <c r="G7" s="31">
        <v>2.2909999999999999</v>
      </c>
      <c r="H7" s="31">
        <v>-0.438</v>
      </c>
      <c r="I7" s="31">
        <v>3.3000000000000002E-2</v>
      </c>
      <c r="K7" s="7">
        <v>0.49199999999999999</v>
      </c>
    </row>
    <row r="8" spans="1:11" x14ac:dyDescent="0.3">
      <c r="A8" t="s">
        <v>3</v>
      </c>
      <c r="B8" s="7">
        <v>0.49199999999999999</v>
      </c>
      <c r="C8" s="7">
        <v>0.49199999999999999</v>
      </c>
      <c r="D8" s="31">
        <v>3.5459999999999998</v>
      </c>
      <c r="E8" s="31">
        <v>-0.57699999999999996</v>
      </c>
      <c r="F8" s="31">
        <v>1.8220000000000001</v>
      </c>
      <c r="G8" s="31">
        <v>-1.115</v>
      </c>
      <c r="H8" s="31">
        <v>0.27300000000000002</v>
      </c>
      <c r="I8" s="31">
        <v>-2.4E-2</v>
      </c>
      <c r="K8" s="7">
        <v>0</v>
      </c>
    </row>
    <row r="9" spans="1:11" x14ac:dyDescent="0.3">
      <c r="A9" t="s">
        <v>34</v>
      </c>
      <c r="B9" s="7">
        <v>0</v>
      </c>
      <c r="C9" s="7">
        <v>0</v>
      </c>
      <c r="K9" s="1">
        <f>SUM(K3:K8)</f>
        <v>1</v>
      </c>
    </row>
    <row r="10" spans="1:11" x14ac:dyDescent="0.3">
      <c r="A10" s="33"/>
      <c r="B10" s="1">
        <f>SUM(B4:B9)</f>
        <v>1</v>
      </c>
      <c r="C10" s="1">
        <f>SUM(C4:C9)</f>
        <v>1</v>
      </c>
    </row>
    <row r="11" spans="1:11" x14ac:dyDescent="0.3">
      <c r="A11" s="33"/>
      <c r="B11" s="33"/>
      <c r="C11" s="33"/>
    </row>
    <row r="12" spans="1:11" x14ac:dyDescent="0.3">
      <c r="A12" s="4" t="s">
        <v>28</v>
      </c>
      <c r="B12" s="4" t="s">
        <v>94</v>
      </c>
      <c r="C12" s="33"/>
      <c r="D12" s="1" t="s">
        <v>15</v>
      </c>
    </row>
    <row r="13" spans="1:11" x14ac:dyDescent="0.3">
      <c r="A13" s="2">
        <v>264.57012969648298</v>
      </c>
      <c r="B13" s="33">
        <f>A13/1000</f>
        <v>0.26457012969648297</v>
      </c>
      <c r="C13" s="33"/>
      <c r="D13" s="31">
        <f>(C$4*(D$4+E$4*B13+F$4*B13^2+G$4*B13^3+H$4*4+I$4*B13^5))+(C$5*(D$5+E$5*B13+F$5*B13^2+G$5*B13^3+H$5*B13^4+I$5*B13^5))+(C$7*(D$7+E$7*B13+F$7*B13^2+G$7*B13^3+H$7*B13^4+I$7*B13^5))+(C$8*(D$8+E$8*B13+F$8*B13^2+G$8*B13^3+H$8*B13^4+I$8*B13^5))</f>
        <v>3.7570654360002207</v>
      </c>
    </row>
    <row r="14" spans="1:11" x14ac:dyDescent="0.3">
      <c r="A14" s="2">
        <v>298.85813611445298</v>
      </c>
      <c r="B14" s="33">
        <f t="shared" ref="B14:B29" si="0">A14/1000</f>
        <v>0.298858136114453</v>
      </c>
      <c r="C14" s="33"/>
      <c r="D14" s="31">
        <f t="shared" ref="D14:D29" si="1">(C$4*(D$4+E$4*B14+F$4*B14^2+G$4*B14^3+H$4*4+I$4*B14^5))+(C$5*(D$5+E$5*B14+F$5*B14^2+G$5*B14^3+H$5*B14^4+I$5*B14^5))+(C$7*(D$7+E$7*B14+F$7*B14^2+G$7*B14^3+H$7*B14^4+I$7*B14^5))+(C$8*(D$8+E$8*B14+F$8*B14^2+G$8*B14^3+H$8*B14^4+I$8*B14^5))</f>
        <v>3.7878836149513626</v>
      </c>
    </row>
    <row r="15" spans="1:11" x14ac:dyDescent="0.3">
      <c r="A15" s="2">
        <v>394.50193876186597</v>
      </c>
      <c r="B15" s="33">
        <f t="shared" si="0"/>
        <v>0.39450193876186596</v>
      </c>
      <c r="C15" s="33"/>
      <c r="D15" s="31">
        <f t="shared" si="1"/>
        <v>3.8793827740282696</v>
      </c>
    </row>
    <row r="16" spans="1:11" x14ac:dyDescent="0.3">
      <c r="A16" s="2">
        <v>499.17636047599899</v>
      </c>
      <c r="B16" s="33">
        <f t="shared" si="0"/>
        <v>0.499176360475999</v>
      </c>
      <c r="C16" s="33"/>
      <c r="D16" s="31">
        <f t="shared" si="1"/>
        <v>3.9886727622369209</v>
      </c>
    </row>
    <row r="17" spans="1:4" x14ac:dyDescent="0.3">
      <c r="A17" s="2">
        <v>596.62254312073799</v>
      </c>
      <c r="B17" s="33">
        <f t="shared" si="0"/>
        <v>0.59662254312073804</v>
      </c>
      <c r="C17" s="33"/>
      <c r="D17" s="31">
        <f t="shared" si="1"/>
        <v>4.0989146362480104</v>
      </c>
    </row>
    <row r="18" spans="1:4" x14ac:dyDescent="0.3">
      <c r="A18" s="2">
        <v>699.49725899184295</v>
      </c>
      <c r="B18" s="33">
        <f t="shared" si="0"/>
        <v>0.69949725899184301</v>
      </c>
      <c r="C18" s="33"/>
      <c r="D18" s="31">
        <f t="shared" si="1"/>
        <v>4.224234672587821</v>
      </c>
    </row>
    <row r="19" spans="1:4" x14ac:dyDescent="0.3">
      <c r="A19" s="2">
        <v>795.14640994785395</v>
      </c>
      <c r="B19" s="33">
        <f t="shared" si="0"/>
        <v>0.7951464099478539</v>
      </c>
      <c r="C19" s="33"/>
      <c r="D19" s="31">
        <f t="shared" si="1"/>
        <v>4.3491473771523612</v>
      </c>
    </row>
    <row r="20" spans="1:4" x14ac:dyDescent="0.3">
      <c r="A20" s="2">
        <v>892.59259259259204</v>
      </c>
      <c r="B20" s="33">
        <f t="shared" si="0"/>
        <v>0.89259259259259205</v>
      </c>
      <c r="C20" s="33"/>
      <c r="D20" s="31">
        <f t="shared" si="1"/>
        <v>4.4849890761422895</v>
      </c>
    </row>
    <row r="21" spans="1:4" x14ac:dyDescent="0.3">
      <c r="A21" s="2">
        <v>997.26434015242603</v>
      </c>
      <c r="B21" s="33">
        <f t="shared" si="0"/>
        <v>0.99726434015242604</v>
      </c>
      <c r="C21" s="33"/>
      <c r="D21" s="31">
        <f t="shared" si="1"/>
        <v>4.6409574807315765</v>
      </c>
    </row>
    <row r="22" spans="1:4" x14ac:dyDescent="0.3">
      <c r="A22" s="2">
        <v>1094.72656772295</v>
      </c>
      <c r="B22" s="33">
        <f t="shared" si="0"/>
        <v>1.0947265677229501</v>
      </c>
      <c r="C22" s="33"/>
      <c r="D22" s="31">
        <f t="shared" si="1"/>
        <v>4.7960103964211322</v>
      </c>
    </row>
    <row r="23" spans="1:4" x14ac:dyDescent="0.3">
      <c r="A23" s="2">
        <v>1197.6012835940601</v>
      </c>
      <c r="B23" s="33">
        <f t="shared" si="0"/>
        <v>1.1976012835940602</v>
      </c>
      <c r="C23" s="33"/>
      <c r="D23" s="31">
        <f t="shared" si="1"/>
        <v>4.9705284612317424</v>
      </c>
    </row>
    <row r="24" spans="1:4" x14ac:dyDescent="0.3">
      <c r="A24" s="2">
        <v>1296.85519454472</v>
      </c>
      <c r="B24" s="33">
        <f t="shared" si="0"/>
        <v>1.29685519454472</v>
      </c>
      <c r="C24" s="33"/>
      <c r="D24" s="31">
        <f t="shared" si="1"/>
        <v>5.1500804167103231</v>
      </c>
    </row>
    <row r="25" spans="1:4" x14ac:dyDescent="0.3">
      <c r="A25" s="2">
        <v>1392.5123679636299</v>
      </c>
      <c r="B25" s="33">
        <f t="shared" si="0"/>
        <v>1.39251236796363</v>
      </c>
      <c r="C25" s="33"/>
      <c r="D25" s="31">
        <f t="shared" si="1"/>
        <v>5.3341195834138295</v>
      </c>
    </row>
    <row r="26" spans="1:4" x14ac:dyDescent="0.3">
      <c r="A26" s="2">
        <v>1495.38708383473</v>
      </c>
      <c r="B26" s="33">
        <f t="shared" si="0"/>
        <v>1.4953870838347301</v>
      </c>
      <c r="C26" s="33"/>
      <c r="D26" s="31">
        <f t="shared" si="1"/>
        <v>5.5447873984801319</v>
      </c>
    </row>
    <row r="27" spans="1:4" x14ac:dyDescent="0.3">
      <c r="A27" s="2">
        <v>1594.66506217408</v>
      </c>
      <c r="B27" s="33">
        <f t="shared" si="0"/>
        <v>1.5946650621740801</v>
      </c>
      <c r="C27" s="33"/>
      <c r="D27" s="31">
        <f t="shared" si="1"/>
        <v>5.761318796499026</v>
      </c>
    </row>
    <row r="28" spans="1:4" x14ac:dyDescent="0.3">
      <c r="A28" s="2">
        <v>1699.35018050541</v>
      </c>
      <c r="B28" s="33">
        <f t="shared" si="0"/>
        <v>1.6993501805054101</v>
      </c>
      <c r="C28" s="33"/>
      <c r="D28" s="31">
        <f t="shared" si="1"/>
        <v>6.004501398788066</v>
      </c>
    </row>
    <row r="29" spans="1:4" x14ac:dyDescent="0.3">
      <c r="A29" s="2">
        <v>1796.81775638454</v>
      </c>
      <c r="B29" s="33">
        <f t="shared" si="0"/>
        <v>1.79681775638454</v>
      </c>
      <c r="C29" s="33"/>
      <c r="D29" s="31">
        <f t="shared" si="1"/>
        <v>6.2453320793468148</v>
      </c>
    </row>
    <row r="30" spans="1:4" x14ac:dyDescent="0.3">
      <c r="A30" s="33"/>
      <c r="B30" s="33"/>
      <c r="C30" s="33"/>
    </row>
    <row r="31" spans="1:4" x14ac:dyDescent="0.3">
      <c r="A31" s="33"/>
      <c r="B31" s="33"/>
      <c r="C31" s="33"/>
    </row>
    <row r="32" spans="1:4" x14ac:dyDescent="0.3">
      <c r="A32" s="33"/>
      <c r="B32" s="33"/>
      <c r="C32" s="33"/>
    </row>
    <row r="33" spans="1:3" x14ac:dyDescent="0.3">
      <c r="A33" s="33"/>
      <c r="B33" s="33"/>
      <c r="C33" s="33"/>
    </row>
    <row r="34" spans="1:3" x14ac:dyDescent="0.3">
      <c r="A34" s="33"/>
      <c r="B34" s="33"/>
      <c r="C34" s="33"/>
    </row>
    <row r="35" spans="1:3" x14ac:dyDescent="0.3">
      <c r="A35" s="33"/>
      <c r="B35" s="33"/>
      <c r="C35" s="33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>
      <selection activeCell="F15" sqref="F15"/>
    </sheetView>
  </sheetViews>
  <sheetFormatPr defaultRowHeight="14.4" x14ac:dyDescent="0.3"/>
  <sheetData>
    <row r="1" spans="1:2" x14ac:dyDescent="0.3">
      <c r="A1">
        <v>0.26457012969648297</v>
      </c>
      <c r="B1">
        <v>1192.7392301768725</v>
      </c>
    </row>
    <row r="2" spans="1:2" x14ac:dyDescent="0.3">
      <c r="A2">
        <v>0.298858136114453</v>
      </c>
      <c r="B2">
        <v>1203.635090120948</v>
      </c>
    </row>
    <row r="3" spans="1:2" x14ac:dyDescent="0.3">
      <c r="A3">
        <v>0.39450193876186596</v>
      </c>
      <c r="B3">
        <v>1234.278661909342</v>
      </c>
    </row>
    <row r="4" spans="1:2" x14ac:dyDescent="0.3">
      <c r="A4">
        <v>0.499176360475999</v>
      </c>
      <c r="B4">
        <v>1267.9837688726775</v>
      </c>
    </row>
    <row r="5" spans="1:2" x14ac:dyDescent="0.3">
      <c r="A5">
        <v>0.59662254312073804</v>
      </c>
      <c r="B5">
        <v>1299.2162029598589</v>
      </c>
    </row>
    <row r="6" spans="1:2" x14ac:dyDescent="0.3">
      <c r="A6">
        <v>0.69949725899184301</v>
      </c>
      <c r="B6">
        <v>1331.7117152586914</v>
      </c>
    </row>
    <row r="7" spans="1:2" x14ac:dyDescent="0.3">
      <c r="A7">
        <v>0.7951464099478539</v>
      </c>
      <c r="B7">
        <v>1361.1949815333437</v>
      </c>
    </row>
    <row r="8" spans="1:2" x14ac:dyDescent="0.3">
      <c r="A8">
        <v>0.89259259259259205</v>
      </c>
      <c r="B8">
        <v>1390.2210320385479</v>
      </c>
    </row>
    <row r="9" spans="1:2" x14ac:dyDescent="0.3">
      <c r="A9">
        <v>0.99726434015242604</v>
      </c>
      <c r="B9">
        <v>1419.9368305736168</v>
      </c>
    </row>
    <row r="10" spans="1:2" x14ac:dyDescent="0.3">
      <c r="A10">
        <v>1.0947265677229501</v>
      </c>
      <c r="B10">
        <v>1445.9389061059835</v>
      </c>
    </row>
    <row r="11" spans="1:2" x14ac:dyDescent="0.3">
      <c r="A11">
        <v>1.1976012835940602</v>
      </c>
      <c r="B11">
        <v>1471.3161278619264</v>
      </c>
    </row>
    <row r="12" spans="1:2" x14ac:dyDescent="0.3">
      <c r="A12">
        <v>1.29685519454472</v>
      </c>
      <c r="B12">
        <v>1493.4755725663967</v>
      </c>
    </row>
    <row r="13" spans="1:2" x14ac:dyDescent="0.3">
      <c r="A13">
        <v>1.39251236796363</v>
      </c>
      <c r="B13">
        <v>1512.3846422815934</v>
      </c>
    </row>
    <row r="14" spans="1:2" x14ac:dyDescent="0.3">
      <c r="A14">
        <v>1.4953870838347301</v>
      </c>
      <c r="B14">
        <v>1529.7251240190196</v>
      </c>
    </row>
    <row r="15" spans="1:2" x14ac:dyDescent="0.3">
      <c r="A15">
        <v>1.5946650621740801</v>
      </c>
      <c r="B15">
        <v>1543.2070641735099</v>
      </c>
    </row>
    <row r="16" spans="1:2" x14ac:dyDescent="0.3">
      <c r="A16">
        <v>1.6993501805054101</v>
      </c>
      <c r="B16">
        <v>1553.6244938050149</v>
      </c>
    </row>
    <row r="17" spans="1:2" x14ac:dyDescent="0.3">
      <c r="A17">
        <v>1.79681775638454</v>
      </c>
      <c r="B17">
        <v>1559.5111761792721</v>
      </c>
    </row>
  </sheetData>
  <sortState ref="A2:B2572">
    <sortCondition ref="A2:A2572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workbookViewId="0">
      <selection activeCell="B1" sqref="B1"/>
    </sheetView>
  </sheetViews>
  <sheetFormatPr defaultRowHeight="14.4" x14ac:dyDescent="0.3"/>
  <cols>
    <col min="1" max="1" width="8" customWidth="1"/>
    <col min="2" max="2" width="13.88671875" customWidth="1"/>
  </cols>
  <sheetData>
    <row r="1" spans="1:2" x14ac:dyDescent="0.3">
      <c r="A1">
        <v>350</v>
      </c>
      <c r="B1">
        <f>'phi, u mix'!I51</f>
        <v>7.0680363626934438E-5</v>
      </c>
    </row>
    <row r="2" spans="1:2" x14ac:dyDescent="0.3">
      <c r="A2">
        <v>400</v>
      </c>
      <c r="B2">
        <f>'phi, u mix'!I52</f>
        <v>7.8519155114865246E-5</v>
      </c>
    </row>
    <row r="3" spans="1:2" x14ac:dyDescent="0.3">
      <c r="A3">
        <v>450</v>
      </c>
      <c r="B3">
        <f>'phi, u mix'!I53</f>
        <v>8.5922272605823584E-5</v>
      </c>
    </row>
    <row r="4" spans="1:2" x14ac:dyDescent="0.3">
      <c r="A4">
        <v>500</v>
      </c>
      <c r="B4">
        <f>'phi, u mix'!I54</f>
        <v>9.2958307909117772E-5</v>
      </c>
    </row>
    <row r="5" spans="1:2" x14ac:dyDescent="0.3">
      <c r="A5">
        <v>550</v>
      </c>
      <c r="B5">
        <f>'phi, u mix'!I55</f>
        <v>9.968003505600818E-5</v>
      </c>
    </row>
    <row r="6" spans="1:2" x14ac:dyDescent="0.3">
      <c r="A6">
        <v>600</v>
      </c>
      <c r="B6">
        <f>'phi, u mix'!I56</f>
        <v>1.0612893422886393E-4</v>
      </c>
    </row>
    <row r="7" spans="1:2" x14ac:dyDescent="0.3">
      <c r="A7">
        <v>650</v>
      </c>
      <c r="B7">
        <f>'phi, u mix'!I57</f>
        <v>1.1233822956096818E-4</v>
      </c>
    </row>
    <row r="8" spans="1:2" x14ac:dyDescent="0.3">
      <c r="A8">
        <v>700</v>
      </c>
      <c r="B8">
        <f>'phi, u mix'!I58</f>
        <v>1.1833497648950533E-4</v>
      </c>
    </row>
    <row r="9" spans="1:2" x14ac:dyDescent="0.3">
      <c r="A9">
        <v>750</v>
      </c>
      <c r="B9">
        <f>'phi, u mix'!I59</f>
        <v>1.2414152937878736E-4</v>
      </c>
    </row>
    <row r="10" spans="1:2" x14ac:dyDescent="0.3">
      <c r="A10">
        <v>800</v>
      </c>
      <c r="B10">
        <f>'phi, u mix'!I60</f>
        <v>1.2977659596920624E-4</v>
      </c>
    </row>
    <row r="11" spans="1:2" x14ac:dyDescent="0.3">
      <c r="A11">
        <v>850</v>
      </c>
      <c r="B11">
        <f>'phi, u mix'!I61</f>
        <v>1.352560101729456E-4</v>
      </c>
    </row>
    <row r="12" spans="1:2" x14ac:dyDescent="0.3">
      <c r="A12">
        <v>900</v>
      </c>
      <c r="B12">
        <f>'phi, u mix'!I62</f>
        <v>1.4059330877717153E-4</v>
      </c>
    </row>
    <row r="13" spans="1:2" x14ac:dyDescent="0.3">
      <c r="A13">
        <v>950</v>
      </c>
      <c r="B13">
        <f>'phi, u mix'!I63</f>
        <v>1.4580016892088999E-4</v>
      </c>
    </row>
    <row r="14" spans="1:2" x14ac:dyDescent="0.3">
      <c r="A14">
        <v>1000</v>
      </c>
      <c r="B14">
        <f>'phi, u mix'!I64</f>
        <v>1.5088674492172254E-4</v>
      </c>
    </row>
    <row r="15" spans="1:2" x14ac:dyDescent="0.3">
      <c r="A15">
        <v>1050</v>
      </c>
      <c r="B15">
        <f>'phi, u mix'!I65</f>
        <v>1.5586846021709621E-4</v>
      </c>
    </row>
    <row r="16" spans="1:2" x14ac:dyDescent="0.3">
      <c r="A16">
        <v>1100</v>
      </c>
      <c r="B16">
        <f>'phi, u mix'!I66</f>
        <v>1.607597536388595E-4</v>
      </c>
    </row>
    <row r="17" spans="1:2" x14ac:dyDescent="0.3">
      <c r="A17">
        <v>1150</v>
      </c>
      <c r="B17">
        <f>'phi, u mix'!I67</f>
        <v>1.6553832792835977E-4</v>
      </c>
    </row>
    <row r="18" spans="1:2" x14ac:dyDescent="0.3">
      <c r="A18">
        <v>1200</v>
      </c>
      <c r="B18">
        <f>'phi, u mix'!I68</f>
        <v>1.7025406201948091E-4</v>
      </c>
    </row>
    <row r="19" spans="1:2" x14ac:dyDescent="0.3">
      <c r="A19">
        <v>1250</v>
      </c>
      <c r="B19">
        <f>'phi, u mix'!I69</f>
        <v>1.7489879802132881E-4</v>
      </c>
    </row>
    <row r="20" spans="1:2" x14ac:dyDescent="0.3">
      <c r="A20">
        <v>1300</v>
      </c>
      <c r="B20">
        <f>'phi, u mix'!I70</f>
        <v>1.7947860505454984E-4</v>
      </c>
    </row>
    <row r="21" spans="1:2" x14ac:dyDescent="0.3">
      <c r="A21">
        <v>1350</v>
      </c>
      <c r="B21">
        <f>'phi, u mix'!I71</f>
        <v>1.8399868735135289E-4</v>
      </c>
    </row>
    <row r="22" spans="1:2" x14ac:dyDescent="0.3">
      <c r="A22">
        <v>1400</v>
      </c>
      <c r="B22">
        <f>'phi, u mix'!I72</f>
        <v>1.8846354227598715E-4</v>
      </c>
    </row>
    <row r="23" spans="1:2" x14ac:dyDescent="0.3">
      <c r="A23">
        <v>1450</v>
      </c>
      <c r="B23">
        <f>'phi, u mix'!I73</f>
        <v>1.9287708447304579E-4</v>
      </c>
    </row>
    <row r="24" spans="1:2" x14ac:dyDescent="0.3">
      <c r="A24">
        <v>1500</v>
      </c>
      <c r="B24">
        <f>'phi, u mix'!I74</f>
        <v>1.9724274432279468E-4</v>
      </c>
    </row>
    <row r="25" spans="1:2" x14ac:dyDescent="0.3">
      <c r="A25">
        <v>1550</v>
      </c>
      <c r="B25">
        <f>'phi, u mix'!I75</f>
        <v>2.0156354670916937E-4</v>
      </c>
    </row>
    <row r="26" spans="1:2" x14ac:dyDescent="0.3">
      <c r="A26">
        <v>1600</v>
      </c>
      <c r="B26">
        <f>'phi, u mix'!I76</f>
        <v>2.0584217455836356E-4</v>
      </c>
    </row>
    <row r="27" spans="1:2" x14ac:dyDescent="0.3">
      <c r="A27">
        <v>1650</v>
      </c>
      <c r="B27">
        <f>'phi, u mix'!I77</f>
        <v>2.1008102049101081E-4</v>
      </c>
    </row>
    <row r="28" spans="1:2" x14ac:dyDescent="0.3">
      <c r="A28">
        <v>1700</v>
      </c>
      <c r="B28">
        <f>'phi, u mix'!I78</f>
        <v>2.1428222911902637E-4</v>
      </c>
    </row>
    <row r="29" spans="1:2" x14ac:dyDescent="0.3">
      <c r="A29">
        <v>1750</v>
      </c>
      <c r="B29">
        <f>'phi, u mix'!I79</f>
        <v>2.1844773192080373E-4</v>
      </c>
    </row>
    <row r="30" spans="1:2" x14ac:dyDescent="0.3">
      <c r="A30">
        <v>1800</v>
      </c>
      <c r="B30">
        <f>'phi, u mix'!I80</f>
        <v>2.2257927618469963E-4</v>
      </c>
    </row>
    <row r="31" spans="1:2" x14ac:dyDescent="0.3">
      <c r="A31">
        <v>1850</v>
      </c>
      <c r="B31">
        <f>'phi, u mix'!I81</f>
        <v>2.2667844917807325E-4</v>
      </c>
    </row>
    <row r="32" spans="1:2" x14ac:dyDescent="0.3">
      <c r="A32">
        <v>1900</v>
      </c>
      <c r="B32">
        <f>'phi, u mix'!I82</f>
        <v>2.3074669844761186E-4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weight etc</vt:lpstr>
      <vt:lpstr>weight etc_10</vt:lpstr>
      <vt:lpstr>weight etc_20</vt:lpstr>
      <vt:lpstr>cp</vt:lpstr>
      <vt:lpstr>cond and visc calc</vt:lpstr>
      <vt:lpstr>phi, u mix</vt:lpstr>
      <vt:lpstr>cp normalized T</vt:lpstr>
      <vt:lpstr>cp_data_polynoom</vt:lpstr>
      <vt:lpstr>umix_data_polynoom</vt:lpstr>
      <vt:lpstr>kmix_data_polynoom</vt:lpstr>
      <vt:lpstr>cp_data_NASA</vt:lpstr>
      <vt:lpstr>cp_data_NASA_5CO2</vt:lpstr>
      <vt:lpstr>cp_data_NASA_5H10CO2</vt:lpstr>
      <vt:lpstr>cp_data_NASA_10H</vt:lpstr>
      <vt:lpstr>cp_data_NASA_20H</vt:lpstr>
      <vt:lpstr>cp_data_NASA_polynom</vt:lpstr>
      <vt:lpstr>cp_data_NASA_polynom_10</vt:lpstr>
      <vt:lpstr>cp_data_NASA_polynom_20</vt:lpstr>
      <vt:lpstr>cp_data_NASA_polynom_5CO2</vt:lpstr>
      <vt:lpstr>cp_data_NASA_polynom_5H10CO2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</dc:creator>
  <cp:lastModifiedBy>Harsh Sapra - 3ME</cp:lastModifiedBy>
  <dcterms:created xsi:type="dcterms:W3CDTF">2018-02-14T09:07:39Z</dcterms:created>
  <dcterms:modified xsi:type="dcterms:W3CDTF">2019-01-11T13:43:02Z</dcterms:modified>
</cp:coreProperties>
</file>