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nkerMA\surfdrive\Shared\PoreSizeDistribution\PoreSizeDistribution\4TU_Dataset\"/>
    </mc:Choice>
  </mc:AlternateContent>
  <xr:revisionPtr revIDLastSave="0" documentId="13_ncr:1_{3D2953B4-4814-42F5-8202-4C96CA58C1A9}" xr6:coauthVersionLast="47" xr6:coauthVersionMax="47" xr10:uidLastSave="{00000000-0000-0000-0000-000000000000}"/>
  <bookViews>
    <workbookView xWindow="-108" yWindow="-108" windowWidth="23256" windowHeight="12576" xr2:uid="{7EFFCFDD-6E59-41A9-BB5E-A297B3D358A3}"/>
  </bookViews>
  <sheets>
    <sheet name="FiberLength" sheetId="1" r:id="rId1"/>
    <sheet name="PureWaterPermeability" sheetId="2" r:id="rId2"/>
    <sheet name="MgSO4Retention" sheetId="3" r:id="rId3"/>
    <sheet name="PEGRetention_Support" sheetId="4" r:id="rId4"/>
    <sheet name="PEGRetention_PDADMACPSS" sheetId="5" r:id="rId5"/>
    <sheet name="PEGRetention_PAHPAA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7" i="6" l="1"/>
  <c r="N248" i="6"/>
  <c r="N249" i="6"/>
  <c r="N250" i="6"/>
  <c r="N251" i="6"/>
  <c r="N252" i="6"/>
  <c r="N253" i="6"/>
  <c r="O253" i="6" s="1"/>
  <c r="N254" i="6"/>
  <c r="N255" i="6"/>
  <c r="N256" i="6"/>
  <c r="N257" i="6"/>
  <c r="N258" i="6"/>
  <c r="N259" i="6"/>
  <c r="N260" i="6"/>
  <c r="N261" i="6"/>
  <c r="N246" i="6"/>
  <c r="N231" i="6"/>
  <c r="N232" i="6"/>
  <c r="N233" i="6"/>
  <c r="N234" i="6"/>
  <c r="N235" i="6"/>
  <c r="N236" i="6"/>
  <c r="N237" i="6"/>
  <c r="N238" i="6"/>
  <c r="N239" i="6"/>
  <c r="N240" i="6"/>
  <c r="N241" i="6"/>
  <c r="O241" i="6" s="1"/>
  <c r="N242" i="6"/>
  <c r="N243" i="6"/>
  <c r="N245" i="6"/>
  <c r="N230" i="6"/>
  <c r="N215" i="6"/>
  <c r="N216" i="6"/>
  <c r="N217" i="6"/>
  <c r="N218" i="6"/>
  <c r="N219" i="6"/>
  <c r="N220" i="6"/>
  <c r="N221" i="6"/>
  <c r="N222" i="6"/>
  <c r="N223" i="6"/>
  <c r="N224" i="6"/>
  <c r="N225" i="6"/>
  <c r="O225" i="6" s="1"/>
  <c r="N226" i="6"/>
  <c r="N227" i="6"/>
  <c r="N228" i="6"/>
  <c r="N229" i="6"/>
  <c r="N214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198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82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50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34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18" i="6"/>
  <c r="N103" i="6"/>
  <c r="N104" i="6"/>
  <c r="N105" i="6"/>
  <c r="N106" i="6"/>
  <c r="N107" i="6"/>
  <c r="N108" i="6"/>
  <c r="N109" i="6"/>
  <c r="N110" i="6"/>
  <c r="N111" i="6"/>
  <c r="N112" i="6"/>
  <c r="N113" i="6"/>
  <c r="O113" i="6" s="1"/>
  <c r="N114" i="6"/>
  <c r="N115" i="6"/>
  <c r="N116" i="6"/>
  <c r="N117" i="6"/>
  <c r="N102" i="6"/>
  <c r="N98" i="6"/>
  <c r="N99" i="6"/>
  <c r="N100" i="6"/>
  <c r="N101" i="6"/>
  <c r="N87" i="6"/>
  <c r="N88" i="6"/>
  <c r="N89" i="6"/>
  <c r="N90" i="6"/>
  <c r="N91" i="6"/>
  <c r="N92" i="6"/>
  <c r="N93" i="6"/>
  <c r="N94" i="6"/>
  <c r="N95" i="6"/>
  <c r="N96" i="6"/>
  <c r="N86" i="6"/>
  <c r="N70" i="6"/>
  <c r="O183" i="6"/>
  <c r="AC183" i="6" s="1"/>
  <c r="AK183" i="6" s="1"/>
  <c r="L183" i="6"/>
  <c r="AF220" i="6"/>
  <c r="AN220" i="6" s="1"/>
  <c r="AF222" i="6"/>
  <c r="AN222" i="6" s="1"/>
  <c r="AD226" i="6"/>
  <c r="AL226" i="6" s="1"/>
  <c r="AF228" i="6"/>
  <c r="AN228" i="6" s="1"/>
  <c r="AD230" i="6"/>
  <c r="AL230" i="6" s="1"/>
  <c r="AF230" i="6"/>
  <c r="AN230" i="6" s="1"/>
  <c r="AH230" i="6"/>
  <c r="AP230" i="6" s="1"/>
  <c r="AD232" i="6"/>
  <c r="AL232" i="6" s="1"/>
  <c r="AD234" i="6"/>
  <c r="AL234" i="6" s="1"/>
  <c r="AB235" i="6"/>
  <c r="AJ235" i="6" s="1"/>
  <c r="AB236" i="6"/>
  <c r="AJ236" i="6" s="1"/>
  <c r="AF236" i="6"/>
  <c r="AN236" i="6" s="1"/>
  <c r="AD240" i="6"/>
  <c r="AL240" i="6" s="1"/>
  <c r="AH240" i="6"/>
  <c r="AP240" i="6" s="1"/>
  <c r="AB242" i="6"/>
  <c r="AJ242" i="6" s="1"/>
  <c r="AF242" i="6"/>
  <c r="AN242" i="6" s="1"/>
  <c r="AH243" i="6"/>
  <c r="AP243" i="6" s="1"/>
  <c r="AD245" i="6"/>
  <c r="AL245" i="6" s="1"/>
  <c r="AD246" i="6"/>
  <c r="AL246" i="6" s="1"/>
  <c r="AD248" i="6"/>
  <c r="AL248" i="6" s="1"/>
  <c r="AF249" i="6"/>
  <c r="AN249" i="6" s="1"/>
  <c r="AB251" i="6"/>
  <c r="AJ251" i="6" s="1"/>
  <c r="AB252" i="6"/>
  <c r="AJ252" i="6" s="1"/>
  <c r="AF255" i="6"/>
  <c r="AN255" i="6" s="1"/>
  <c r="AB256" i="6"/>
  <c r="AJ256" i="6" s="1"/>
  <c r="AB257" i="6"/>
  <c r="AJ257" i="6" s="1"/>
  <c r="AF259" i="6"/>
  <c r="AN259" i="6" s="1"/>
  <c r="AD260" i="6"/>
  <c r="AL260" i="6" s="1"/>
  <c r="AF260" i="6"/>
  <c r="AN260" i="6" s="1"/>
  <c r="AF261" i="6"/>
  <c r="AN261" i="6" s="1"/>
  <c r="AN214" i="6"/>
  <c r="AF214" i="6"/>
  <c r="AD214" i="6"/>
  <c r="AL214" i="6" s="1"/>
  <c r="AG172" i="6"/>
  <c r="AO172" i="6" s="1"/>
  <c r="AC175" i="6"/>
  <c r="AK175" i="6" s="1"/>
  <c r="AA179" i="6"/>
  <c r="AI179" i="6" s="1"/>
  <c r="AA183" i="6"/>
  <c r="AI183" i="6" s="1"/>
  <c r="AA184" i="6"/>
  <c r="AI184" i="6" s="1"/>
  <c r="AE187" i="6"/>
  <c r="AM187" i="6" s="1"/>
  <c r="AG187" i="6"/>
  <c r="AO187" i="6" s="1"/>
  <c r="AA190" i="6"/>
  <c r="AI190" i="6" s="1"/>
  <c r="AA196" i="6"/>
  <c r="AI196" i="6" s="1"/>
  <c r="AA198" i="6"/>
  <c r="AI198" i="6" s="1"/>
  <c r="AC198" i="6"/>
  <c r="AK198" i="6" s="1"/>
  <c r="AC199" i="6"/>
  <c r="AK199" i="6" s="1"/>
  <c r="AE199" i="6"/>
  <c r="AM199" i="6" s="1"/>
  <c r="AE201" i="6"/>
  <c r="AM201" i="6" s="1"/>
  <c r="AG201" i="6"/>
  <c r="AO201" i="6" s="1"/>
  <c r="AC203" i="6"/>
  <c r="AK203" i="6" s="1"/>
  <c r="AE203" i="6"/>
  <c r="AM203" i="6" s="1"/>
  <c r="AC205" i="6"/>
  <c r="AK205" i="6" s="1"/>
  <c r="AE205" i="6"/>
  <c r="AM205" i="6" s="1"/>
  <c r="AE207" i="6"/>
  <c r="AM207" i="6" s="1"/>
  <c r="AG207" i="6"/>
  <c r="AO207" i="6" s="1"/>
  <c r="AE213" i="6"/>
  <c r="AM213" i="6" s="1"/>
  <c r="AG213" i="6"/>
  <c r="AO213" i="6" s="1"/>
  <c r="AH151" i="6"/>
  <c r="AP151" i="6" s="1"/>
  <c r="AF155" i="6"/>
  <c r="AN155" i="6" s="1"/>
  <c r="AB118" i="6"/>
  <c r="AJ118" i="6" s="1"/>
  <c r="AG99" i="6"/>
  <c r="AO99" i="6" s="1"/>
  <c r="AA100" i="6"/>
  <c r="AI100" i="6" s="1"/>
  <c r="AG100" i="6"/>
  <c r="AO100" i="6" s="1"/>
  <c r="AC107" i="6"/>
  <c r="AK107" i="6" s="1"/>
  <c r="AA109" i="6"/>
  <c r="AI109" i="6" s="1"/>
  <c r="AC109" i="6"/>
  <c r="AK109" i="6" s="1"/>
  <c r="AA111" i="6"/>
  <c r="AI111" i="6" s="1"/>
  <c r="AC111" i="6"/>
  <c r="AK111" i="6" s="1"/>
  <c r="AG115" i="6"/>
  <c r="AO115" i="6"/>
  <c r="AG117" i="6"/>
  <c r="AO117" i="6" s="1"/>
  <c r="AG91" i="6"/>
  <c r="AO91" i="6" s="1"/>
  <c r="Y85" i="6"/>
  <c r="L101" i="6"/>
  <c r="M101" i="6"/>
  <c r="K89" i="6"/>
  <c r="K88" i="6"/>
  <c r="K87" i="6"/>
  <c r="K86" i="6"/>
  <c r="AA71" i="6"/>
  <c r="AI71" i="6" s="1"/>
  <c r="AC71" i="6"/>
  <c r="AK71" i="6" s="1"/>
  <c r="AE71" i="6"/>
  <c r="AM71" i="6" s="1"/>
  <c r="AG71" i="6"/>
  <c r="AO71" i="6" s="1"/>
  <c r="AA72" i="6"/>
  <c r="AC72" i="6"/>
  <c r="AK72" i="6" s="1"/>
  <c r="AE72" i="6"/>
  <c r="AM72" i="6" s="1"/>
  <c r="AG72" i="6"/>
  <c r="AO72" i="6" s="1"/>
  <c r="AI72" i="6"/>
  <c r="AA73" i="6"/>
  <c r="AI73" i="6" s="1"/>
  <c r="AC73" i="6"/>
  <c r="AK73" i="6" s="1"/>
  <c r="AE73" i="6"/>
  <c r="AG73" i="6"/>
  <c r="AO73" i="6" s="1"/>
  <c r="AM73" i="6"/>
  <c r="AA74" i="6"/>
  <c r="AC74" i="6"/>
  <c r="AE74" i="6"/>
  <c r="AM74" i="6" s="1"/>
  <c r="AG74" i="6"/>
  <c r="AO74" i="6" s="1"/>
  <c r="AI74" i="6"/>
  <c r="AK74" i="6"/>
  <c r="AA75" i="6"/>
  <c r="AC75" i="6"/>
  <c r="AE75" i="6"/>
  <c r="AG75" i="6"/>
  <c r="AI75" i="6"/>
  <c r="Y75" i="6" s="1"/>
  <c r="Z75" i="6" s="1"/>
  <c r="AK75" i="6"/>
  <c r="AM75" i="6"/>
  <c r="AO75" i="6"/>
  <c r="AA76" i="6"/>
  <c r="AI76" i="6" s="1"/>
  <c r="Y76" i="6" s="1"/>
  <c r="Z76" i="6" s="1"/>
  <c r="AC76" i="6"/>
  <c r="AK76" i="6" s="1"/>
  <c r="AE76" i="6"/>
  <c r="AG76" i="6"/>
  <c r="AM76" i="6"/>
  <c r="AO76" i="6"/>
  <c r="AA77" i="6"/>
  <c r="AI77" i="6" s="1"/>
  <c r="AC77" i="6"/>
  <c r="AK77" i="6" s="1"/>
  <c r="AE77" i="6"/>
  <c r="AM77" i="6" s="1"/>
  <c r="AG77" i="6"/>
  <c r="AO77" i="6" s="1"/>
  <c r="AA78" i="6"/>
  <c r="AC78" i="6"/>
  <c r="AK78" i="6" s="1"/>
  <c r="AE78" i="6"/>
  <c r="AM78" i="6" s="1"/>
  <c r="AG78" i="6"/>
  <c r="AO78" i="6" s="1"/>
  <c r="AI78" i="6"/>
  <c r="AA79" i="6"/>
  <c r="AI79" i="6" s="1"/>
  <c r="AC79" i="6"/>
  <c r="AK79" i="6" s="1"/>
  <c r="AE79" i="6"/>
  <c r="AG79" i="6"/>
  <c r="AO79" i="6" s="1"/>
  <c r="AM79" i="6"/>
  <c r="AA80" i="6"/>
  <c r="AC80" i="6"/>
  <c r="AE80" i="6"/>
  <c r="AM80" i="6" s="1"/>
  <c r="AG80" i="6"/>
  <c r="AO80" i="6" s="1"/>
  <c r="AI80" i="6"/>
  <c r="Y80" i="6" s="1"/>
  <c r="Z80" i="6" s="1"/>
  <c r="AK80" i="6"/>
  <c r="AA81" i="6"/>
  <c r="AC81" i="6"/>
  <c r="AE81" i="6"/>
  <c r="AG81" i="6"/>
  <c r="AI81" i="6"/>
  <c r="Y81" i="6" s="1"/>
  <c r="Z81" i="6" s="1"/>
  <c r="AK81" i="6"/>
  <c r="AM81" i="6"/>
  <c r="AO81" i="6"/>
  <c r="AA82" i="6"/>
  <c r="AI82" i="6" s="1"/>
  <c r="Y82" i="6" s="1"/>
  <c r="Z82" i="6" s="1"/>
  <c r="AC82" i="6"/>
  <c r="AE82" i="6"/>
  <c r="AG82" i="6"/>
  <c r="AK82" i="6"/>
  <c r="AM82" i="6"/>
  <c r="AO82" i="6"/>
  <c r="AA83" i="6"/>
  <c r="AI83" i="6" s="1"/>
  <c r="AC83" i="6"/>
  <c r="AK83" i="6" s="1"/>
  <c r="AE83" i="6"/>
  <c r="AM83" i="6" s="1"/>
  <c r="AG83" i="6"/>
  <c r="AO83" i="6"/>
  <c r="AA84" i="6"/>
  <c r="AC84" i="6"/>
  <c r="AK84" i="6" s="1"/>
  <c r="AE84" i="6"/>
  <c r="AM84" i="6" s="1"/>
  <c r="AG84" i="6"/>
  <c r="AO84" i="6" s="1"/>
  <c r="AI84" i="6"/>
  <c r="AA85" i="6"/>
  <c r="AI85" i="6" s="1"/>
  <c r="AC85" i="6"/>
  <c r="AK85" i="6" s="1"/>
  <c r="AE85" i="6"/>
  <c r="AG85" i="6"/>
  <c r="AO85" i="6" s="1"/>
  <c r="AM85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M70" i="6"/>
  <c r="L70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M261" i="6"/>
  <c r="L261" i="6"/>
  <c r="O261" i="6" s="1"/>
  <c r="AB261" i="6" s="1"/>
  <c r="AJ261" i="6" s="1"/>
  <c r="M260" i="6"/>
  <c r="L260" i="6"/>
  <c r="O260" i="6" s="1"/>
  <c r="AH260" i="6" s="1"/>
  <c r="AP260" i="6" s="1"/>
  <c r="M259" i="6"/>
  <c r="L259" i="6"/>
  <c r="O259" i="6" s="1"/>
  <c r="AB259" i="6" s="1"/>
  <c r="AJ259" i="6" s="1"/>
  <c r="M258" i="6"/>
  <c r="L258" i="6"/>
  <c r="M257" i="6"/>
  <c r="L257" i="6"/>
  <c r="O257" i="6" s="1"/>
  <c r="AD257" i="6" s="1"/>
  <c r="AL257" i="6" s="1"/>
  <c r="M256" i="6"/>
  <c r="L256" i="6"/>
  <c r="O256" i="6" s="1"/>
  <c r="AD256" i="6" s="1"/>
  <c r="AL256" i="6" s="1"/>
  <c r="M255" i="6"/>
  <c r="L255" i="6"/>
  <c r="O255" i="6" s="1"/>
  <c r="AB255" i="6" s="1"/>
  <c r="AJ255" i="6" s="1"/>
  <c r="M254" i="6"/>
  <c r="L254" i="6"/>
  <c r="M253" i="6"/>
  <c r="L253" i="6"/>
  <c r="M252" i="6"/>
  <c r="L252" i="6"/>
  <c r="O252" i="6" s="1"/>
  <c r="AD252" i="6" s="1"/>
  <c r="AL252" i="6" s="1"/>
  <c r="M251" i="6"/>
  <c r="L251" i="6"/>
  <c r="O251" i="6" s="1"/>
  <c r="AD251" i="6" s="1"/>
  <c r="AL251" i="6" s="1"/>
  <c r="M250" i="6"/>
  <c r="L250" i="6"/>
  <c r="O250" i="6" s="1"/>
  <c r="AD250" i="6" s="1"/>
  <c r="AL250" i="6" s="1"/>
  <c r="M249" i="6"/>
  <c r="L249" i="6"/>
  <c r="O249" i="6" s="1"/>
  <c r="AB249" i="6" s="1"/>
  <c r="AJ249" i="6" s="1"/>
  <c r="M248" i="6"/>
  <c r="L248" i="6"/>
  <c r="O248" i="6" s="1"/>
  <c r="AF248" i="6" s="1"/>
  <c r="AN248" i="6" s="1"/>
  <c r="M247" i="6"/>
  <c r="L247" i="6"/>
  <c r="O247" i="6"/>
  <c r="AF247" i="6" s="1"/>
  <c r="AN247" i="6" s="1"/>
  <c r="M246" i="6"/>
  <c r="L246" i="6"/>
  <c r="O246" i="6" s="1"/>
  <c r="AB246" i="6" s="1"/>
  <c r="AJ246" i="6" s="1"/>
  <c r="M245" i="6"/>
  <c r="L245" i="6"/>
  <c r="O245" i="6" s="1"/>
  <c r="AB245" i="6" s="1"/>
  <c r="AJ245" i="6" s="1"/>
  <c r="M243" i="6"/>
  <c r="L243" i="6"/>
  <c r="O243" i="6" s="1"/>
  <c r="AB243" i="6" s="1"/>
  <c r="AJ243" i="6" s="1"/>
  <c r="M242" i="6"/>
  <c r="L242" i="6"/>
  <c r="O242" i="6" s="1"/>
  <c r="AH242" i="6" s="1"/>
  <c r="AP242" i="6" s="1"/>
  <c r="M241" i="6"/>
  <c r="L241" i="6"/>
  <c r="M240" i="6"/>
  <c r="L240" i="6"/>
  <c r="O240" i="6" s="1"/>
  <c r="AF240" i="6" s="1"/>
  <c r="AN240" i="6" s="1"/>
  <c r="M239" i="6"/>
  <c r="L239" i="6"/>
  <c r="O239" i="6" s="1"/>
  <c r="AB239" i="6" s="1"/>
  <c r="AJ239" i="6" s="1"/>
  <c r="M238" i="6"/>
  <c r="L238" i="6"/>
  <c r="O238" i="6" s="1"/>
  <c r="AD238" i="6" s="1"/>
  <c r="AL238" i="6" s="1"/>
  <c r="M237" i="6"/>
  <c r="L237" i="6"/>
  <c r="O237" i="6" s="1"/>
  <c r="AB237" i="6" s="1"/>
  <c r="AJ237" i="6" s="1"/>
  <c r="M236" i="6"/>
  <c r="L236" i="6"/>
  <c r="O236" i="6" s="1"/>
  <c r="AD236" i="6" s="1"/>
  <c r="AL236" i="6" s="1"/>
  <c r="M235" i="6"/>
  <c r="L235" i="6"/>
  <c r="O235" i="6" s="1"/>
  <c r="AD235" i="6" s="1"/>
  <c r="AL235" i="6" s="1"/>
  <c r="M234" i="6"/>
  <c r="L234" i="6"/>
  <c r="O234" i="6" s="1"/>
  <c r="AH234" i="6" s="1"/>
  <c r="AP234" i="6" s="1"/>
  <c r="O233" i="6"/>
  <c r="AB233" i="6" s="1"/>
  <c r="AJ233" i="6" s="1"/>
  <c r="M233" i="6"/>
  <c r="L233" i="6"/>
  <c r="M232" i="6"/>
  <c r="L232" i="6"/>
  <c r="O232" i="6" s="1"/>
  <c r="AH232" i="6" s="1"/>
  <c r="AP232" i="6" s="1"/>
  <c r="M231" i="6"/>
  <c r="L231" i="6"/>
  <c r="O231" i="6"/>
  <c r="AB231" i="6" s="1"/>
  <c r="AJ231" i="6" s="1"/>
  <c r="M230" i="6"/>
  <c r="L230" i="6"/>
  <c r="O230" i="6" s="1"/>
  <c r="AB230" i="6" s="1"/>
  <c r="AJ230" i="6" s="1"/>
  <c r="M229" i="6"/>
  <c r="L229" i="6"/>
  <c r="O229" i="6" s="1"/>
  <c r="AB229" i="6" s="1"/>
  <c r="AJ229" i="6" s="1"/>
  <c r="O228" i="6"/>
  <c r="AB228" i="6" s="1"/>
  <c r="AJ228" i="6" s="1"/>
  <c r="M228" i="6"/>
  <c r="L228" i="6"/>
  <c r="M227" i="6"/>
  <c r="L227" i="6"/>
  <c r="O227" i="6" s="1"/>
  <c r="AB227" i="6" s="1"/>
  <c r="AJ227" i="6" s="1"/>
  <c r="M226" i="6"/>
  <c r="L226" i="6"/>
  <c r="O226" i="6" s="1"/>
  <c r="AH226" i="6" s="1"/>
  <c r="AP226" i="6" s="1"/>
  <c r="M225" i="6"/>
  <c r="L225" i="6"/>
  <c r="M224" i="6"/>
  <c r="L224" i="6"/>
  <c r="O224" i="6" s="1"/>
  <c r="AH224" i="6" s="1"/>
  <c r="AP224" i="6" s="1"/>
  <c r="M223" i="6"/>
  <c r="L223" i="6"/>
  <c r="O223" i="6"/>
  <c r="AB223" i="6" s="1"/>
  <c r="AJ223" i="6" s="1"/>
  <c r="M222" i="6"/>
  <c r="L222" i="6"/>
  <c r="O222" i="6" s="1"/>
  <c r="AB222" i="6" s="1"/>
  <c r="AJ222" i="6" s="1"/>
  <c r="M221" i="6"/>
  <c r="L221" i="6"/>
  <c r="O221" i="6" s="1"/>
  <c r="AB221" i="6" s="1"/>
  <c r="AJ221" i="6" s="1"/>
  <c r="M220" i="6"/>
  <c r="L220" i="6"/>
  <c r="O220" i="6" s="1"/>
  <c r="AB220" i="6" s="1"/>
  <c r="AJ220" i="6" s="1"/>
  <c r="M219" i="6"/>
  <c r="L219" i="6"/>
  <c r="O219" i="6" s="1"/>
  <c r="AB219" i="6" s="1"/>
  <c r="AJ219" i="6" s="1"/>
  <c r="M218" i="6"/>
  <c r="L218" i="6"/>
  <c r="O218" i="6" s="1"/>
  <c r="AB218" i="6" s="1"/>
  <c r="AJ218" i="6" s="1"/>
  <c r="M217" i="6"/>
  <c r="L217" i="6"/>
  <c r="O217" i="6" s="1"/>
  <c r="AD217" i="6" s="1"/>
  <c r="AL217" i="6" s="1"/>
  <c r="M216" i="6"/>
  <c r="L216" i="6"/>
  <c r="O216" i="6" s="1"/>
  <c r="AB216" i="6" s="1"/>
  <c r="AJ216" i="6" s="1"/>
  <c r="M215" i="6"/>
  <c r="L215" i="6"/>
  <c r="O215" i="6" s="1"/>
  <c r="AB215" i="6" s="1"/>
  <c r="AJ215" i="6" s="1"/>
  <c r="M214" i="6"/>
  <c r="L214" i="6"/>
  <c r="O214" i="6" s="1"/>
  <c r="AH214" i="6" s="1"/>
  <c r="AP214" i="6" s="1"/>
  <c r="M213" i="6"/>
  <c r="L213" i="6"/>
  <c r="O213" i="6" s="1"/>
  <c r="AA213" i="6" s="1"/>
  <c r="AI213" i="6" s="1"/>
  <c r="M212" i="6"/>
  <c r="L212" i="6"/>
  <c r="O212" i="6" s="1"/>
  <c r="AA212" i="6" s="1"/>
  <c r="AI212" i="6" s="1"/>
  <c r="M211" i="6"/>
  <c r="L211" i="6"/>
  <c r="O211" i="6"/>
  <c r="AG211" i="6" s="1"/>
  <c r="AO211" i="6" s="1"/>
  <c r="M210" i="6"/>
  <c r="L210" i="6"/>
  <c r="M209" i="6"/>
  <c r="L209" i="6"/>
  <c r="O208" i="6"/>
  <c r="AA208" i="6" s="1"/>
  <c r="AI208" i="6" s="1"/>
  <c r="M208" i="6"/>
  <c r="L208" i="6"/>
  <c r="M207" i="6"/>
  <c r="L207" i="6"/>
  <c r="O207" i="6"/>
  <c r="AA207" i="6" s="1"/>
  <c r="AI207" i="6" s="1"/>
  <c r="M206" i="6"/>
  <c r="L206" i="6"/>
  <c r="O206" i="6" s="1"/>
  <c r="AA206" i="6" s="1"/>
  <c r="AI206" i="6" s="1"/>
  <c r="O205" i="6"/>
  <c r="AG205" i="6" s="1"/>
  <c r="AO205" i="6" s="1"/>
  <c r="M205" i="6"/>
  <c r="L205" i="6"/>
  <c r="M204" i="6"/>
  <c r="L204" i="6"/>
  <c r="O204" i="6" s="1"/>
  <c r="AA204" i="6" s="1"/>
  <c r="AI204" i="6" s="1"/>
  <c r="M203" i="6"/>
  <c r="L203" i="6"/>
  <c r="O203" i="6" s="1"/>
  <c r="AG203" i="6" s="1"/>
  <c r="AO203" i="6" s="1"/>
  <c r="M202" i="6"/>
  <c r="L202" i="6"/>
  <c r="O202" i="6" s="1"/>
  <c r="AA202" i="6" s="1"/>
  <c r="AI202" i="6" s="1"/>
  <c r="O201" i="6"/>
  <c r="AA201" i="6" s="1"/>
  <c r="AI201" i="6" s="1"/>
  <c r="M201" i="6"/>
  <c r="L201" i="6"/>
  <c r="M200" i="6"/>
  <c r="L200" i="6"/>
  <c r="O200" i="6" s="1"/>
  <c r="AA200" i="6" s="1"/>
  <c r="AI200" i="6" s="1"/>
  <c r="M199" i="6"/>
  <c r="L199" i="6"/>
  <c r="O199" i="6" s="1"/>
  <c r="AG199" i="6" s="1"/>
  <c r="AO199" i="6" s="1"/>
  <c r="M198" i="6"/>
  <c r="L198" i="6"/>
  <c r="O198" i="6" s="1"/>
  <c r="AE198" i="6" s="1"/>
  <c r="AM198" i="6" s="1"/>
  <c r="M197" i="6"/>
  <c r="L197" i="6"/>
  <c r="O197" i="6" s="1"/>
  <c r="AA197" i="6" s="1"/>
  <c r="AI197" i="6" s="1"/>
  <c r="M196" i="6"/>
  <c r="L196" i="6"/>
  <c r="O196" i="6" s="1"/>
  <c r="AE196" i="6" s="1"/>
  <c r="AM196" i="6" s="1"/>
  <c r="M195" i="6"/>
  <c r="L195" i="6"/>
  <c r="O195" i="6" s="1"/>
  <c r="AA195" i="6" s="1"/>
  <c r="AI195" i="6" s="1"/>
  <c r="M194" i="6"/>
  <c r="L194" i="6"/>
  <c r="O194" i="6" s="1"/>
  <c r="AC194" i="6" s="1"/>
  <c r="AK194" i="6" s="1"/>
  <c r="M193" i="6"/>
  <c r="L193" i="6"/>
  <c r="M192" i="6"/>
  <c r="L192" i="6"/>
  <c r="M191" i="6"/>
  <c r="L191" i="6"/>
  <c r="O191" i="6" s="1"/>
  <c r="AA191" i="6" s="1"/>
  <c r="AI191" i="6" s="1"/>
  <c r="M190" i="6"/>
  <c r="L190" i="6"/>
  <c r="O190" i="6" s="1"/>
  <c r="AE190" i="6" s="1"/>
  <c r="AM190" i="6" s="1"/>
  <c r="O189" i="6"/>
  <c r="AA189" i="6" s="1"/>
  <c r="AI189" i="6" s="1"/>
  <c r="M189" i="6"/>
  <c r="L189" i="6"/>
  <c r="M188" i="6"/>
  <c r="L188" i="6"/>
  <c r="O188" i="6" s="1"/>
  <c r="AC188" i="6" s="1"/>
  <c r="AK188" i="6" s="1"/>
  <c r="M187" i="6"/>
  <c r="L187" i="6"/>
  <c r="O187" i="6" s="1"/>
  <c r="AA187" i="6" s="1"/>
  <c r="AI187" i="6" s="1"/>
  <c r="M186" i="6"/>
  <c r="L186" i="6"/>
  <c r="O186" i="6" s="1"/>
  <c r="AA186" i="6" s="1"/>
  <c r="AI186" i="6" s="1"/>
  <c r="O185" i="6"/>
  <c r="AA185" i="6" s="1"/>
  <c r="AI185" i="6" s="1"/>
  <c r="M185" i="6"/>
  <c r="L185" i="6"/>
  <c r="M184" i="6"/>
  <c r="L184" i="6"/>
  <c r="O184" i="6" s="1"/>
  <c r="AE184" i="6" s="1"/>
  <c r="AM184" i="6" s="1"/>
  <c r="M183" i="6"/>
  <c r="M182" i="6"/>
  <c r="L182" i="6"/>
  <c r="M181" i="6"/>
  <c r="L181" i="6"/>
  <c r="O181" i="6" s="1"/>
  <c r="AA181" i="6" s="1"/>
  <c r="AI181" i="6" s="1"/>
  <c r="M180" i="6"/>
  <c r="L180" i="6"/>
  <c r="O180" i="6" s="1"/>
  <c r="AA180" i="6" s="1"/>
  <c r="AI180" i="6" s="1"/>
  <c r="M179" i="6"/>
  <c r="L179" i="6"/>
  <c r="O179" i="6" s="1"/>
  <c r="AE179" i="6" s="1"/>
  <c r="AM179" i="6" s="1"/>
  <c r="M178" i="6"/>
  <c r="L178" i="6"/>
  <c r="O178" i="6" s="1"/>
  <c r="AA178" i="6" s="1"/>
  <c r="AI178" i="6" s="1"/>
  <c r="M177" i="6"/>
  <c r="L177" i="6"/>
  <c r="O176" i="6"/>
  <c r="AA176" i="6" s="1"/>
  <c r="AI176" i="6" s="1"/>
  <c r="M176" i="6"/>
  <c r="L176" i="6"/>
  <c r="M175" i="6"/>
  <c r="L175" i="6"/>
  <c r="O175" i="6" s="1"/>
  <c r="AG175" i="6" s="1"/>
  <c r="AO175" i="6" s="1"/>
  <c r="M174" i="6"/>
  <c r="L174" i="6"/>
  <c r="M173" i="6"/>
  <c r="L173" i="6"/>
  <c r="O172" i="6"/>
  <c r="AA172" i="6" s="1"/>
  <c r="AI172" i="6" s="1"/>
  <c r="M172" i="6"/>
  <c r="L172" i="6"/>
  <c r="M171" i="6"/>
  <c r="L171" i="6"/>
  <c r="O171" i="6" s="1"/>
  <c r="AC171" i="6" s="1"/>
  <c r="AK171" i="6" s="1"/>
  <c r="M170" i="6"/>
  <c r="L170" i="6"/>
  <c r="M169" i="6"/>
  <c r="L169" i="6"/>
  <c r="M168" i="6"/>
  <c r="L168" i="6"/>
  <c r="O168" i="6" s="1"/>
  <c r="AA168" i="6" s="1"/>
  <c r="AI168" i="6" s="1"/>
  <c r="M167" i="6"/>
  <c r="L167" i="6"/>
  <c r="O167" i="6" s="1"/>
  <c r="AA167" i="6" s="1"/>
  <c r="AI167" i="6" s="1"/>
  <c r="M166" i="6"/>
  <c r="L166" i="6"/>
  <c r="O165" i="6"/>
  <c r="AB165" i="6" s="1"/>
  <c r="AJ165" i="6" s="1"/>
  <c r="M165" i="6"/>
  <c r="L165" i="6"/>
  <c r="O164" i="6"/>
  <c r="AH164" i="6" s="1"/>
  <c r="AP164" i="6" s="1"/>
  <c r="M164" i="6"/>
  <c r="L164" i="6"/>
  <c r="M163" i="6"/>
  <c r="L163" i="6"/>
  <c r="O163" i="6" s="1"/>
  <c r="AB163" i="6" s="1"/>
  <c r="AJ163" i="6" s="1"/>
  <c r="M162" i="6"/>
  <c r="L162" i="6"/>
  <c r="M161" i="6"/>
  <c r="L161" i="6"/>
  <c r="M160" i="6"/>
  <c r="L160" i="6"/>
  <c r="O160" i="6" s="1"/>
  <c r="AB160" i="6" s="1"/>
  <c r="AJ160" i="6" s="1"/>
  <c r="M159" i="6"/>
  <c r="L159" i="6"/>
  <c r="O159" i="6" s="1"/>
  <c r="AH159" i="6" s="1"/>
  <c r="AP159" i="6" s="1"/>
  <c r="M158" i="6"/>
  <c r="L158" i="6"/>
  <c r="M157" i="6"/>
  <c r="L157" i="6"/>
  <c r="M156" i="6"/>
  <c r="L156" i="6"/>
  <c r="O156" i="6" s="1"/>
  <c r="AB156" i="6" s="1"/>
  <c r="AJ156" i="6" s="1"/>
  <c r="M155" i="6"/>
  <c r="L155" i="6"/>
  <c r="O155" i="6" s="1"/>
  <c r="AB155" i="6" s="1"/>
  <c r="AJ155" i="6" s="1"/>
  <c r="M154" i="6"/>
  <c r="L154" i="6"/>
  <c r="M153" i="6"/>
  <c r="L153" i="6"/>
  <c r="O152" i="6"/>
  <c r="AB152" i="6" s="1"/>
  <c r="AJ152" i="6" s="1"/>
  <c r="M152" i="6"/>
  <c r="L152" i="6"/>
  <c r="M151" i="6"/>
  <c r="L151" i="6"/>
  <c r="O151" i="6" s="1"/>
  <c r="AB151" i="6" s="1"/>
  <c r="AJ151" i="6" s="1"/>
  <c r="M150" i="6"/>
  <c r="L150" i="6"/>
  <c r="M149" i="6"/>
  <c r="L149" i="6"/>
  <c r="M148" i="6"/>
  <c r="L148" i="6"/>
  <c r="O148" i="6" s="1"/>
  <c r="M147" i="6"/>
  <c r="L147" i="6"/>
  <c r="M146" i="6"/>
  <c r="L146" i="6"/>
  <c r="M145" i="6"/>
  <c r="L145" i="6"/>
  <c r="M144" i="6"/>
  <c r="L144" i="6"/>
  <c r="O144" i="6" s="1"/>
  <c r="M143" i="6"/>
  <c r="L143" i="6"/>
  <c r="M142" i="6"/>
  <c r="L142" i="6"/>
  <c r="O142" i="6" s="1"/>
  <c r="O141" i="6"/>
  <c r="M141" i="6"/>
  <c r="L141" i="6"/>
  <c r="M140" i="6"/>
  <c r="L140" i="6"/>
  <c r="O140" i="6" s="1"/>
  <c r="M139" i="6"/>
  <c r="L139" i="6"/>
  <c r="M138" i="6"/>
  <c r="L138" i="6"/>
  <c r="O138" i="6" s="1"/>
  <c r="M137" i="6"/>
  <c r="L137" i="6"/>
  <c r="O137" i="6" s="1"/>
  <c r="O136" i="6"/>
  <c r="M136" i="6"/>
  <c r="L136" i="6"/>
  <c r="M135" i="6"/>
  <c r="L135" i="6"/>
  <c r="M134" i="6"/>
  <c r="L134" i="6"/>
  <c r="M133" i="6"/>
  <c r="L133" i="6"/>
  <c r="O133" i="6" s="1"/>
  <c r="M132" i="6"/>
  <c r="L132" i="6"/>
  <c r="O132" i="6" s="1"/>
  <c r="M131" i="6"/>
  <c r="L131" i="6"/>
  <c r="M130" i="6"/>
  <c r="L130" i="6"/>
  <c r="O130" i="6" s="1"/>
  <c r="M129" i="6"/>
  <c r="L129" i="6"/>
  <c r="M128" i="6"/>
  <c r="L128" i="6"/>
  <c r="O128" i="6" s="1"/>
  <c r="M127" i="6"/>
  <c r="L127" i="6"/>
  <c r="M126" i="6"/>
  <c r="L126" i="6"/>
  <c r="M125" i="6"/>
  <c r="L125" i="6"/>
  <c r="O125" i="6" s="1"/>
  <c r="M124" i="6"/>
  <c r="L124" i="6"/>
  <c r="O124" i="6" s="1"/>
  <c r="M123" i="6"/>
  <c r="L123" i="6"/>
  <c r="O123" i="6" s="1"/>
  <c r="M122" i="6"/>
  <c r="L122" i="6"/>
  <c r="M121" i="6"/>
  <c r="L121" i="6"/>
  <c r="O121" i="6" s="1"/>
  <c r="M120" i="6"/>
  <c r="L120" i="6"/>
  <c r="O120" i="6" s="1"/>
  <c r="M119" i="6"/>
  <c r="L119" i="6"/>
  <c r="O119" i="6" s="1"/>
  <c r="M118" i="6"/>
  <c r="L118" i="6"/>
  <c r="O118" i="6" s="1"/>
  <c r="M117" i="6"/>
  <c r="L117" i="6"/>
  <c r="O117" i="6" s="1"/>
  <c r="AA117" i="6" s="1"/>
  <c r="AI117" i="6" s="1"/>
  <c r="M116" i="6"/>
  <c r="L116" i="6"/>
  <c r="O116" i="6" s="1"/>
  <c r="AC116" i="6" s="1"/>
  <c r="AK116" i="6" s="1"/>
  <c r="M115" i="6"/>
  <c r="L115" i="6"/>
  <c r="O115" i="6" s="1"/>
  <c r="AA115" i="6" s="1"/>
  <c r="AI115" i="6" s="1"/>
  <c r="M114" i="6"/>
  <c r="L114" i="6"/>
  <c r="M113" i="6"/>
  <c r="L113" i="6"/>
  <c r="M112" i="6"/>
  <c r="L112" i="6"/>
  <c r="M111" i="6"/>
  <c r="L111" i="6"/>
  <c r="O111" i="6" s="1"/>
  <c r="AG111" i="6" s="1"/>
  <c r="AO111" i="6" s="1"/>
  <c r="M110" i="6"/>
  <c r="L110" i="6"/>
  <c r="M109" i="6"/>
  <c r="L109" i="6"/>
  <c r="O109" i="6" s="1"/>
  <c r="AG109" i="6" s="1"/>
  <c r="AO109" i="6" s="1"/>
  <c r="M108" i="6"/>
  <c r="L108" i="6"/>
  <c r="O108" i="6" s="1"/>
  <c r="AA108" i="6" s="1"/>
  <c r="AI108" i="6" s="1"/>
  <c r="M107" i="6"/>
  <c r="L107" i="6"/>
  <c r="O107" i="6" s="1"/>
  <c r="AG107" i="6" s="1"/>
  <c r="AO107" i="6" s="1"/>
  <c r="M106" i="6"/>
  <c r="L106" i="6"/>
  <c r="M105" i="6"/>
  <c r="L105" i="6"/>
  <c r="O105" i="6" s="1"/>
  <c r="AC105" i="6" s="1"/>
  <c r="AK105" i="6" s="1"/>
  <c r="M104" i="6"/>
  <c r="L104" i="6"/>
  <c r="O104" i="6" s="1"/>
  <c r="AA104" i="6" s="1"/>
  <c r="AI104" i="6" s="1"/>
  <c r="M103" i="6"/>
  <c r="L103" i="6"/>
  <c r="M102" i="6"/>
  <c r="L102" i="6"/>
  <c r="O100" i="6"/>
  <c r="AE100" i="6" s="1"/>
  <c r="AM100" i="6" s="1"/>
  <c r="M100" i="6"/>
  <c r="L100" i="6"/>
  <c r="M99" i="6"/>
  <c r="L99" i="6"/>
  <c r="O99" i="6" s="1"/>
  <c r="AA99" i="6" s="1"/>
  <c r="AI99" i="6" s="1"/>
  <c r="M98" i="6"/>
  <c r="L98" i="6"/>
  <c r="M96" i="6"/>
  <c r="L96" i="6"/>
  <c r="M95" i="6"/>
  <c r="L95" i="6"/>
  <c r="O95" i="6" s="1"/>
  <c r="AG95" i="6" s="1"/>
  <c r="AO95" i="6" s="1"/>
  <c r="M94" i="6"/>
  <c r="L94" i="6"/>
  <c r="O94" i="6" s="1"/>
  <c r="AA94" i="6" s="1"/>
  <c r="AI94" i="6" s="1"/>
  <c r="M93" i="6"/>
  <c r="L93" i="6"/>
  <c r="M92" i="6"/>
  <c r="L92" i="6"/>
  <c r="O92" i="6" s="1"/>
  <c r="AA92" i="6" s="1"/>
  <c r="AI92" i="6" s="1"/>
  <c r="M91" i="6"/>
  <c r="L91" i="6"/>
  <c r="O91" i="6" s="1"/>
  <c r="AA91" i="6" s="1"/>
  <c r="AI91" i="6" s="1"/>
  <c r="M90" i="6"/>
  <c r="L90" i="6"/>
  <c r="M89" i="6"/>
  <c r="L89" i="6"/>
  <c r="M88" i="6"/>
  <c r="L88" i="6"/>
  <c r="O88" i="6" s="1"/>
  <c r="AC88" i="6" s="1"/>
  <c r="AK88" i="6" s="1"/>
  <c r="M87" i="6"/>
  <c r="L87" i="6"/>
  <c r="AT86" i="6"/>
  <c r="BB84" i="6" s="1"/>
  <c r="BB85" i="6" s="1"/>
  <c r="M86" i="6"/>
  <c r="L86" i="6"/>
  <c r="M85" i="6"/>
  <c r="L85" i="6"/>
  <c r="BC84" i="6"/>
  <c r="BC85" i="6" s="1"/>
  <c r="AW84" i="6"/>
  <c r="AW85" i="6" s="1"/>
  <c r="M84" i="6"/>
  <c r="L84" i="6"/>
  <c r="O84" i="6" s="1"/>
  <c r="BD83" i="6"/>
  <c r="BD84" i="6" s="1"/>
  <c r="BD85" i="6" s="1"/>
  <c r="BC83" i="6"/>
  <c r="BB83" i="6"/>
  <c r="BA83" i="6"/>
  <c r="AZ83" i="6"/>
  <c r="AY83" i="6"/>
  <c r="AX83" i="6"/>
  <c r="AW83" i="6"/>
  <c r="M83" i="6"/>
  <c r="L83" i="6"/>
  <c r="M82" i="6"/>
  <c r="L82" i="6"/>
  <c r="M81" i="6"/>
  <c r="L81" i="6"/>
  <c r="M80" i="6"/>
  <c r="L80" i="6"/>
  <c r="O80" i="6" s="1"/>
  <c r="M79" i="6"/>
  <c r="L79" i="6"/>
  <c r="M78" i="6"/>
  <c r="L78" i="6"/>
  <c r="O78" i="6" s="1"/>
  <c r="M77" i="6"/>
  <c r="L77" i="6"/>
  <c r="O77" i="6" s="1"/>
  <c r="M76" i="6"/>
  <c r="L76" i="6"/>
  <c r="O76" i="6" s="1"/>
  <c r="O75" i="6"/>
  <c r="M75" i="6"/>
  <c r="L75" i="6"/>
  <c r="M74" i="6"/>
  <c r="L74" i="6"/>
  <c r="O74" i="6" s="1"/>
  <c r="M73" i="6"/>
  <c r="L73" i="6"/>
  <c r="O73" i="6" s="1"/>
  <c r="M72" i="6"/>
  <c r="L72" i="6"/>
  <c r="O72" i="6" s="1"/>
  <c r="O71" i="6"/>
  <c r="M71" i="6"/>
  <c r="L71" i="6"/>
  <c r="N247" i="5"/>
  <c r="N248" i="5"/>
  <c r="N249" i="5"/>
  <c r="N250" i="5"/>
  <c r="N251" i="5"/>
  <c r="N252" i="5"/>
  <c r="N253" i="5"/>
  <c r="N254" i="5"/>
  <c r="N255" i="5"/>
  <c r="N256" i="5"/>
  <c r="N257" i="5"/>
  <c r="N258" i="5"/>
  <c r="N259" i="5"/>
  <c r="N260" i="5"/>
  <c r="N261" i="5"/>
  <c r="N246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30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14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212" i="5"/>
  <c r="N213" i="5"/>
  <c r="N198" i="5"/>
  <c r="N194" i="5"/>
  <c r="N183" i="5"/>
  <c r="N184" i="5"/>
  <c r="N185" i="5"/>
  <c r="N186" i="5"/>
  <c r="N187" i="5"/>
  <c r="N188" i="5"/>
  <c r="N189" i="5"/>
  <c r="N190" i="5"/>
  <c r="N191" i="5"/>
  <c r="N192" i="5"/>
  <c r="N193" i="5"/>
  <c r="N195" i="5"/>
  <c r="N196" i="5"/>
  <c r="N197" i="5"/>
  <c r="N182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50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34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02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86" i="5"/>
  <c r="M86" i="5"/>
  <c r="AX83" i="5"/>
  <c r="AY83" i="5"/>
  <c r="AZ83" i="5"/>
  <c r="BA83" i="5"/>
  <c r="BB83" i="5"/>
  <c r="BC83" i="5"/>
  <c r="BD83" i="5"/>
  <c r="AW83" i="5"/>
  <c r="AT86" i="5"/>
  <c r="AZ84" i="5" s="1"/>
  <c r="AZ85" i="5" s="1"/>
  <c r="AF253" i="6" l="1"/>
  <c r="AN253" i="6" s="1"/>
  <c r="AB253" i="6"/>
  <c r="AJ253" i="6" s="1"/>
  <c r="AD253" i="6"/>
  <c r="AL253" i="6" s="1"/>
  <c r="AH253" i="6"/>
  <c r="AP253" i="6" s="1"/>
  <c r="Y253" i="6" s="1"/>
  <c r="Z253" i="6" s="1"/>
  <c r="AB260" i="6"/>
  <c r="AJ260" i="6" s="1"/>
  <c r="AB248" i="6"/>
  <c r="AJ248" i="6" s="1"/>
  <c r="Y248" i="6" s="1"/>
  <c r="Z248" i="6" s="1"/>
  <c r="AH257" i="6"/>
  <c r="AP257" i="6" s="1"/>
  <c r="AH251" i="6"/>
  <c r="AP251" i="6" s="1"/>
  <c r="Y251" i="6" s="1"/>
  <c r="Z251" i="6" s="1"/>
  <c r="Y256" i="6"/>
  <c r="Z256" i="6" s="1"/>
  <c r="AB250" i="6"/>
  <c r="AJ250" i="6" s="1"/>
  <c r="Y250" i="6" s="1"/>
  <c r="Z250" i="6" s="1"/>
  <c r="AF257" i="6"/>
  <c r="AN257" i="6" s="1"/>
  <c r="Y257" i="6" s="1"/>
  <c r="Z257" i="6" s="1"/>
  <c r="AF251" i="6"/>
  <c r="AN251" i="6" s="1"/>
  <c r="AH261" i="6"/>
  <c r="AP261" i="6" s="1"/>
  <c r="AH259" i="6"/>
  <c r="AP259" i="6" s="1"/>
  <c r="AH255" i="6"/>
  <c r="AP255" i="6" s="1"/>
  <c r="AH249" i="6"/>
  <c r="AP249" i="6" s="1"/>
  <c r="AH247" i="6"/>
  <c r="AP247" i="6" s="1"/>
  <c r="AD261" i="6"/>
  <c r="AL261" i="6" s="1"/>
  <c r="AD259" i="6"/>
  <c r="AL259" i="6" s="1"/>
  <c r="AD255" i="6"/>
  <c r="AL255" i="6" s="1"/>
  <c r="Y255" i="6" s="1"/>
  <c r="Z255" i="6" s="1"/>
  <c r="AD249" i="6"/>
  <c r="AL249" i="6" s="1"/>
  <c r="Y249" i="6" s="1"/>
  <c r="Z249" i="6" s="1"/>
  <c r="AD247" i="6"/>
  <c r="AL247" i="6" s="1"/>
  <c r="Y247" i="6" s="1"/>
  <c r="Z247" i="6" s="1"/>
  <c r="AB247" i="6"/>
  <c r="AJ247" i="6" s="1"/>
  <c r="AH256" i="6"/>
  <c r="AP256" i="6" s="1"/>
  <c r="AH252" i="6"/>
  <c r="AP252" i="6" s="1"/>
  <c r="AH250" i="6"/>
  <c r="AP250" i="6" s="1"/>
  <c r="AF256" i="6"/>
  <c r="AN256" i="6" s="1"/>
  <c r="AF252" i="6"/>
  <c r="AN252" i="6" s="1"/>
  <c r="Y252" i="6" s="1"/>
  <c r="Z252" i="6" s="1"/>
  <c r="AF250" i="6"/>
  <c r="AN250" i="6" s="1"/>
  <c r="AH248" i="6"/>
  <c r="AP248" i="6" s="1"/>
  <c r="AH246" i="6"/>
  <c r="AP246" i="6" s="1"/>
  <c r="AF246" i="6"/>
  <c r="AN246" i="6" s="1"/>
  <c r="Y246" i="6" s="1"/>
  <c r="Z246" i="6" s="1"/>
  <c r="AB241" i="6"/>
  <c r="AJ241" i="6" s="1"/>
  <c r="AD241" i="6"/>
  <c r="AL241" i="6" s="1"/>
  <c r="AF241" i="6"/>
  <c r="AN241" i="6" s="1"/>
  <c r="AH241" i="6"/>
  <c r="AP241" i="6" s="1"/>
  <c r="Y245" i="6"/>
  <c r="Z245" i="6" s="1"/>
  <c r="AD242" i="6"/>
  <c r="AL242" i="6" s="1"/>
  <c r="Y242" i="6" s="1"/>
  <c r="Z242" i="6" s="1"/>
  <c r="AB240" i="6"/>
  <c r="AJ240" i="6" s="1"/>
  <c r="Y240" i="6" s="1"/>
  <c r="Z240" i="6" s="1"/>
  <c r="AB238" i="6"/>
  <c r="AJ238" i="6" s="1"/>
  <c r="AH236" i="6"/>
  <c r="AP236" i="6" s="1"/>
  <c r="Y236" i="6" s="1"/>
  <c r="Z236" i="6" s="1"/>
  <c r="AF234" i="6"/>
  <c r="AN234" i="6" s="1"/>
  <c r="Y234" i="6" s="1"/>
  <c r="Z234" i="6" s="1"/>
  <c r="AF232" i="6"/>
  <c r="AN232" i="6" s="1"/>
  <c r="AH239" i="6"/>
  <c r="AP239" i="6" s="1"/>
  <c r="AB234" i="6"/>
  <c r="AJ234" i="6" s="1"/>
  <c r="AB232" i="6"/>
  <c r="AJ232" i="6" s="1"/>
  <c r="Y232" i="6" s="1"/>
  <c r="Z232" i="6" s="1"/>
  <c r="AF243" i="6"/>
  <c r="AN243" i="6" s="1"/>
  <c r="AD239" i="6"/>
  <c r="AL239" i="6" s="1"/>
  <c r="Y239" i="6" s="1"/>
  <c r="Z239" i="6" s="1"/>
  <c r="AH233" i="6"/>
  <c r="AP233" i="6" s="1"/>
  <c r="AF239" i="6"/>
  <c r="AN239" i="6" s="1"/>
  <c r="AD243" i="6"/>
  <c r="AL243" i="6" s="1"/>
  <c r="Y243" i="6" s="1"/>
  <c r="Z243" i="6" s="1"/>
  <c r="AH237" i="6"/>
  <c r="AP237" i="6" s="1"/>
  <c r="AF233" i="6"/>
  <c r="AN233" i="6" s="1"/>
  <c r="Y233" i="6" s="1"/>
  <c r="Z233" i="6" s="1"/>
  <c r="AF237" i="6"/>
  <c r="AN237" i="6" s="1"/>
  <c r="AH235" i="6"/>
  <c r="AP235" i="6" s="1"/>
  <c r="AD233" i="6"/>
  <c r="AL233" i="6" s="1"/>
  <c r="AH245" i="6"/>
  <c r="AP245" i="6" s="1"/>
  <c r="AD237" i="6"/>
  <c r="AL237" i="6" s="1"/>
  <c r="Y237" i="6" s="1"/>
  <c r="Z237" i="6" s="1"/>
  <c r="AF235" i="6"/>
  <c r="AN235" i="6" s="1"/>
  <c r="AH231" i="6"/>
  <c r="AP231" i="6" s="1"/>
  <c r="AF245" i="6"/>
  <c r="AN245" i="6" s="1"/>
  <c r="AF231" i="6"/>
  <c r="AN231" i="6" s="1"/>
  <c r="AH238" i="6"/>
  <c r="AP238" i="6" s="1"/>
  <c r="Y235" i="6"/>
  <c r="Z235" i="6" s="1"/>
  <c r="AD231" i="6"/>
  <c r="AL231" i="6" s="1"/>
  <c r="Y231" i="6" s="1"/>
  <c r="Z231" i="6" s="1"/>
  <c r="AF238" i="6"/>
  <c r="AN238" i="6" s="1"/>
  <c r="AB225" i="6"/>
  <c r="AJ225" i="6" s="1"/>
  <c r="AD225" i="6"/>
  <c r="AL225" i="6" s="1"/>
  <c r="AF225" i="6"/>
  <c r="AN225" i="6" s="1"/>
  <c r="AH225" i="6"/>
  <c r="AP225" i="6" s="1"/>
  <c r="AH228" i="6"/>
  <c r="AP228" i="6" s="1"/>
  <c r="AF226" i="6"/>
  <c r="AN226" i="6" s="1"/>
  <c r="AH222" i="6"/>
  <c r="AP222" i="6" s="1"/>
  <c r="AH220" i="6"/>
  <c r="AP220" i="6" s="1"/>
  <c r="AB217" i="6"/>
  <c r="AJ217" i="6" s="1"/>
  <c r="AD228" i="6"/>
  <c r="AL228" i="6" s="1"/>
  <c r="AB226" i="6"/>
  <c r="AJ226" i="6" s="1"/>
  <c r="Y226" i="6" s="1"/>
  <c r="Z226" i="6" s="1"/>
  <c r="AF224" i="6"/>
  <c r="AN224" i="6" s="1"/>
  <c r="AD222" i="6"/>
  <c r="AL222" i="6" s="1"/>
  <c r="AD220" i="6"/>
  <c r="AL220" i="6" s="1"/>
  <c r="Y220" i="6" s="1"/>
  <c r="Z220" i="6" s="1"/>
  <c r="AH216" i="6"/>
  <c r="AP216" i="6" s="1"/>
  <c r="AD224" i="6"/>
  <c r="AL224" i="6" s="1"/>
  <c r="Y224" i="6" s="1"/>
  <c r="Z224" i="6" s="1"/>
  <c r="AH218" i="6"/>
  <c r="AP218" i="6" s="1"/>
  <c r="Y218" i="6" s="1"/>
  <c r="Z218" i="6" s="1"/>
  <c r="AF216" i="6"/>
  <c r="AN216" i="6" s="1"/>
  <c r="AB224" i="6"/>
  <c r="AJ224" i="6" s="1"/>
  <c r="AF218" i="6"/>
  <c r="AN218" i="6" s="1"/>
  <c r="AD216" i="6"/>
  <c r="AL216" i="6" s="1"/>
  <c r="AH227" i="6"/>
  <c r="AP227" i="6" s="1"/>
  <c r="AH221" i="6"/>
  <c r="AP221" i="6" s="1"/>
  <c r="AD218" i="6"/>
  <c r="AL218" i="6" s="1"/>
  <c r="AF227" i="6"/>
  <c r="AN227" i="6" s="1"/>
  <c r="AF221" i="6"/>
  <c r="AN221" i="6" s="1"/>
  <c r="AH215" i="6"/>
  <c r="AP215" i="6" s="1"/>
  <c r="AH229" i="6"/>
  <c r="AP229" i="6" s="1"/>
  <c r="Y229" i="6" s="1"/>
  <c r="Z229" i="6" s="1"/>
  <c r="AD227" i="6"/>
  <c r="AL227" i="6" s="1"/>
  <c r="Y227" i="6" s="1"/>
  <c r="Z227" i="6" s="1"/>
  <c r="AH223" i="6"/>
  <c r="AP223" i="6" s="1"/>
  <c r="AD221" i="6"/>
  <c r="AL221" i="6" s="1"/>
  <c r="Y221" i="6" s="1"/>
  <c r="Z221" i="6" s="1"/>
  <c r="AF215" i="6"/>
  <c r="AN215" i="6" s="1"/>
  <c r="AF229" i="6"/>
  <c r="AN229" i="6" s="1"/>
  <c r="AF223" i="6"/>
  <c r="AN223" i="6" s="1"/>
  <c r="AH219" i="6"/>
  <c r="AP219" i="6" s="1"/>
  <c r="AD215" i="6"/>
  <c r="AL215" i="6" s="1"/>
  <c r="AD229" i="6"/>
  <c r="AL229" i="6" s="1"/>
  <c r="AD223" i="6"/>
  <c r="AL223" i="6" s="1"/>
  <c r="Y223" i="6" s="1"/>
  <c r="Z223" i="6" s="1"/>
  <c r="AF219" i="6"/>
  <c r="AN219" i="6" s="1"/>
  <c r="AH217" i="6"/>
  <c r="AP217" i="6" s="1"/>
  <c r="Y217" i="6" s="1"/>
  <c r="Z217" i="6" s="1"/>
  <c r="AD219" i="6"/>
  <c r="AL219" i="6" s="1"/>
  <c r="Y219" i="6" s="1"/>
  <c r="Z219" i="6" s="1"/>
  <c r="AF217" i="6"/>
  <c r="AN217" i="6" s="1"/>
  <c r="AB214" i="6"/>
  <c r="AJ214" i="6" s="1"/>
  <c r="Y200" i="6"/>
  <c r="Z200" i="6" s="1"/>
  <c r="Y201" i="6"/>
  <c r="Z201" i="6" s="1"/>
  <c r="Y207" i="6"/>
  <c r="Z207" i="6" s="1"/>
  <c r="AC213" i="6"/>
  <c r="AK213" i="6" s="1"/>
  <c r="Y213" i="6" s="1"/>
  <c r="Z213" i="6" s="1"/>
  <c r="AA211" i="6"/>
  <c r="AI211" i="6" s="1"/>
  <c r="Y211" i="6" s="1"/>
  <c r="Z211" i="6" s="1"/>
  <c r="AC207" i="6"/>
  <c r="AK207" i="6" s="1"/>
  <c r="AA205" i="6"/>
  <c r="AI205" i="6" s="1"/>
  <c r="AA203" i="6"/>
  <c r="AI203" i="6" s="1"/>
  <c r="Y203" i="6" s="1"/>
  <c r="Z203" i="6" s="1"/>
  <c r="AC201" i="6"/>
  <c r="AK201" i="6" s="1"/>
  <c r="AA199" i="6"/>
  <c r="AI199" i="6" s="1"/>
  <c r="Y199" i="6" s="1"/>
  <c r="Z199" i="6" s="1"/>
  <c r="AG204" i="6"/>
  <c r="AO204" i="6" s="1"/>
  <c r="Y204" i="6" s="1"/>
  <c r="Z204" i="6" s="1"/>
  <c r="AC211" i="6"/>
  <c r="AK211" i="6" s="1"/>
  <c r="AE204" i="6"/>
  <c r="AM204" i="6" s="1"/>
  <c r="AG212" i="6"/>
  <c r="AO212" i="6" s="1"/>
  <c r="AG208" i="6"/>
  <c r="AO208" i="6" s="1"/>
  <c r="AG206" i="6"/>
  <c r="AO206" i="6" s="1"/>
  <c r="AC204" i="6"/>
  <c r="AK204" i="6" s="1"/>
  <c r="AG202" i="6"/>
  <c r="AO202" i="6" s="1"/>
  <c r="AG200" i="6"/>
  <c r="AO200" i="6" s="1"/>
  <c r="AE211" i="6"/>
  <c r="AM211" i="6" s="1"/>
  <c r="AE212" i="6"/>
  <c r="AM212" i="6" s="1"/>
  <c r="AE208" i="6"/>
  <c r="AM208" i="6" s="1"/>
  <c r="AE206" i="6"/>
  <c r="AM206" i="6" s="1"/>
  <c r="Y206" i="6" s="1"/>
  <c r="Z206" i="6" s="1"/>
  <c r="AE202" i="6"/>
  <c r="AM202" i="6" s="1"/>
  <c r="AE200" i="6"/>
  <c r="AM200" i="6" s="1"/>
  <c r="O209" i="6"/>
  <c r="AC212" i="6"/>
  <c r="AK212" i="6" s="1"/>
  <c r="Y212" i="6" s="1"/>
  <c r="Z212" i="6" s="1"/>
  <c r="AC208" i="6"/>
  <c r="AK208" i="6" s="1"/>
  <c r="Y208" i="6" s="1"/>
  <c r="Z208" i="6" s="1"/>
  <c r="AC206" i="6"/>
  <c r="AK206" i="6" s="1"/>
  <c r="AC202" i="6"/>
  <c r="AK202" i="6" s="1"/>
  <c r="Y202" i="6" s="1"/>
  <c r="Z202" i="6" s="1"/>
  <c r="AC200" i="6"/>
  <c r="AK200" i="6" s="1"/>
  <c r="O210" i="6"/>
  <c r="AG198" i="6"/>
  <c r="AO198" i="6" s="1"/>
  <c r="AC196" i="6"/>
  <c r="AK196" i="6" s="1"/>
  <c r="Y196" i="6" s="1"/>
  <c r="Z196" i="6" s="1"/>
  <c r="AA194" i="6"/>
  <c r="AI194" i="6" s="1"/>
  <c r="AC190" i="6"/>
  <c r="AK190" i="6" s="1"/>
  <c r="Y190" i="6" s="1"/>
  <c r="Z190" i="6" s="1"/>
  <c r="AA188" i="6"/>
  <c r="AI188" i="6" s="1"/>
  <c r="AC184" i="6"/>
  <c r="AK184" i="6" s="1"/>
  <c r="AG197" i="6"/>
  <c r="AO197" i="6" s="1"/>
  <c r="AG191" i="6"/>
  <c r="AO191" i="6" s="1"/>
  <c r="AC187" i="6"/>
  <c r="AK187" i="6" s="1"/>
  <c r="AG185" i="6"/>
  <c r="AO185" i="6" s="1"/>
  <c r="AE197" i="6"/>
  <c r="AM197" i="6" s="1"/>
  <c r="AG195" i="6"/>
  <c r="AO195" i="6" s="1"/>
  <c r="AE191" i="6"/>
  <c r="AM191" i="6" s="1"/>
  <c r="AG189" i="6"/>
  <c r="AO189" i="6" s="1"/>
  <c r="AE185" i="6"/>
  <c r="AM185" i="6" s="1"/>
  <c r="AC197" i="6"/>
  <c r="AK197" i="6" s="1"/>
  <c r="Y197" i="6" s="1"/>
  <c r="Z197" i="6" s="1"/>
  <c r="AE195" i="6"/>
  <c r="AM195" i="6" s="1"/>
  <c r="AC191" i="6"/>
  <c r="AK191" i="6" s="1"/>
  <c r="Y191" i="6" s="1"/>
  <c r="Z191" i="6" s="1"/>
  <c r="AE189" i="6"/>
  <c r="AM189" i="6" s="1"/>
  <c r="AC185" i="6"/>
  <c r="AK185" i="6" s="1"/>
  <c r="Y185" i="6" s="1"/>
  <c r="Z185" i="6" s="1"/>
  <c r="O192" i="6"/>
  <c r="AC195" i="6"/>
  <c r="AK195" i="6" s="1"/>
  <c r="Y195" i="6" s="1"/>
  <c r="Z195" i="6" s="1"/>
  <c r="AC189" i="6"/>
  <c r="AK189" i="6" s="1"/>
  <c r="Y189" i="6" s="1"/>
  <c r="Z189" i="6" s="1"/>
  <c r="AG186" i="6"/>
  <c r="AO186" i="6" s="1"/>
  <c r="O193" i="6"/>
  <c r="AE186" i="6"/>
  <c r="AM186" i="6" s="1"/>
  <c r="AG194" i="6"/>
  <c r="AO194" i="6" s="1"/>
  <c r="AG188" i="6"/>
  <c r="AO188" i="6" s="1"/>
  <c r="Y188" i="6" s="1"/>
  <c r="Z188" i="6" s="1"/>
  <c r="AC186" i="6"/>
  <c r="AK186" i="6" s="1"/>
  <c r="AG196" i="6"/>
  <c r="AO196" i="6" s="1"/>
  <c r="AE194" i="6"/>
  <c r="AM194" i="6" s="1"/>
  <c r="AG190" i="6"/>
  <c r="AO190" i="6" s="1"/>
  <c r="AE188" i="6"/>
  <c r="AM188" i="6" s="1"/>
  <c r="AG184" i="6"/>
  <c r="AO184" i="6" s="1"/>
  <c r="Y184" i="6" s="1"/>
  <c r="Z184" i="6" s="1"/>
  <c r="O177" i="6"/>
  <c r="AC179" i="6"/>
  <c r="AK179" i="6" s="1"/>
  <c r="Y179" i="6" s="1"/>
  <c r="Z179" i="6" s="1"/>
  <c r="AE175" i="6"/>
  <c r="AM175" i="6" s="1"/>
  <c r="Y175" i="6" s="1"/>
  <c r="Z175" i="6" s="1"/>
  <c r="AA171" i="6"/>
  <c r="AI171" i="6" s="1"/>
  <c r="AG181" i="6"/>
  <c r="AO181" i="6" s="1"/>
  <c r="AA175" i="6"/>
  <c r="AI175" i="6" s="1"/>
  <c r="AE172" i="6"/>
  <c r="AM172" i="6" s="1"/>
  <c r="AG168" i="6"/>
  <c r="AO168" i="6" s="1"/>
  <c r="AE181" i="6"/>
  <c r="AM181" i="6" s="1"/>
  <c r="AC172" i="6"/>
  <c r="AK172" i="6" s="1"/>
  <c r="AE168" i="6"/>
  <c r="AM168" i="6" s="1"/>
  <c r="AC181" i="6"/>
  <c r="AK181" i="6" s="1"/>
  <c r="Y181" i="6" s="1"/>
  <c r="Z181" i="6" s="1"/>
  <c r="AC168" i="6"/>
  <c r="AK168" i="6" s="1"/>
  <c r="AG178" i="6"/>
  <c r="AO178" i="6" s="1"/>
  <c r="Y178" i="6" s="1"/>
  <c r="Z178" i="6" s="1"/>
  <c r="AG180" i="6"/>
  <c r="AO180" i="6" s="1"/>
  <c r="Y180" i="6" s="1"/>
  <c r="Z180" i="6" s="1"/>
  <c r="AE178" i="6"/>
  <c r="AM178" i="6" s="1"/>
  <c r="AG167" i="6"/>
  <c r="AO167" i="6" s="1"/>
  <c r="AE180" i="6"/>
  <c r="AM180" i="6" s="1"/>
  <c r="AC178" i="6"/>
  <c r="AK178" i="6" s="1"/>
  <c r="AG176" i="6"/>
  <c r="AO176" i="6" s="1"/>
  <c r="AE167" i="6"/>
  <c r="AM167" i="6" s="1"/>
  <c r="AC180" i="6"/>
  <c r="AK180" i="6" s="1"/>
  <c r="AE176" i="6"/>
  <c r="AM176" i="6" s="1"/>
  <c r="AC167" i="6"/>
  <c r="AK167" i="6" s="1"/>
  <c r="Y167" i="6" s="1"/>
  <c r="Z167" i="6" s="1"/>
  <c r="AC176" i="6"/>
  <c r="AK176" i="6" s="1"/>
  <c r="Y176" i="6" s="1"/>
  <c r="Z176" i="6" s="1"/>
  <c r="AG171" i="6"/>
  <c r="AO171" i="6" s="1"/>
  <c r="AG179" i="6"/>
  <c r="AO179" i="6" s="1"/>
  <c r="AE171" i="6"/>
  <c r="AM171" i="6" s="1"/>
  <c r="AF164" i="6"/>
  <c r="AN164" i="6" s="1"/>
  <c r="AH155" i="6"/>
  <c r="AP155" i="6" s="1"/>
  <c r="AB164" i="6"/>
  <c r="AJ164" i="6" s="1"/>
  <c r="AF159" i="6"/>
  <c r="AN159" i="6" s="1"/>
  <c r="AD155" i="6"/>
  <c r="AL155" i="6" s="1"/>
  <c r="AF151" i="6"/>
  <c r="AN151" i="6" s="1"/>
  <c r="AD159" i="6"/>
  <c r="AL159" i="6" s="1"/>
  <c r="AD151" i="6"/>
  <c r="AL151" i="6" s="1"/>
  <c r="AH165" i="6"/>
  <c r="AP165" i="6" s="1"/>
  <c r="AB159" i="6"/>
  <c r="AJ159" i="6" s="1"/>
  <c r="Y159" i="6" s="1"/>
  <c r="Z159" i="6" s="1"/>
  <c r="AF165" i="6"/>
  <c r="AN165" i="6" s="1"/>
  <c r="AH163" i="6"/>
  <c r="AP163" i="6" s="1"/>
  <c r="AD164" i="6"/>
  <c r="AL164" i="6" s="1"/>
  <c r="AD165" i="6"/>
  <c r="AL165" i="6" s="1"/>
  <c r="Y165" i="6" s="1"/>
  <c r="Z165" i="6" s="1"/>
  <c r="AF163" i="6"/>
  <c r="AN163" i="6" s="1"/>
  <c r="AH156" i="6"/>
  <c r="AP156" i="6" s="1"/>
  <c r="AD163" i="6"/>
  <c r="AL163" i="6" s="1"/>
  <c r="AF156" i="6"/>
  <c r="AN156" i="6" s="1"/>
  <c r="AH152" i="6"/>
  <c r="AP152" i="6" s="1"/>
  <c r="AH160" i="6"/>
  <c r="AP160" i="6" s="1"/>
  <c r="AD156" i="6"/>
  <c r="AL156" i="6" s="1"/>
  <c r="Y156" i="6" s="1"/>
  <c r="Z156" i="6" s="1"/>
  <c r="AF152" i="6"/>
  <c r="AN152" i="6" s="1"/>
  <c r="AF160" i="6"/>
  <c r="AN160" i="6" s="1"/>
  <c r="AD152" i="6"/>
  <c r="AL152" i="6" s="1"/>
  <c r="Y152" i="6" s="1"/>
  <c r="Z152" i="6" s="1"/>
  <c r="AD160" i="6"/>
  <c r="AL160" i="6" s="1"/>
  <c r="Y160" i="6" s="1"/>
  <c r="Z160" i="6" s="1"/>
  <c r="O134" i="6"/>
  <c r="AG113" i="6"/>
  <c r="AO113" i="6" s="1"/>
  <c r="AE113" i="6"/>
  <c r="AM113" i="6" s="1"/>
  <c r="AA113" i="6"/>
  <c r="AI113" i="6" s="1"/>
  <c r="AC113" i="6"/>
  <c r="AK113" i="6" s="1"/>
  <c r="O112" i="6"/>
  <c r="AA116" i="6"/>
  <c r="AI116" i="6" s="1"/>
  <c r="AE111" i="6"/>
  <c r="AM111" i="6" s="1"/>
  <c r="AE109" i="6"/>
  <c r="AM109" i="6" s="1"/>
  <c r="AE107" i="6"/>
  <c r="AM107" i="6" s="1"/>
  <c r="AA105" i="6"/>
  <c r="AI105" i="6" s="1"/>
  <c r="AE117" i="6"/>
  <c r="AM117" i="6" s="1"/>
  <c r="AE115" i="6"/>
  <c r="AM115" i="6" s="1"/>
  <c r="AC117" i="6"/>
  <c r="AK117" i="6" s="1"/>
  <c r="AC115" i="6"/>
  <c r="AK115" i="6" s="1"/>
  <c r="AG108" i="6"/>
  <c r="AO108" i="6" s="1"/>
  <c r="AG104" i="6"/>
  <c r="AO104" i="6" s="1"/>
  <c r="AE108" i="6"/>
  <c r="AM108" i="6" s="1"/>
  <c r="AE104" i="6"/>
  <c r="AM104" i="6" s="1"/>
  <c r="AC108" i="6"/>
  <c r="AK108" i="6" s="1"/>
  <c r="AC104" i="6"/>
  <c r="AK104" i="6" s="1"/>
  <c r="AA107" i="6"/>
  <c r="AI107" i="6" s="1"/>
  <c r="AG116" i="6"/>
  <c r="AO116" i="6" s="1"/>
  <c r="AG105" i="6"/>
  <c r="AO105" i="6" s="1"/>
  <c r="AE116" i="6"/>
  <c r="AM116" i="6" s="1"/>
  <c r="AE105" i="6"/>
  <c r="AM105" i="6" s="1"/>
  <c r="O101" i="6"/>
  <c r="AC100" i="6"/>
  <c r="AK100" i="6" s="1"/>
  <c r="AE99" i="6"/>
  <c r="AM99" i="6" s="1"/>
  <c r="AC99" i="6"/>
  <c r="AK99" i="6" s="1"/>
  <c r="AA88" i="6"/>
  <c r="AI88" i="6" s="1"/>
  <c r="AE95" i="6"/>
  <c r="AM95" i="6" s="1"/>
  <c r="AE91" i="6"/>
  <c r="AM91" i="6" s="1"/>
  <c r="O96" i="6"/>
  <c r="AC95" i="6"/>
  <c r="AK95" i="6" s="1"/>
  <c r="AC91" i="6"/>
  <c r="AK91" i="6" s="1"/>
  <c r="AA95" i="6"/>
  <c r="AI95" i="6" s="1"/>
  <c r="AG94" i="6"/>
  <c r="AO94" i="6" s="1"/>
  <c r="AG92" i="6"/>
  <c r="AO92" i="6" s="1"/>
  <c r="AE94" i="6"/>
  <c r="AM94" i="6" s="1"/>
  <c r="AE92" i="6"/>
  <c r="AM92" i="6" s="1"/>
  <c r="AG88" i="6"/>
  <c r="AO88" i="6" s="1"/>
  <c r="AC94" i="6"/>
  <c r="AK94" i="6" s="1"/>
  <c r="AC92" i="6"/>
  <c r="AK92" i="6" s="1"/>
  <c r="AE88" i="6"/>
  <c r="AM88" i="6" s="1"/>
  <c r="AG183" i="6"/>
  <c r="AO183" i="6" s="1"/>
  <c r="AE183" i="6"/>
  <c r="AM183" i="6" s="1"/>
  <c r="Y183" i="6" s="1"/>
  <c r="Z183" i="6" s="1"/>
  <c r="Y261" i="6"/>
  <c r="Z261" i="6" s="1"/>
  <c r="Y230" i="6"/>
  <c r="Z230" i="6" s="1"/>
  <c r="Y259" i="6"/>
  <c r="Z259" i="6" s="1"/>
  <c r="Y216" i="6"/>
  <c r="Z216" i="6" s="1"/>
  <c r="Y225" i="6"/>
  <c r="Z225" i="6" s="1"/>
  <c r="Y260" i="6"/>
  <c r="Z260" i="6" s="1"/>
  <c r="Y215" i="6"/>
  <c r="Z215" i="6" s="1"/>
  <c r="Y214" i="6"/>
  <c r="Z214" i="6" s="1"/>
  <c r="Y186" i="6"/>
  <c r="Z186" i="6" s="1"/>
  <c r="Y198" i="6"/>
  <c r="Z198" i="6" s="1"/>
  <c r="Y194" i="6"/>
  <c r="Z194" i="6" s="1"/>
  <c r="Y187" i="6"/>
  <c r="Z187" i="6" s="1"/>
  <c r="Y172" i="6"/>
  <c r="Z172" i="6" s="1"/>
  <c r="Y205" i="6"/>
  <c r="Z205" i="6" s="1"/>
  <c r="Y155" i="6"/>
  <c r="Z155" i="6" s="1"/>
  <c r="Y163" i="6"/>
  <c r="Z163" i="6" s="1"/>
  <c r="O161" i="6"/>
  <c r="O145" i="6"/>
  <c r="O102" i="6"/>
  <c r="O86" i="6"/>
  <c r="AG86" i="6" s="1"/>
  <c r="AO86" i="6" s="1"/>
  <c r="O87" i="6"/>
  <c r="Y83" i="6"/>
  <c r="Z83" i="6" s="1"/>
  <c r="Y73" i="6"/>
  <c r="Z73" i="6" s="1"/>
  <c r="Y77" i="6"/>
  <c r="Z77" i="6" s="1"/>
  <c r="Z85" i="6"/>
  <c r="Y79" i="6"/>
  <c r="Z79" i="6" s="1"/>
  <c r="Y74" i="6"/>
  <c r="Z74" i="6" s="1"/>
  <c r="Y72" i="6"/>
  <c r="Z72" i="6" s="1"/>
  <c r="Y84" i="6"/>
  <c r="Z84" i="6" s="1"/>
  <c r="Y78" i="6"/>
  <c r="Z78" i="6" s="1"/>
  <c r="Y71" i="6"/>
  <c r="Z71" i="6" s="1"/>
  <c r="O93" i="6"/>
  <c r="O157" i="6"/>
  <c r="O106" i="6"/>
  <c r="O169" i="6"/>
  <c r="O110" i="6"/>
  <c r="O173" i="6"/>
  <c r="O129" i="6"/>
  <c r="AH129" i="6" s="1"/>
  <c r="AP129" i="6" s="1"/>
  <c r="O114" i="6"/>
  <c r="O122" i="6"/>
  <c r="AF122" i="6" s="1"/>
  <c r="AN122" i="6" s="1"/>
  <c r="O126" i="6"/>
  <c r="AH126" i="6" s="1"/>
  <c r="AP126" i="6" s="1"/>
  <c r="O149" i="6"/>
  <c r="O89" i="6"/>
  <c r="O153" i="6"/>
  <c r="O81" i="6"/>
  <c r="O83" i="6"/>
  <c r="O70" i="6"/>
  <c r="O82" i="6"/>
  <c r="O79" i="6"/>
  <c r="AH133" i="6"/>
  <c r="AP133" i="6" s="1"/>
  <c r="AF133" i="6"/>
  <c r="AN133" i="6" s="1"/>
  <c r="AD133" i="6"/>
  <c r="AL133" i="6" s="1"/>
  <c r="AB133" i="6"/>
  <c r="AJ133" i="6" s="1"/>
  <c r="AH125" i="6"/>
  <c r="AP125" i="6" s="1"/>
  <c r="AF125" i="6"/>
  <c r="AN125" i="6" s="1"/>
  <c r="O90" i="6"/>
  <c r="O103" i="6"/>
  <c r="AF134" i="6"/>
  <c r="AN134" i="6" s="1"/>
  <c r="AH134" i="6"/>
  <c r="AP134" i="6" s="1"/>
  <c r="AF142" i="6"/>
  <c r="AN142" i="6" s="1"/>
  <c r="AH142" i="6"/>
  <c r="AP142" i="6" s="1"/>
  <c r="O85" i="6"/>
  <c r="AH148" i="6"/>
  <c r="AP148" i="6" s="1"/>
  <c r="AH144" i="6"/>
  <c r="AP144" i="6" s="1"/>
  <c r="AH128" i="6"/>
  <c r="AP128" i="6" s="1"/>
  <c r="AF120" i="6"/>
  <c r="AN120" i="6" s="1"/>
  <c r="AH120" i="6"/>
  <c r="AP120" i="6" s="1"/>
  <c r="AH123" i="6"/>
  <c r="AP123" i="6" s="1"/>
  <c r="AF123" i="6"/>
  <c r="AN123" i="6" s="1"/>
  <c r="AD123" i="6"/>
  <c r="AL123" i="6" s="1"/>
  <c r="O98" i="6"/>
  <c r="AF126" i="6"/>
  <c r="AN126" i="6" s="1"/>
  <c r="AF118" i="6"/>
  <c r="AN118" i="6" s="1"/>
  <c r="AD118" i="6"/>
  <c r="AL118" i="6" s="1"/>
  <c r="Y118" i="6" s="1"/>
  <c r="Z118" i="6" s="1"/>
  <c r="AH118" i="6"/>
  <c r="AP118" i="6" s="1"/>
  <c r="AF121" i="6"/>
  <c r="AN121" i="6" s="1"/>
  <c r="AH121" i="6"/>
  <c r="AP121" i="6" s="1"/>
  <c r="AH124" i="6"/>
  <c r="AP124" i="6" s="1"/>
  <c r="AF124" i="6"/>
  <c r="AN124" i="6" s="1"/>
  <c r="AB124" i="6"/>
  <c r="AJ124" i="6" s="1"/>
  <c r="AH132" i="6"/>
  <c r="AP132" i="6" s="1"/>
  <c r="AF138" i="6"/>
  <c r="AN138" i="6" s="1"/>
  <c r="AH138" i="6"/>
  <c r="AP138" i="6" s="1"/>
  <c r="AF119" i="6"/>
  <c r="AN119" i="6" s="1"/>
  <c r="AH119" i="6"/>
  <c r="AP119" i="6" s="1"/>
  <c r="AF128" i="6"/>
  <c r="AN128" i="6" s="1"/>
  <c r="AF148" i="6"/>
  <c r="AN148" i="6" s="1"/>
  <c r="AF144" i="6"/>
  <c r="AN144" i="6" s="1"/>
  <c r="AF130" i="6"/>
  <c r="AN130" i="6" s="1"/>
  <c r="AH130" i="6"/>
  <c r="AP130" i="6" s="1"/>
  <c r="O135" i="6"/>
  <c r="AH149" i="6"/>
  <c r="AP149" i="6" s="1"/>
  <c r="AF132" i="6"/>
  <c r="AN132" i="6" s="1"/>
  <c r="O143" i="6"/>
  <c r="O146" i="6"/>
  <c r="O170" i="6"/>
  <c r="O174" i="6"/>
  <c r="O139" i="6"/>
  <c r="AF136" i="6"/>
  <c r="AN136" i="6" s="1"/>
  <c r="AD148" i="6"/>
  <c r="AL148" i="6" s="1"/>
  <c r="O150" i="6"/>
  <c r="O154" i="6"/>
  <c r="O158" i="6"/>
  <c r="O162" i="6"/>
  <c r="O166" i="6"/>
  <c r="AX84" i="6"/>
  <c r="AX85" i="6" s="1"/>
  <c r="AB134" i="6" s="1"/>
  <c r="AJ134" i="6" s="1"/>
  <c r="AH136" i="6"/>
  <c r="AP136" i="6" s="1"/>
  <c r="AB140" i="6"/>
  <c r="AJ140" i="6" s="1"/>
  <c r="AY84" i="6"/>
  <c r="AY85" i="6" s="1"/>
  <c r="AF140" i="6"/>
  <c r="AN140" i="6" s="1"/>
  <c r="O147" i="6"/>
  <c r="AZ84" i="6"/>
  <c r="AZ85" i="6" s="1"/>
  <c r="O127" i="6"/>
  <c r="AH140" i="6"/>
  <c r="AP140" i="6" s="1"/>
  <c r="BA84" i="6"/>
  <c r="BA85" i="6" s="1"/>
  <c r="AD128" i="6"/>
  <c r="AL128" i="6" s="1"/>
  <c r="AH145" i="6"/>
  <c r="AP145" i="6" s="1"/>
  <c r="AF145" i="6"/>
  <c r="AN145" i="6" s="1"/>
  <c r="AD145" i="6"/>
  <c r="AL145" i="6" s="1"/>
  <c r="O131" i="6"/>
  <c r="AH141" i="6"/>
  <c r="AP141" i="6" s="1"/>
  <c r="AF141" i="6"/>
  <c r="AN141" i="6" s="1"/>
  <c r="AD141" i="6"/>
  <c r="AL141" i="6" s="1"/>
  <c r="AD132" i="6"/>
  <c r="AL132" i="6" s="1"/>
  <c r="AH137" i="6"/>
  <c r="AP137" i="6" s="1"/>
  <c r="AF137" i="6"/>
  <c r="AN137" i="6" s="1"/>
  <c r="AD137" i="6"/>
  <c r="AL137" i="6" s="1"/>
  <c r="O182" i="6"/>
  <c r="O254" i="6"/>
  <c r="O258" i="6"/>
  <c r="BB84" i="5"/>
  <c r="BB85" i="5" s="1"/>
  <c r="AY84" i="5"/>
  <c r="AY85" i="5" s="1"/>
  <c r="BA84" i="5"/>
  <c r="BA85" i="5" s="1"/>
  <c r="AX84" i="5"/>
  <c r="AX85" i="5" s="1"/>
  <c r="AW84" i="5"/>
  <c r="AW85" i="5" s="1"/>
  <c r="BD84" i="5"/>
  <c r="BD85" i="5" s="1"/>
  <c r="BC84" i="5"/>
  <c r="BC85" i="5" s="1"/>
  <c r="AD258" i="6" l="1"/>
  <c r="AL258" i="6" s="1"/>
  <c r="Y258" i="6" s="1"/>
  <c r="Z258" i="6" s="1"/>
  <c r="AF258" i="6"/>
  <c r="AN258" i="6" s="1"/>
  <c r="AH258" i="6"/>
  <c r="AP258" i="6" s="1"/>
  <c r="AB258" i="6"/>
  <c r="AJ258" i="6" s="1"/>
  <c r="AF254" i="6"/>
  <c r="AN254" i="6" s="1"/>
  <c r="AH254" i="6"/>
  <c r="AP254" i="6" s="1"/>
  <c r="AD254" i="6"/>
  <c r="AL254" i="6" s="1"/>
  <c r="AB254" i="6"/>
  <c r="AJ254" i="6" s="1"/>
  <c r="Y254" i="6" s="1"/>
  <c r="Z254" i="6" s="1"/>
  <c r="Y238" i="6"/>
  <c r="Z238" i="6" s="1"/>
  <c r="Y241" i="6"/>
  <c r="Z241" i="6" s="1"/>
  <c r="Y222" i="6"/>
  <c r="Z222" i="6" s="1"/>
  <c r="Y228" i="6"/>
  <c r="Z228" i="6" s="1"/>
  <c r="AA210" i="6"/>
  <c r="AI210" i="6" s="1"/>
  <c r="AC210" i="6"/>
  <c r="AK210" i="6" s="1"/>
  <c r="AE210" i="6"/>
  <c r="AM210" i="6" s="1"/>
  <c r="AG210" i="6"/>
  <c r="AO210" i="6" s="1"/>
  <c r="AG209" i="6"/>
  <c r="AO209" i="6" s="1"/>
  <c r="AC209" i="6"/>
  <c r="AK209" i="6" s="1"/>
  <c r="AE209" i="6"/>
  <c r="AM209" i="6" s="1"/>
  <c r="AA209" i="6"/>
  <c r="AI209" i="6" s="1"/>
  <c r="AE193" i="6"/>
  <c r="AM193" i="6" s="1"/>
  <c r="AA193" i="6"/>
  <c r="AI193" i="6" s="1"/>
  <c r="Y193" i="6" s="1"/>
  <c r="Z193" i="6" s="1"/>
  <c r="AG193" i="6"/>
  <c r="AO193" i="6" s="1"/>
  <c r="AC193" i="6"/>
  <c r="AK193" i="6" s="1"/>
  <c r="AA192" i="6"/>
  <c r="AI192" i="6" s="1"/>
  <c r="AC192" i="6"/>
  <c r="AK192" i="6" s="1"/>
  <c r="AE192" i="6"/>
  <c r="AM192" i="6" s="1"/>
  <c r="AG192" i="6"/>
  <c r="AO192" i="6" s="1"/>
  <c r="AA182" i="6"/>
  <c r="AI182" i="6" s="1"/>
  <c r="Y182" i="6" s="1"/>
  <c r="Z182" i="6" s="1"/>
  <c r="AC182" i="6"/>
  <c r="AK182" i="6" s="1"/>
  <c r="AE182" i="6"/>
  <c r="AM182" i="6" s="1"/>
  <c r="AG182" i="6"/>
  <c r="AO182" i="6" s="1"/>
  <c r="AA177" i="6"/>
  <c r="AI177" i="6" s="1"/>
  <c r="AC177" i="6"/>
  <c r="AK177" i="6" s="1"/>
  <c r="AE177" i="6"/>
  <c r="AM177" i="6" s="1"/>
  <c r="AG177" i="6"/>
  <c r="AO177" i="6" s="1"/>
  <c r="Y168" i="6"/>
  <c r="Z168" i="6" s="1"/>
  <c r="AA174" i="6"/>
  <c r="AI174" i="6" s="1"/>
  <c r="AC174" i="6"/>
  <c r="AK174" i="6" s="1"/>
  <c r="AE174" i="6"/>
  <c r="AM174" i="6" s="1"/>
  <c r="AG174" i="6"/>
  <c r="AO174" i="6" s="1"/>
  <c r="AA173" i="6"/>
  <c r="AI173" i="6" s="1"/>
  <c r="AC173" i="6"/>
  <c r="AK173" i="6" s="1"/>
  <c r="AE173" i="6"/>
  <c r="AM173" i="6" s="1"/>
  <c r="AG173" i="6"/>
  <c r="AO173" i="6" s="1"/>
  <c r="AA170" i="6"/>
  <c r="AI170" i="6" s="1"/>
  <c r="AC170" i="6"/>
  <c r="AK170" i="6" s="1"/>
  <c r="AE170" i="6"/>
  <c r="AM170" i="6" s="1"/>
  <c r="AG170" i="6"/>
  <c r="AO170" i="6" s="1"/>
  <c r="AA169" i="6"/>
  <c r="AI169" i="6" s="1"/>
  <c r="Y169" i="6" s="1"/>
  <c r="Z169" i="6" s="1"/>
  <c r="AC169" i="6"/>
  <c r="AK169" i="6" s="1"/>
  <c r="AE169" i="6"/>
  <c r="AM169" i="6" s="1"/>
  <c r="AG169" i="6"/>
  <c r="AO169" i="6" s="1"/>
  <c r="Y171" i="6"/>
  <c r="Z171" i="6" s="1"/>
  <c r="AG166" i="6"/>
  <c r="AO166" i="6" s="1"/>
  <c r="AE166" i="6"/>
  <c r="AM166" i="6" s="1"/>
  <c r="AC166" i="6"/>
  <c r="AK166" i="6" s="1"/>
  <c r="AA166" i="6"/>
  <c r="AI166" i="6" s="1"/>
  <c r="AB157" i="6"/>
  <c r="AJ157" i="6" s="1"/>
  <c r="AD157" i="6"/>
  <c r="AL157" i="6" s="1"/>
  <c r="AF157" i="6"/>
  <c r="AN157" i="6" s="1"/>
  <c r="AH157" i="6"/>
  <c r="AP157" i="6" s="1"/>
  <c r="AD162" i="6"/>
  <c r="AL162" i="6" s="1"/>
  <c r="AF162" i="6"/>
  <c r="AN162" i="6" s="1"/>
  <c r="AH162" i="6"/>
  <c r="AP162" i="6" s="1"/>
  <c r="AB162" i="6"/>
  <c r="AJ162" i="6" s="1"/>
  <c r="Y162" i="6" s="1"/>
  <c r="Z162" i="6" s="1"/>
  <c r="AB158" i="6"/>
  <c r="AJ158" i="6" s="1"/>
  <c r="AD158" i="6"/>
  <c r="AL158" i="6" s="1"/>
  <c r="AF158" i="6"/>
  <c r="AN158" i="6" s="1"/>
  <c r="AH158" i="6"/>
  <c r="AP158" i="6" s="1"/>
  <c r="AB154" i="6"/>
  <c r="AJ154" i="6" s="1"/>
  <c r="AD154" i="6"/>
  <c r="AL154" i="6" s="1"/>
  <c r="AF154" i="6"/>
  <c r="AN154" i="6" s="1"/>
  <c r="AH154" i="6"/>
  <c r="AP154" i="6" s="1"/>
  <c r="AB161" i="6"/>
  <c r="AJ161" i="6" s="1"/>
  <c r="AD161" i="6"/>
  <c r="AL161" i="6" s="1"/>
  <c r="AF161" i="6"/>
  <c r="AN161" i="6" s="1"/>
  <c r="AH161" i="6"/>
  <c r="AP161" i="6" s="1"/>
  <c r="Y151" i="6"/>
  <c r="Z151" i="6" s="1"/>
  <c r="AF153" i="6"/>
  <c r="AN153" i="6" s="1"/>
  <c r="AB153" i="6"/>
  <c r="AJ153" i="6" s="1"/>
  <c r="AD153" i="6"/>
  <c r="AL153" i="6" s="1"/>
  <c r="AH153" i="6"/>
  <c r="AP153" i="6" s="1"/>
  <c r="Y164" i="6"/>
  <c r="Z164" i="6" s="1"/>
  <c r="AB150" i="6"/>
  <c r="AJ150" i="6" s="1"/>
  <c r="Y150" i="6" s="1"/>
  <c r="Z150" i="6" s="1"/>
  <c r="AD150" i="6"/>
  <c r="AL150" i="6" s="1"/>
  <c r="AF150" i="6"/>
  <c r="AN150" i="6" s="1"/>
  <c r="AH150" i="6"/>
  <c r="AP150" i="6" s="1"/>
  <c r="AF149" i="6"/>
  <c r="AN149" i="6" s="1"/>
  <c r="AB149" i="6"/>
  <c r="AJ149" i="6" s="1"/>
  <c r="AA110" i="6"/>
  <c r="AI110" i="6" s="1"/>
  <c r="Y110" i="6" s="1"/>
  <c r="Z110" i="6" s="1"/>
  <c r="AC110" i="6"/>
  <c r="AK110" i="6" s="1"/>
  <c r="AE110" i="6"/>
  <c r="AM110" i="6" s="1"/>
  <c r="AG110" i="6"/>
  <c r="AO110" i="6" s="1"/>
  <c r="AA106" i="6"/>
  <c r="AI106" i="6" s="1"/>
  <c r="Y106" i="6" s="1"/>
  <c r="Z106" i="6" s="1"/>
  <c r="AC106" i="6"/>
  <c r="AK106" i="6" s="1"/>
  <c r="AE106" i="6"/>
  <c r="AM106" i="6" s="1"/>
  <c r="AG106" i="6"/>
  <c r="AO106" i="6" s="1"/>
  <c r="AC103" i="6"/>
  <c r="AK103" i="6" s="1"/>
  <c r="AE103" i="6"/>
  <c r="AM103" i="6" s="1"/>
  <c r="AG103" i="6"/>
  <c r="AO103" i="6" s="1"/>
  <c r="AA103" i="6"/>
  <c r="AI103" i="6" s="1"/>
  <c r="AA114" i="6"/>
  <c r="AI114" i="6" s="1"/>
  <c r="AC114" i="6"/>
  <c r="AK114" i="6" s="1"/>
  <c r="AE114" i="6"/>
  <c r="AM114" i="6" s="1"/>
  <c r="AG114" i="6"/>
  <c r="AO114" i="6" s="1"/>
  <c r="AA112" i="6"/>
  <c r="AI112" i="6" s="1"/>
  <c r="Y112" i="6" s="1"/>
  <c r="Z112" i="6" s="1"/>
  <c r="AC112" i="6"/>
  <c r="AK112" i="6" s="1"/>
  <c r="AE112" i="6"/>
  <c r="AM112" i="6" s="1"/>
  <c r="AG112" i="6"/>
  <c r="AO112" i="6" s="1"/>
  <c r="AA102" i="6"/>
  <c r="AI102" i="6" s="1"/>
  <c r="AC102" i="6"/>
  <c r="AK102" i="6" s="1"/>
  <c r="AE102" i="6"/>
  <c r="AM102" i="6" s="1"/>
  <c r="AG102" i="6"/>
  <c r="AO102" i="6" s="1"/>
  <c r="AG98" i="6"/>
  <c r="AO98" i="6" s="1"/>
  <c r="AE98" i="6"/>
  <c r="AM98" i="6" s="1"/>
  <c r="AC98" i="6"/>
  <c r="AK98" i="6" s="1"/>
  <c r="AA98" i="6"/>
  <c r="AI98" i="6" s="1"/>
  <c r="AA101" i="6"/>
  <c r="AI101" i="6" s="1"/>
  <c r="AC101" i="6"/>
  <c r="AK101" i="6" s="1"/>
  <c r="AE101" i="6"/>
  <c r="AM101" i="6" s="1"/>
  <c r="AG101" i="6"/>
  <c r="AO101" i="6" s="1"/>
  <c r="AC96" i="6"/>
  <c r="AK96" i="6" s="1"/>
  <c r="AE96" i="6"/>
  <c r="AM96" i="6" s="1"/>
  <c r="AG96" i="6"/>
  <c r="AO96" i="6" s="1"/>
  <c r="AA96" i="6"/>
  <c r="AI96" i="6" s="1"/>
  <c r="AC90" i="6"/>
  <c r="AK90" i="6" s="1"/>
  <c r="AE90" i="6"/>
  <c r="AM90" i="6" s="1"/>
  <c r="AG90" i="6"/>
  <c r="AO90" i="6" s="1"/>
  <c r="AA90" i="6"/>
  <c r="AI90" i="6" s="1"/>
  <c r="AA93" i="6"/>
  <c r="AI93" i="6" s="1"/>
  <c r="AC93" i="6"/>
  <c r="AK93" i="6" s="1"/>
  <c r="AE93" i="6"/>
  <c r="AM93" i="6" s="1"/>
  <c r="AG93" i="6"/>
  <c r="AO93" i="6" s="1"/>
  <c r="AA89" i="6"/>
  <c r="AI89" i="6" s="1"/>
  <c r="AC89" i="6"/>
  <c r="AK89" i="6" s="1"/>
  <c r="AE89" i="6"/>
  <c r="AM89" i="6" s="1"/>
  <c r="AG89" i="6"/>
  <c r="AO89" i="6" s="1"/>
  <c r="AA87" i="6"/>
  <c r="AI87" i="6" s="1"/>
  <c r="AC87" i="6"/>
  <c r="AK87" i="6" s="1"/>
  <c r="AE87" i="6"/>
  <c r="AM87" i="6" s="1"/>
  <c r="AG87" i="6"/>
  <c r="AO87" i="6" s="1"/>
  <c r="AA86" i="6"/>
  <c r="AI86" i="6" s="1"/>
  <c r="Y86" i="6" s="1"/>
  <c r="Z86" i="6" s="1"/>
  <c r="AC86" i="6"/>
  <c r="AG70" i="6"/>
  <c r="AO70" i="6" s="1"/>
  <c r="AE70" i="6"/>
  <c r="AM70" i="6" s="1"/>
  <c r="AC70" i="6"/>
  <c r="AK70" i="6" s="1"/>
  <c r="AA70" i="6"/>
  <c r="AI70" i="6" s="1"/>
  <c r="AH122" i="6"/>
  <c r="AP122" i="6" s="1"/>
  <c r="AF129" i="6"/>
  <c r="AN129" i="6" s="1"/>
  <c r="Y133" i="6"/>
  <c r="Z133" i="6" s="1"/>
  <c r="AF146" i="6"/>
  <c r="AN146" i="6" s="1"/>
  <c r="AD146" i="6"/>
  <c r="AL146" i="6" s="1"/>
  <c r="AB146" i="6"/>
  <c r="AJ146" i="6" s="1"/>
  <c r="AH146" i="6"/>
  <c r="AP146" i="6" s="1"/>
  <c r="AH135" i="6"/>
  <c r="AP135" i="6" s="1"/>
  <c r="AF135" i="6"/>
  <c r="AN135" i="6" s="1"/>
  <c r="AD135" i="6"/>
  <c r="AL135" i="6" s="1"/>
  <c r="AB135" i="6"/>
  <c r="AJ135" i="6" s="1"/>
  <c r="Y88" i="6"/>
  <c r="Z88" i="6" s="1"/>
  <c r="AD131" i="6"/>
  <c r="AL131" i="6" s="1"/>
  <c r="AH131" i="6"/>
  <c r="AP131" i="6" s="1"/>
  <c r="AB131" i="6"/>
  <c r="AJ131" i="6" s="1"/>
  <c r="AF131" i="6"/>
  <c r="AN131" i="6" s="1"/>
  <c r="AB148" i="6"/>
  <c r="AJ148" i="6" s="1"/>
  <c r="Y148" i="6" s="1"/>
  <c r="Z148" i="6" s="1"/>
  <c r="AB137" i="6"/>
  <c r="AJ137" i="6" s="1"/>
  <c r="Y137" i="6" s="1"/>
  <c r="Z137" i="6" s="1"/>
  <c r="AB132" i="6"/>
  <c r="AJ132" i="6" s="1"/>
  <c r="Y132" i="6" s="1"/>
  <c r="Z132" i="6" s="1"/>
  <c r="AB128" i="6"/>
  <c r="AJ128" i="6" s="1"/>
  <c r="Y128" i="6" s="1"/>
  <c r="Z128" i="6" s="1"/>
  <c r="Y105" i="6"/>
  <c r="Z105" i="6" s="1"/>
  <c r="AH143" i="6"/>
  <c r="AP143" i="6" s="1"/>
  <c r="AB143" i="6"/>
  <c r="AJ143" i="6" s="1"/>
  <c r="AF143" i="6"/>
  <c r="AN143" i="6" s="1"/>
  <c r="AD143" i="6"/>
  <c r="AL143" i="6" s="1"/>
  <c r="Y96" i="6"/>
  <c r="Z96" i="6" s="1"/>
  <c r="AD134" i="6"/>
  <c r="AL134" i="6" s="1"/>
  <c r="Y134" i="6" s="1"/>
  <c r="Z134" i="6" s="1"/>
  <c r="AH147" i="6"/>
  <c r="AP147" i="6" s="1"/>
  <c r="AB147" i="6"/>
  <c r="AJ147" i="6" s="1"/>
  <c r="AF147" i="6"/>
  <c r="AN147" i="6" s="1"/>
  <c r="AD147" i="6"/>
  <c r="AL147" i="6" s="1"/>
  <c r="AB141" i="6"/>
  <c r="AJ141" i="6" s="1"/>
  <c r="Y141" i="6" s="1"/>
  <c r="Z141" i="6" s="1"/>
  <c r="AD124" i="6"/>
  <c r="AL124" i="6" s="1"/>
  <c r="Y124" i="6" s="1"/>
  <c r="Z124" i="6" s="1"/>
  <c r="AB126" i="6"/>
  <c r="AJ126" i="6" s="1"/>
  <c r="Y95" i="6"/>
  <c r="Z95" i="6" s="1"/>
  <c r="AB145" i="6"/>
  <c r="AJ145" i="6" s="1"/>
  <c r="Y145" i="6" s="1"/>
  <c r="Z145" i="6" s="1"/>
  <c r="AB127" i="6"/>
  <c r="AJ127" i="6" s="1"/>
  <c r="AH127" i="6"/>
  <c r="AP127" i="6" s="1"/>
  <c r="AF127" i="6"/>
  <c r="AN127" i="6" s="1"/>
  <c r="AD127" i="6"/>
  <c r="AL127" i="6" s="1"/>
  <c r="AD140" i="6"/>
  <c r="AL140" i="6" s="1"/>
  <c r="Y140" i="6" s="1"/>
  <c r="Z140" i="6" s="1"/>
  <c r="AB130" i="6"/>
  <c r="AJ130" i="6" s="1"/>
  <c r="AB119" i="6"/>
  <c r="AJ119" i="6" s="1"/>
  <c r="AD126" i="6"/>
  <c r="AL126" i="6" s="1"/>
  <c r="Y92" i="6"/>
  <c r="Z92" i="6" s="1"/>
  <c r="AB122" i="6"/>
  <c r="AJ122" i="6" s="1"/>
  <c r="AD130" i="6"/>
  <c r="AL130" i="6" s="1"/>
  <c r="AD119" i="6"/>
  <c r="AL119" i="6" s="1"/>
  <c r="AK86" i="6"/>
  <c r="AB121" i="6"/>
  <c r="AJ121" i="6" s="1"/>
  <c r="AE86" i="6"/>
  <c r="AM86" i="6" s="1"/>
  <c r="AB120" i="6"/>
  <c r="AJ120" i="6" s="1"/>
  <c r="Y113" i="6"/>
  <c r="Z113" i="6" s="1"/>
  <c r="AB138" i="6"/>
  <c r="AJ138" i="6" s="1"/>
  <c r="AD121" i="6"/>
  <c r="AL121" i="6" s="1"/>
  <c r="AB129" i="6"/>
  <c r="AJ129" i="6" s="1"/>
  <c r="AD120" i="6"/>
  <c r="AL120" i="6" s="1"/>
  <c r="AD122" i="6"/>
  <c r="AL122" i="6" s="1"/>
  <c r="AB144" i="6"/>
  <c r="AJ144" i="6" s="1"/>
  <c r="Y144" i="6" s="1"/>
  <c r="Z144" i="6" s="1"/>
  <c r="AD144" i="6"/>
  <c r="AL144" i="6" s="1"/>
  <c r="Y109" i="6"/>
  <c r="Z109" i="6" s="1"/>
  <c r="AD138" i="6"/>
  <c r="AL138" i="6" s="1"/>
  <c r="AD129" i="6"/>
  <c r="AL129" i="6" s="1"/>
  <c r="AB142" i="6"/>
  <c r="AJ142" i="6" s="1"/>
  <c r="AB125" i="6"/>
  <c r="AJ125" i="6" s="1"/>
  <c r="Y104" i="6"/>
  <c r="Z104" i="6" s="1"/>
  <c r="AH139" i="6"/>
  <c r="AP139" i="6" s="1"/>
  <c r="AF139" i="6"/>
  <c r="AN139" i="6" s="1"/>
  <c r="AD139" i="6"/>
  <c r="AL139" i="6" s="1"/>
  <c r="AB139" i="6"/>
  <c r="AJ139" i="6" s="1"/>
  <c r="AB136" i="6"/>
  <c r="AJ136" i="6" s="1"/>
  <c r="Y117" i="6"/>
  <c r="Z117" i="6" s="1"/>
  <c r="AD142" i="6"/>
  <c r="AL142" i="6" s="1"/>
  <c r="AD125" i="6"/>
  <c r="AL125" i="6" s="1"/>
  <c r="AD136" i="6"/>
  <c r="AL136" i="6" s="1"/>
  <c r="Y100" i="6"/>
  <c r="Z100" i="6" s="1"/>
  <c r="AD149" i="6"/>
  <c r="AL149" i="6" s="1"/>
  <c r="AB123" i="6"/>
  <c r="AJ123" i="6" s="1"/>
  <c r="Y123" i="6" s="1"/>
  <c r="Z123" i="6" s="1"/>
  <c r="Y108" i="6"/>
  <c r="Z108" i="6" s="1"/>
  <c r="Y94" i="6"/>
  <c r="Z94" i="6" s="1"/>
  <c r="Y210" i="6" l="1"/>
  <c r="Z210" i="6" s="1"/>
  <c r="Y209" i="6"/>
  <c r="Z209" i="6" s="1"/>
  <c r="Y192" i="6"/>
  <c r="Z192" i="6" s="1"/>
  <c r="Y166" i="6"/>
  <c r="Z166" i="6" s="1"/>
  <c r="Y170" i="6"/>
  <c r="Z170" i="6" s="1"/>
  <c r="Y177" i="6"/>
  <c r="Z177" i="6" s="1"/>
  <c r="Y173" i="6"/>
  <c r="Z173" i="6" s="1"/>
  <c r="Y174" i="6"/>
  <c r="Z174" i="6" s="1"/>
  <c r="Y154" i="6"/>
  <c r="Z154" i="6" s="1"/>
  <c r="Y157" i="6"/>
  <c r="Z157" i="6" s="1"/>
  <c r="Y158" i="6"/>
  <c r="Z158" i="6" s="1"/>
  <c r="Y153" i="6"/>
  <c r="Z153" i="6" s="1"/>
  <c r="Y161" i="6"/>
  <c r="Z161" i="6" s="1"/>
  <c r="Y101" i="6"/>
  <c r="Z101" i="6" s="1"/>
  <c r="Y70" i="6"/>
  <c r="Z70" i="6" s="1"/>
  <c r="Y149" i="6"/>
  <c r="Z149" i="6" s="1"/>
  <c r="Y102" i="6"/>
  <c r="Z102" i="6" s="1"/>
  <c r="Y121" i="6"/>
  <c r="Z121" i="6" s="1"/>
  <c r="Y146" i="6"/>
  <c r="Z146" i="6" s="1"/>
  <c r="Y91" i="6"/>
  <c r="Z91" i="6" s="1"/>
  <c r="Y126" i="6"/>
  <c r="Z126" i="6" s="1"/>
  <c r="Y115" i="6"/>
  <c r="Z115" i="6" s="1"/>
  <c r="Y114" i="6"/>
  <c r="Z114" i="6" s="1"/>
  <c r="Y90" i="6"/>
  <c r="Z90" i="6" s="1"/>
  <c r="Y116" i="6"/>
  <c r="Z116" i="6" s="1"/>
  <c r="Y111" i="6"/>
  <c r="Z111" i="6" s="1"/>
  <c r="Y87" i="6"/>
  <c r="Z87" i="6" s="1"/>
  <c r="Y142" i="6"/>
  <c r="Z142" i="6" s="1"/>
  <c r="Y136" i="6"/>
  <c r="Z136" i="6" s="1"/>
  <c r="Y89" i="6"/>
  <c r="Z89" i="6" s="1"/>
  <c r="Y139" i="6"/>
  <c r="Z139" i="6" s="1"/>
  <c r="Y107" i="6"/>
  <c r="Z107" i="6" s="1"/>
  <c r="Y99" i="6"/>
  <c r="Z99" i="6" s="1"/>
  <c r="Y93" i="6"/>
  <c r="Z93" i="6" s="1"/>
  <c r="Y120" i="6"/>
  <c r="Z120" i="6" s="1"/>
  <c r="Y147" i="6"/>
  <c r="Z147" i="6" s="1"/>
  <c r="Y131" i="6"/>
  <c r="Z131" i="6" s="1"/>
  <c r="Y127" i="6"/>
  <c r="Z127" i="6" s="1"/>
  <c r="Y125" i="6"/>
  <c r="Z125" i="6" s="1"/>
  <c r="Y98" i="6"/>
  <c r="Z98" i="6" s="1"/>
  <c r="Y129" i="6"/>
  <c r="Z129" i="6" s="1"/>
  <c r="Y119" i="6"/>
  <c r="Z119" i="6" s="1"/>
  <c r="Y138" i="6"/>
  <c r="Z138" i="6" s="1"/>
  <c r="Y135" i="6"/>
  <c r="Z135" i="6" s="1"/>
  <c r="Y122" i="6"/>
  <c r="Z122" i="6" s="1"/>
  <c r="Y103" i="6"/>
  <c r="Z103" i="6" s="1"/>
  <c r="Y143" i="6"/>
  <c r="Z143" i="6" s="1"/>
  <c r="Y130" i="6"/>
  <c r="Z130" i="6" s="1"/>
  <c r="N71" i="5" l="1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70" i="5"/>
  <c r="L71" i="5"/>
  <c r="M71" i="5"/>
  <c r="L72" i="5"/>
  <c r="M72" i="5"/>
  <c r="L73" i="5"/>
  <c r="O73" i="5" s="1"/>
  <c r="M73" i="5"/>
  <c r="L74" i="5"/>
  <c r="M74" i="5"/>
  <c r="L75" i="5"/>
  <c r="M75" i="5"/>
  <c r="L76" i="5"/>
  <c r="O76" i="5" s="1"/>
  <c r="M76" i="5"/>
  <c r="L77" i="5"/>
  <c r="M77" i="5"/>
  <c r="L78" i="5"/>
  <c r="M78" i="5"/>
  <c r="L79" i="5"/>
  <c r="M79" i="5"/>
  <c r="L80" i="5"/>
  <c r="M80" i="5"/>
  <c r="L81" i="5"/>
  <c r="M81" i="5"/>
  <c r="L82" i="5"/>
  <c r="M82" i="5"/>
  <c r="L83" i="5"/>
  <c r="M83" i="5"/>
  <c r="L84" i="5"/>
  <c r="M84" i="5"/>
  <c r="L85" i="5"/>
  <c r="M85" i="5"/>
  <c r="L86" i="5"/>
  <c r="L87" i="5"/>
  <c r="M87" i="5"/>
  <c r="L88" i="5"/>
  <c r="M88" i="5"/>
  <c r="L89" i="5"/>
  <c r="M89" i="5"/>
  <c r="L90" i="5"/>
  <c r="M90" i="5"/>
  <c r="L91" i="5"/>
  <c r="M91" i="5"/>
  <c r="L92" i="5"/>
  <c r="M92" i="5"/>
  <c r="L93" i="5"/>
  <c r="M93" i="5"/>
  <c r="L94" i="5"/>
  <c r="M94" i="5"/>
  <c r="L95" i="5"/>
  <c r="M95" i="5"/>
  <c r="L96" i="5"/>
  <c r="M96" i="5"/>
  <c r="L97" i="5"/>
  <c r="M97" i="5"/>
  <c r="L98" i="5"/>
  <c r="M98" i="5"/>
  <c r="L99" i="5"/>
  <c r="M99" i="5"/>
  <c r="L100" i="5"/>
  <c r="M100" i="5"/>
  <c r="L102" i="5"/>
  <c r="M102" i="5"/>
  <c r="L103" i="5"/>
  <c r="M103" i="5"/>
  <c r="L104" i="5"/>
  <c r="M104" i="5"/>
  <c r="L105" i="5"/>
  <c r="M105" i="5"/>
  <c r="L106" i="5"/>
  <c r="M106" i="5"/>
  <c r="L107" i="5"/>
  <c r="M107" i="5"/>
  <c r="L108" i="5"/>
  <c r="M108" i="5"/>
  <c r="L109" i="5"/>
  <c r="M109" i="5"/>
  <c r="L110" i="5"/>
  <c r="M110" i="5"/>
  <c r="L111" i="5"/>
  <c r="M111" i="5"/>
  <c r="L112" i="5"/>
  <c r="M112" i="5"/>
  <c r="L113" i="5"/>
  <c r="M113" i="5"/>
  <c r="L114" i="5"/>
  <c r="M114" i="5"/>
  <c r="L115" i="5"/>
  <c r="M115" i="5"/>
  <c r="L116" i="5"/>
  <c r="M116" i="5"/>
  <c r="L117" i="5"/>
  <c r="M117" i="5"/>
  <c r="L118" i="5"/>
  <c r="M118" i="5"/>
  <c r="L119" i="5"/>
  <c r="M119" i="5"/>
  <c r="L120" i="5"/>
  <c r="M120" i="5"/>
  <c r="L121" i="5"/>
  <c r="M121" i="5"/>
  <c r="L122" i="5"/>
  <c r="M122" i="5"/>
  <c r="L123" i="5"/>
  <c r="M123" i="5"/>
  <c r="L124" i="5"/>
  <c r="M124" i="5"/>
  <c r="L125" i="5"/>
  <c r="M125" i="5"/>
  <c r="L126" i="5"/>
  <c r="M126" i="5"/>
  <c r="L127" i="5"/>
  <c r="M127" i="5"/>
  <c r="L128" i="5"/>
  <c r="M128" i="5"/>
  <c r="L129" i="5"/>
  <c r="M129" i="5"/>
  <c r="L130" i="5"/>
  <c r="M130" i="5"/>
  <c r="L131" i="5"/>
  <c r="M131" i="5"/>
  <c r="L132" i="5"/>
  <c r="M132" i="5"/>
  <c r="L133" i="5"/>
  <c r="M133" i="5"/>
  <c r="L134" i="5"/>
  <c r="M134" i="5"/>
  <c r="L135" i="5"/>
  <c r="M135" i="5"/>
  <c r="L136" i="5"/>
  <c r="M136" i="5"/>
  <c r="L137" i="5"/>
  <c r="M137" i="5"/>
  <c r="L138" i="5"/>
  <c r="M138" i="5"/>
  <c r="L139" i="5"/>
  <c r="M139" i="5"/>
  <c r="L140" i="5"/>
  <c r="M140" i="5"/>
  <c r="L141" i="5"/>
  <c r="M141" i="5"/>
  <c r="L142" i="5"/>
  <c r="M142" i="5"/>
  <c r="L143" i="5"/>
  <c r="M143" i="5"/>
  <c r="L144" i="5"/>
  <c r="M144" i="5"/>
  <c r="L145" i="5"/>
  <c r="M145" i="5"/>
  <c r="L146" i="5"/>
  <c r="M146" i="5"/>
  <c r="L147" i="5"/>
  <c r="M147" i="5"/>
  <c r="L148" i="5"/>
  <c r="M148" i="5"/>
  <c r="L149" i="5"/>
  <c r="M149" i="5"/>
  <c r="L150" i="5"/>
  <c r="M150" i="5"/>
  <c r="L151" i="5"/>
  <c r="M151" i="5"/>
  <c r="L152" i="5"/>
  <c r="M152" i="5"/>
  <c r="L153" i="5"/>
  <c r="M153" i="5"/>
  <c r="L154" i="5"/>
  <c r="M154" i="5"/>
  <c r="L155" i="5"/>
  <c r="M155" i="5"/>
  <c r="L156" i="5"/>
  <c r="M156" i="5"/>
  <c r="L157" i="5"/>
  <c r="M157" i="5"/>
  <c r="L158" i="5"/>
  <c r="M158" i="5"/>
  <c r="L159" i="5"/>
  <c r="M159" i="5"/>
  <c r="L160" i="5"/>
  <c r="M160" i="5"/>
  <c r="L161" i="5"/>
  <c r="M161" i="5"/>
  <c r="L162" i="5"/>
  <c r="M162" i="5"/>
  <c r="L163" i="5"/>
  <c r="M163" i="5"/>
  <c r="L164" i="5"/>
  <c r="M164" i="5"/>
  <c r="L165" i="5"/>
  <c r="M165" i="5"/>
  <c r="L166" i="5"/>
  <c r="M166" i="5"/>
  <c r="L167" i="5"/>
  <c r="M167" i="5"/>
  <c r="L168" i="5"/>
  <c r="M168" i="5"/>
  <c r="L169" i="5"/>
  <c r="M169" i="5"/>
  <c r="L170" i="5"/>
  <c r="M170" i="5"/>
  <c r="L171" i="5"/>
  <c r="M171" i="5"/>
  <c r="L172" i="5"/>
  <c r="M172" i="5"/>
  <c r="L173" i="5"/>
  <c r="M173" i="5"/>
  <c r="L174" i="5"/>
  <c r="M174" i="5"/>
  <c r="L175" i="5"/>
  <c r="M175" i="5"/>
  <c r="L176" i="5"/>
  <c r="M176" i="5"/>
  <c r="L177" i="5"/>
  <c r="M177" i="5"/>
  <c r="L178" i="5"/>
  <c r="M178" i="5"/>
  <c r="L179" i="5"/>
  <c r="M179" i="5"/>
  <c r="L180" i="5"/>
  <c r="M180" i="5"/>
  <c r="L181" i="5"/>
  <c r="M181" i="5"/>
  <c r="L182" i="5"/>
  <c r="M182" i="5"/>
  <c r="M183" i="5"/>
  <c r="L184" i="5"/>
  <c r="M184" i="5"/>
  <c r="L185" i="5"/>
  <c r="M185" i="5"/>
  <c r="L186" i="5"/>
  <c r="M186" i="5"/>
  <c r="L187" i="5"/>
  <c r="M187" i="5"/>
  <c r="L188" i="5"/>
  <c r="M188" i="5"/>
  <c r="L189" i="5"/>
  <c r="M189" i="5"/>
  <c r="L190" i="5"/>
  <c r="M190" i="5"/>
  <c r="L191" i="5"/>
  <c r="M191" i="5"/>
  <c r="L192" i="5"/>
  <c r="M192" i="5"/>
  <c r="L193" i="5"/>
  <c r="M193" i="5"/>
  <c r="L194" i="5"/>
  <c r="M194" i="5"/>
  <c r="L195" i="5"/>
  <c r="M195" i="5"/>
  <c r="L196" i="5"/>
  <c r="M196" i="5"/>
  <c r="L197" i="5"/>
  <c r="M197" i="5"/>
  <c r="L198" i="5"/>
  <c r="M198" i="5"/>
  <c r="L199" i="5"/>
  <c r="M199" i="5"/>
  <c r="L200" i="5"/>
  <c r="O200" i="5" s="1"/>
  <c r="M200" i="5"/>
  <c r="L201" i="5"/>
  <c r="O201" i="5" s="1"/>
  <c r="M201" i="5"/>
  <c r="L202" i="5"/>
  <c r="M202" i="5"/>
  <c r="L203" i="5"/>
  <c r="M203" i="5"/>
  <c r="L204" i="5"/>
  <c r="M204" i="5"/>
  <c r="L205" i="5"/>
  <c r="M205" i="5"/>
  <c r="L206" i="5"/>
  <c r="M206" i="5"/>
  <c r="L207" i="5"/>
  <c r="M207" i="5"/>
  <c r="L208" i="5"/>
  <c r="O208" i="5" s="1"/>
  <c r="M208" i="5"/>
  <c r="L209" i="5"/>
  <c r="M209" i="5"/>
  <c r="L210" i="5"/>
  <c r="M210" i="5"/>
  <c r="L211" i="5"/>
  <c r="M211" i="5"/>
  <c r="L212" i="5"/>
  <c r="O212" i="5" s="1"/>
  <c r="M212" i="5"/>
  <c r="L213" i="5"/>
  <c r="O213" i="5" s="1"/>
  <c r="M213" i="5"/>
  <c r="L214" i="5"/>
  <c r="M214" i="5"/>
  <c r="L215" i="5"/>
  <c r="M215" i="5"/>
  <c r="L216" i="5"/>
  <c r="M216" i="5"/>
  <c r="L217" i="5"/>
  <c r="M217" i="5"/>
  <c r="L218" i="5"/>
  <c r="M218" i="5"/>
  <c r="L219" i="5"/>
  <c r="M219" i="5"/>
  <c r="L220" i="5"/>
  <c r="O220" i="5" s="1"/>
  <c r="M220" i="5"/>
  <c r="L221" i="5"/>
  <c r="M221" i="5"/>
  <c r="L222" i="5"/>
  <c r="O222" i="5" s="1"/>
  <c r="M222" i="5"/>
  <c r="L223" i="5"/>
  <c r="M223" i="5"/>
  <c r="L224" i="5"/>
  <c r="O224" i="5" s="1"/>
  <c r="M224" i="5"/>
  <c r="L225" i="5"/>
  <c r="O225" i="5" s="1"/>
  <c r="M225" i="5"/>
  <c r="L226" i="5"/>
  <c r="M226" i="5"/>
  <c r="L227" i="5"/>
  <c r="M227" i="5"/>
  <c r="L228" i="5"/>
  <c r="M228" i="5"/>
  <c r="L229" i="5"/>
  <c r="M229" i="5"/>
  <c r="L230" i="5"/>
  <c r="M230" i="5"/>
  <c r="L231" i="5"/>
  <c r="M231" i="5"/>
  <c r="L232" i="5"/>
  <c r="O232" i="5" s="1"/>
  <c r="M232" i="5"/>
  <c r="L233" i="5"/>
  <c r="M233" i="5"/>
  <c r="L234" i="5"/>
  <c r="O234" i="5" s="1"/>
  <c r="M234" i="5"/>
  <c r="L235" i="5"/>
  <c r="M235" i="5"/>
  <c r="L236" i="5"/>
  <c r="O236" i="5" s="1"/>
  <c r="M236" i="5"/>
  <c r="L237" i="5"/>
  <c r="O237" i="5" s="1"/>
  <c r="M237" i="5"/>
  <c r="L238" i="5"/>
  <c r="M238" i="5"/>
  <c r="L239" i="5"/>
  <c r="M239" i="5"/>
  <c r="L240" i="5"/>
  <c r="O240" i="5" s="1"/>
  <c r="M240" i="5"/>
  <c r="L241" i="5"/>
  <c r="M241" i="5"/>
  <c r="L242" i="5"/>
  <c r="O242" i="5" s="1"/>
  <c r="M242" i="5"/>
  <c r="L243" i="5"/>
  <c r="O243" i="5" s="1"/>
  <c r="M243" i="5"/>
  <c r="L244" i="5"/>
  <c r="O244" i="5" s="1"/>
  <c r="M244" i="5"/>
  <c r="L245" i="5"/>
  <c r="M245" i="5"/>
  <c r="L246" i="5"/>
  <c r="O246" i="5" s="1"/>
  <c r="M246" i="5"/>
  <c r="L247" i="5"/>
  <c r="M247" i="5"/>
  <c r="L248" i="5"/>
  <c r="O248" i="5" s="1"/>
  <c r="M248" i="5"/>
  <c r="L249" i="5"/>
  <c r="O249" i="5" s="1"/>
  <c r="M249" i="5"/>
  <c r="L250" i="5"/>
  <c r="M250" i="5"/>
  <c r="L251" i="5"/>
  <c r="M251" i="5"/>
  <c r="L252" i="5"/>
  <c r="O252" i="5" s="1"/>
  <c r="M252" i="5"/>
  <c r="L253" i="5"/>
  <c r="M253" i="5"/>
  <c r="L254" i="5"/>
  <c r="O254" i="5" s="1"/>
  <c r="M254" i="5"/>
  <c r="L255" i="5"/>
  <c r="O255" i="5" s="1"/>
  <c r="M255" i="5"/>
  <c r="L256" i="5"/>
  <c r="O256" i="5" s="1"/>
  <c r="M256" i="5"/>
  <c r="L257" i="5"/>
  <c r="M257" i="5"/>
  <c r="L258" i="5"/>
  <c r="O258" i="5" s="1"/>
  <c r="M258" i="5"/>
  <c r="L259" i="5"/>
  <c r="O259" i="5" s="1"/>
  <c r="M259" i="5"/>
  <c r="L260" i="5"/>
  <c r="O260" i="5" s="1"/>
  <c r="M260" i="5"/>
  <c r="L261" i="5"/>
  <c r="O261" i="5" s="1"/>
  <c r="M261" i="5"/>
  <c r="M70" i="5"/>
  <c r="L70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O83" i="5" s="1"/>
  <c r="K82" i="5"/>
  <c r="K81" i="5"/>
  <c r="K80" i="5"/>
  <c r="K79" i="5"/>
  <c r="K78" i="5"/>
  <c r="K77" i="5"/>
  <c r="K76" i="5"/>
  <c r="K75" i="5"/>
  <c r="K74" i="5"/>
  <c r="K73" i="5"/>
  <c r="K72" i="5"/>
  <c r="K71" i="5"/>
  <c r="O71" i="5" s="1"/>
  <c r="K70" i="5"/>
  <c r="AK24" i="4"/>
  <c r="AJ24" i="4"/>
  <c r="AI24" i="4"/>
  <c r="AH24" i="4"/>
  <c r="AG24" i="4"/>
  <c r="AK16" i="4"/>
  <c r="AJ16" i="4"/>
  <c r="AI16" i="4"/>
  <c r="AH16" i="4"/>
  <c r="AG16" i="4"/>
  <c r="AH8" i="4"/>
  <c r="AI8" i="4"/>
  <c r="AJ8" i="4"/>
  <c r="AK8" i="4"/>
  <c r="AG8" i="4"/>
  <c r="AF24" i="4"/>
  <c r="AE24" i="4"/>
  <c r="AD24" i="4"/>
  <c r="AC24" i="4"/>
  <c r="AB24" i="4"/>
  <c r="AF16" i="4"/>
  <c r="AE16" i="4"/>
  <c r="AD16" i="4"/>
  <c r="AC16" i="4"/>
  <c r="AB16" i="4"/>
  <c r="AD8" i="4"/>
  <c r="AE8" i="4"/>
  <c r="AF8" i="4"/>
  <c r="AC8" i="4"/>
  <c r="AB8" i="4"/>
  <c r="AA24" i="4"/>
  <c r="Z24" i="4"/>
  <c r="Y24" i="4"/>
  <c r="X24" i="4"/>
  <c r="AA16" i="4"/>
  <c r="Z16" i="4"/>
  <c r="Y16" i="4"/>
  <c r="X16" i="4"/>
  <c r="Y8" i="4"/>
  <c r="Z8" i="4"/>
  <c r="AA8" i="4"/>
  <c r="X8" i="4"/>
  <c r="W24" i="4"/>
  <c r="W16" i="4"/>
  <c r="W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L16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L25" i="4"/>
  <c r="M25" i="4"/>
  <c r="L26" i="4"/>
  <c r="M26" i="4"/>
  <c r="L27" i="4"/>
  <c r="M27" i="4"/>
  <c r="L28" i="4"/>
  <c r="M28" i="4"/>
  <c r="L29" i="4"/>
  <c r="M29" i="4"/>
  <c r="L30" i="4"/>
  <c r="M30" i="4"/>
  <c r="L31" i="4"/>
  <c r="M31" i="4"/>
  <c r="M8" i="4"/>
  <c r="L8" i="4"/>
  <c r="X68" i="3"/>
  <c r="Z68" i="3" s="1"/>
  <c r="W68" i="3"/>
  <c r="Y68" i="3" s="1"/>
  <c r="V68" i="3"/>
  <c r="U68" i="3"/>
  <c r="X64" i="3"/>
  <c r="Z64" i="3" s="1"/>
  <c r="W64" i="3"/>
  <c r="Y64" i="3" s="1"/>
  <c r="V64" i="3"/>
  <c r="U64" i="3"/>
  <c r="X60" i="3"/>
  <c r="Z60" i="3" s="1"/>
  <c r="W60" i="3"/>
  <c r="Y60" i="3" s="1"/>
  <c r="V60" i="3"/>
  <c r="U60" i="3"/>
  <c r="X56" i="3"/>
  <c r="Z56" i="3" s="1"/>
  <c r="W56" i="3"/>
  <c r="Y56" i="3" s="1"/>
  <c r="V56" i="3"/>
  <c r="U56" i="3"/>
  <c r="X52" i="3"/>
  <c r="Z52" i="3" s="1"/>
  <c r="W52" i="3"/>
  <c r="Y52" i="3" s="1"/>
  <c r="V52" i="3"/>
  <c r="U52" i="3"/>
  <c r="X48" i="3"/>
  <c r="Z48" i="3" s="1"/>
  <c r="W48" i="3"/>
  <c r="Y48" i="3" s="1"/>
  <c r="V48" i="3"/>
  <c r="U48" i="3"/>
  <c r="Y44" i="3"/>
  <c r="X44" i="3"/>
  <c r="Z44" i="3" s="1"/>
  <c r="W44" i="3"/>
  <c r="V44" i="3"/>
  <c r="U44" i="3"/>
  <c r="X40" i="3"/>
  <c r="Z40" i="3" s="1"/>
  <c r="W40" i="3"/>
  <c r="Y40" i="3" s="1"/>
  <c r="V40" i="3"/>
  <c r="U40" i="3"/>
  <c r="N41" i="3"/>
  <c r="O41" i="3"/>
  <c r="P41" i="3"/>
  <c r="Q41" i="3" s="1"/>
  <c r="N42" i="3"/>
  <c r="Q42" i="3" s="1"/>
  <c r="O42" i="3"/>
  <c r="P42" i="3"/>
  <c r="N43" i="3"/>
  <c r="Q43" i="3" s="1"/>
  <c r="O43" i="3"/>
  <c r="P43" i="3"/>
  <c r="N44" i="3"/>
  <c r="O44" i="3"/>
  <c r="P44" i="3"/>
  <c r="Q44" i="3" s="1"/>
  <c r="N45" i="3"/>
  <c r="Q45" i="3" s="1"/>
  <c r="O45" i="3"/>
  <c r="P45" i="3"/>
  <c r="N46" i="3"/>
  <c r="Q46" i="3" s="1"/>
  <c r="O46" i="3"/>
  <c r="P46" i="3"/>
  <c r="N47" i="3"/>
  <c r="O47" i="3"/>
  <c r="P47" i="3"/>
  <c r="Q47" i="3" s="1"/>
  <c r="N48" i="3"/>
  <c r="Q48" i="3" s="1"/>
  <c r="O48" i="3"/>
  <c r="P48" i="3"/>
  <c r="N49" i="3"/>
  <c r="Q49" i="3" s="1"/>
  <c r="O49" i="3"/>
  <c r="P49" i="3"/>
  <c r="N50" i="3"/>
  <c r="O50" i="3"/>
  <c r="P50" i="3"/>
  <c r="Q50" i="3" s="1"/>
  <c r="N51" i="3"/>
  <c r="Q51" i="3" s="1"/>
  <c r="O51" i="3"/>
  <c r="P51" i="3"/>
  <c r="N52" i="3"/>
  <c r="Q52" i="3" s="1"/>
  <c r="O52" i="3"/>
  <c r="P52" i="3"/>
  <c r="N53" i="3"/>
  <c r="O53" i="3"/>
  <c r="P53" i="3"/>
  <c r="Q53" i="3" s="1"/>
  <c r="N54" i="3"/>
  <c r="Q54" i="3" s="1"/>
  <c r="O54" i="3"/>
  <c r="P54" i="3"/>
  <c r="N55" i="3"/>
  <c r="Q55" i="3" s="1"/>
  <c r="O55" i="3"/>
  <c r="P55" i="3"/>
  <c r="N56" i="3"/>
  <c r="O56" i="3"/>
  <c r="P56" i="3"/>
  <c r="Q56" i="3" s="1"/>
  <c r="N57" i="3"/>
  <c r="Q57" i="3" s="1"/>
  <c r="O57" i="3"/>
  <c r="P57" i="3"/>
  <c r="N58" i="3"/>
  <c r="Q58" i="3" s="1"/>
  <c r="O58" i="3"/>
  <c r="P58" i="3"/>
  <c r="N59" i="3"/>
  <c r="O59" i="3"/>
  <c r="P59" i="3"/>
  <c r="Q59" i="3" s="1"/>
  <c r="N60" i="3"/>
  <c r="Q60" i="3" s="1"/>
  <c r="O60" i="3"/>
  <c r="P60" i="3"/>
  <c r="N61" i="3"/>
  <c r="Q61" i="3" s="1"/>
  <c r="O61" i="3"/>
  <c r="P61" i="3"/>
  <c r="N62" i="3"/>
  <c r="O62" i="3"/>
  <c r="P62" i="3"/>
  <c r="Q62" i="3" s="1"/>
  <c r="N63" i="3"/>
  <c r="Q63" i="3" s="1"/>
  <c r="O63" i="3"/>
  <c r="P63" i="3"/>
  <c r="N64" i="3"/>
  <c r="Q64" i="3" s="1"/>
  <c r="O64" i="3"/>
  <c r="P64" i="3"/>
  <c r="N65" i="3"/>
  <c r="O65" i="3"/>
  <c r="P65" i="3"/>
  <c r="Q65" i="3" s="1"/>
  <c r="N66" i="3"/>
  <c r="Q66" i="3" s="1"/>
  <c r="O66" i="3"/>
  <c r="P66" i="3"/>
  <c r="N67" i="3"/>
  <c r="Q67" i="3" s="1"/>
  <c r="O67" i="3"/>
  <c r="P67" i="3"/>
  <c r="N68" i="3"/>
  <c r="O68" i="3"/>
  <c r="P68" i="3"/>
  <c r="Q68" i="3" s="1"/>
  <c r="N69" i="3"/>
  <c r="Q69" i="3" s="1"/>
  <c r="O69" i="3"/>
  <c r="P69" i="3"/>
  <c r="N70" i="3"/>
  <c r="Q70" i="3" s="1"/>
  <c r="O70" i="3"/>
  <c r="P70" i="3"/>
  <c r="N71" i="3"/>
  <c r="Q71" i="3" s="1"/>
  <c r="O71" i="3"/>
  <c r="P71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T40" i="3" s="1"/>
  <c r="Q40" i="3"/>
  <c r="P40" i="3"/>
  <c r="O40" i="3"/>
  <c r="N40" i="3"/>
  <c r="X35" i="3"/>
  <c r="Z35" i="3" s="1"/>
  <c r="W35" i="3"/>
  <c r="Y35" i="3" s="1"/>
  <c r="V35" i="3"/>
  <c r="U35" i="3"/>
  <c r="X31" i="3"/>
  <c r="Z31" i="3" s="1"/>
  <c r="W31" i="3"/>
  <c r="Y31" i="3" s="1"/>
  <c r="V31" i="3"/>
  <c r="U31" i="3"/>
  <c r="X27" i="3"/>
  <c r="Z27" i="3" s="1"/>
  <c r="W27" i="3"/>
  <c r="Y27" i="3" s="1"/>
  <c r="V27" i="3"/>
  <c r="U27" i="3"/>
  <c r="X23" i="3"/>
  <c r="Z23" i="3" s="1"/>
  <c r="W23" i="3"/>
  <c r="Y23" i="3" s="1"/>
  <c r="V23" i="3"/>
  <c r="U23" i="3"/>
  <c r="X19" i="3"/>
  <c r="Z19" i="3" s="1"/>
  <c r="W19" i="3"/>
  <c r="Y19" i="3" s="1"/>
  <c r="V19" i="3"/>
  <c r="U19" i="3"/>
  <c r="X15" i="3"/>
  <c r="Z15" i="3" s="1"/>
  <c r="W15" i="3"/>
  <c r="Y15" i="3" s="1"/>
  <c r="V15" i="3"/>
  <c r="U15" i="3"/>
  <c r="X11" i="3"/>
  <c r="Z11" i="3" s="1"/>
  <c r="W11" i="3"/>
  <c r="Y11" i="3" s="1"/>
  <c r="V11" i="3"/>
  <c r="U11" i="3"/>
  <c r="Z7" i="3"/>
  <c r="Y7" i="3"/>
  <c r="X7" i="3"/>
  <c r="W7" i="3"/>
  <c r="V7" i="3"/>
  <c r="U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O7" i="3"/>
  <c r="N7" i="3"/>
  <c r="R38" i="3"/>
  <c r="M38" i="3"/>
  <c r="R37" i="3"/>
  <c r="M37" i="3"/>
  <c r="R36" i="3"/>
  <c r="M36" i="3"/>
  <c r="R35" i="3"/>
  <c r="M35" i="3"/>
  <c r="R34" i="3"/>
  <c r="M34" i="3"/>
  <c r="R33" i="3"/>
  <c r="M33" i="3"/>
  <c r="R32" i="3"/>
  <c r="M32" i="3"/>
  <c r="R31" i="3"/>
  <c r="M31" i="3"/>
  <c r="R30" i="3"/>
  <c r="M30" i="3"/>
  <c r="R29" i="3"/>
  <c r="M29" i="3"/>
  <c r="R28" i="3"/>
  <c r="M28" i="3"/>
  <c r="R27" i="3"/>
  <c r="M27" i="3"/>
  <c r="R26" i="3"/>
  <c r="M26" i="3"/>
  <c r="R25" i="3"/>
  <c r="M25" i="3"/>
  <c r="R24" i="3"/>
  <c r="M24" i="3"/>
  <c r="R23" i="3"/>
  <c r="M23" i="3"/>
  <c r="R22" i="3"/>
  <c r="M22" i="3"/>
  <c r="R21" i="3"/>
  <c r="M21" i="3"/>
  <c r="R20" i="3"/>
  <c r="M20" i="3"/>
  <c r="R19" i="3"/>
  <c r="M19" i="3"/>
  <c r="R18" i="3"/>
  <c r="M18" i="3"/>
  <c r="R17" i="3"/>
  <c r="M17" i="3"/>
  <c r="R16" i="3"/>
  <c r="M16" i="3"/>
  <c r="R15" i="3"/>
  <c r="M15" i="3"/>
  <c r="R14" i="3"/>
  <c r="M14" i="3"/>
  <c r="R13" i="3"/>
  <c r="M13" i="3"/>
  <c r="R12" i="3"/>
  <c r="M12" i="3"/>
  <c r="R11" i="3"/>
  <c r="M11" i="3"/>
  <c r="R10" i="3"/>
  <c r="M10" i="3"/>
  <c r="R9" i="3"/>
  <c r="M9" i="3"/>
  <c r="R8" i="3"/>
  <c r="M8" i="3"/>
  <c r="R7" i="3"/>
  <c r="M7" i="3"/>
  <c r="C5" i="3"/>
  <c r="AD73" i="5" l="1"/>
  <c r="AL73" i="5" s="1"/>
  <c r="AF73" i="5"/>
  <c r="AN73" i="5" s="1"/>
  <c r="AH73" i="5"/>
  <c r="AP73" i="5" s="1"/>
  <c r="AB73" i="5"/>
  <c r="AJ73" i="5" s="1"/>
  <c r="Y73" i="5" s="1"/>
  <c r="Z73" i="5" s="1"/>
  <c r="O70" i="5"/>
  <c r="AD71" i="5"/>
  <c r="AL71" i="5" s="1"/>
  <c r="AF71" i="5"/>
  <c r="AN71" i="5" s="1"/>
  <c r="AB71" i="5"/>
  <c r="AJ71" i="5" s="1"/>
  <c r="AH71" i="5"/>
  <c r="AP71" i="5" s="1"/>
  <c r="AF83" i="5"/>
  <c r="AN83" i="5" s="1"/>
  <c r="AD83" i="5"/>
  <c r="AL83" i="5" s="1"/>
  <c r="AB83" i="5"/>
  <c r="AJ83" i="5" s="1"/>
  <c r="AH83" i="5"/>
  <c r="AP83" i="5" s="1"/>
  <c r="AB256" i="5"/>
  <c r="AJ256" i="5" s="1"/>
  <c r="AD256" i="5"/>
  <c r="AL256" i="5" s="1"/>
  <c r="AF256" i="5"/>
  <c r="AN256" i="5" s="1"/>
  <c r="AH256" i="5"/>
  <c r="AP256" i="5" s="1"/>
  <c r="O250" i="5"/>
  <c r="AA244" i="5"/>
  <c r="AI244" i="5" s="1"/>
  <c r="AC244" i="5"/>
  <c r="AK244" i="5" s="1"/>
  <c r="AE244" i="5"/>
  <c r="AM244" i="5" s="1"/>
  <c r="AG244" i="5"/>
  <c r="AO244" i="5" s="1"/>
  <c r="O238" i="5"/>
  <c r="AA232" i="5"/>
  <c r="AI232" i="5" s="1"/>
  <c r="AC232" i="5"/>
  <c r="AK232" i="5" s="1"/>
  <c r="AE232" i="5"/>
  <c r="AM232" i="5" s="1"/>
  <c r="AG232" i="5"/>
  <c r="AO232" i="5" s="1"/>
  <c r="O226" i="5"/>
  <c r="AA220" i="5"/>
  <c r="AI220" i="5" s="1"/>
  <c r="AC220" i="5"/>
  <c r="AK220" i="5" s="1"/>
  <c r="AE220" i="5"/>
  <c r="AM220" i="5" s="1"/>
  <c r="AG220" i="5"/>
  <c r="AO220" i="5" s="1"/>
  <c r="O214" i="5"/>
  <c r="AH208" i="5"/>
  <c r="AP208" i="5" s="1"/>
  <c r="AB208" i="5"/>
  <c r="AJ208" i="5" s="1"/>
  <c r="AD208" i="5"/>
  <c r="AL208" i="5" s="1"/>
  <c r="AF208" i="5"/>
  <c r="AN208" i="5" s="1"/>
  <c r="O202" i="5"/>
  <c r="O196" i="5"/>
  <c r="O190" i="5"/>
  <c r="O184" i="5"/>
  <c r="O178" i="5"/>
  <c r="O172" i="5"/>
  <c r="O166" i="5"/>
  <c r="O160" i="5"/>
  <c r="O154" i="5"/>
  <c r="O148" i="5"/>
  <c r="O142" i="5"/>
  <c r="O136" i="5"/>
  <c r="O130" i="5"/>
  <c r="O124" i="5"/>
  <c r="O118" i="5"/>
  <c r="O112" i="5"/>
  <c r="O106" i="5"/>
  <c r="O100" i="5"/>
  <c r="O94" i="5"/>
  <c r="O88" i="5"/>
  <c r="O75" i="5"/>
  <c r="AD76" i="5"/>
  <c r="AL76" i="5" s="1"/>
  <c r="AF76" i="5"/>
  <c r="AN76" i="5" s="1"/>
  <c r="AH76" i="5"/>
  <c r="AP76" i="5" s="1"/>
  <c r="AB76" i="5"/>
  <c r="AJ76" i="5" s="1"/>
  <c r="AB261" i="5"/>
  <c r="AJ261" i="5" s="1"/>
  <c r="AD261" i="5"/>
  <c r="AL261" i="5" s="1"/>
  <c r="AF261" i="5"/>
  <c r="AN261" i="5" s="1"/>
  <c r="AH261" i="5"/>
  <c r="AP261" i="5" s="1"/>
  <c r="AB255" i="5"/>
  <c r="AJ255" i="5" s="1"/>
  <c r="AD255" i="5"/>
  <c r="AL255" i="5" s="1"/>
  <c r="AH255" i="5"/>
  <c r="AP255" i="5" s="1"/>
  <c r="AF255" i="5"/>
  <c r="AN255" i="5" s="1"/>
  <c r="AB249" i="5"/>
  <c r="AJ249" i="5" s="1"/>
  <c r="Y249" i="5" s="1"/>
  <c r="Z249" i="5" s="1"/>
  <c r="AD249" i="5"/>
  <c r="AL249" i="5" s="1"/>
  <c r="AF249" i="5"/>
  <c r="AN249" i="5" s="1"/>
  <c r="AH249" i="5"/>
  <c r="AP249" i="5" s="1"/>
  <c r="AA243" i="5"/>
  <c r="AI243" i="5" s="1"/>
  <c r="AC243" i="5"/>
  <c r="AK243" i="5" s="1"/>
  <c r="AE243" i="5"/>
  <c r="AM243" i="5" s="1"/>
  <c r="AG243" i="5"/>
  <c r="AO243" i="5" s="1"/>
  <c r="AA237" i="5"/>
  <c r="AI237" i="5" s="1"/>
  <c r="AC237" i="5"/>
  <c r="AK237" i="5" s="1"/>
  <c r="AE237" i="5"/>
  <c r="AM237" i="5" s="1"/>
  <c r="AG237" i="5"/>
  <c r="AO237" i="5" s="1"/>
  <c r="O231" i="5"/>
  <c r="AA225" i="5"/>
  <c r="AI225" i="5" s="1"/>
  <c r="AC225" i="5"/>
  <c r="AK225" i="5" s="1"/>
  <c r="AE225" i="5"/>
  <c r="AM225" i="5" s="1"/>
  <c r="AG225" i="5"/>
  <c r="AO225" i="5" s="1"/>
  <c r="O219" i="5"/>
  <c r="AD213" i="5"/>
  <c r="AL213" i="5" s="1"/>
  <c r="AF213" i="5"/>
  <c r="AN213" i="5" s="1"/>
  <c r="AH213" i="5"/>
  <c r="AP213" i="5" s="1"/>
  <c r="AB213" i="5"/>
  <c r="AJ213" i="5" s="1"/>
  <c r="Y213" i="5" s="1"/>
  <c r="Z213" i="5" s="1"/>
  <c r="O207" i="5"/>
  <c r="AB201" i="5"/>
  <c r="AJ201" i="5" s="1"/>
  <c r="AD201" i="5"/>
  <c r="AL201" i="5" s="1"/>
  <c r="AF201" i="5"/>
  <c r="AN201" i="5" s="1"/>
  <c r="AH201" i="5"/>
  <c r="AP201" i="5" s="1"/>
  <c r="O195" i="5"/>
  <c r="O189" i="5"/>
  <c r="O177" i="5"/>
  <c r="O171" i="5"/>
  <c r="O165" i="5"/>
  <c r="O159" i="5"/>
  <c r="O153" i="5"/>
  <c r="O147" i="5"/>
  <c r="O141" i="5"/>
  <c r="O135" i="5"/>
  <c r="O129" i="5"/>
  <c r="O123" i="5"/>
  <c r="O117" i="5"/>
  <c r="O111" i="5"/>
  <c r="O105" i="5"/>
  <c r="O99" i="5"/>
  <c r="O93" i="5"/>
  <c r="O87" i="5"/>
  <c r="O82" i="5"/>
  <c r="O86" i="5"/>
  <c r="O80" i="5"/>
  <c r="O74" i="5"/>
  <c r="O81" i="5"/>
  <c r="AB260" i="5"/>
  <c r="AJ260" i="5" s="1"/>
  <c r="AD260" i="5"/>
  <c r="AL260" i="5" s="1"/>
  <c r="AH260" i="5"/>
  <c r="AP260" i="5" s="1"/>
  <c r="AF260" i="5"/>
  <c r="AN260" i="5" s="1"/>
  <c r="Y260" i="5" s="1"/>
  <c r="Z260" i="5" s="1"/>
  <c r="AB254" i="5"/>
  <c r="AJ254" i="5" s="1"/>
  <c r="AD254" i="5"/>
  <c r="AL254" i="5" s="1"/>
  <c r="AF254" i="5"/>
  <c r="AN254" i="5" s="1"/>
  <c r="Y254" i="5" s="1"/>
  <c r="Z254" i="5" s="1"/>
  <c r="AH254" i="5"/>
  <c r="AP254" i="5" s="1"/>
  <c r="AB248" i="5"/>
  <c r="AJ248" i="5" s="1"/>
  <c r="AD248" i="5"/>
  <c r="AL248" i="5" s="1"/>
  <c r="AF248" i="5"/>
  <c r="AN248" i="5" s="1"/>
  <c r="AH248" i="5"/>
  <c r="AP248" i="5" s="1"/>
  <c r="AA242" i="5"/>
  <c r="AI242" i="5" s="1"/>
  <c r="AC242" i="5"/>
  <c r="AK242" i="5" s="1"/>
  <c r="AE242" i="5"/>
  <c r="AM242" i="5" s="1"/>
  <c r="AG242" i="5"/>
  <c r="AO242" i="5" s="1"/>
  <c r="AA236" i="5"/>
  <c r="AI236" i="5" s="1"/>
  <c r="AC236" i="5"/>
  <c r="AK236" i="5" s="1"/>
  <c r="AE236" i="5"/>
  <c r="AM236" i="5" s="1"/>
  <c r="AG236" i="5"/>
  <c r="AO236" i="5" s="1"/>
  <c r="O230" i="5"/>
  <c r="AA224" i="5"/>
  <c r="AI224" i="5" s="1"/>
  <c r="AC224" i="5"/>
  <c r="AK224" i="5" s="1"/>
  <c r="AE224" i="5"/>
  <c r="AM224" i="5" s="1"/>
  <c r="AG224" i="5"/>
  <c r="AO224" i="5" s="1"/>
  <c r="O218" i="5"/>
  <c r="AH212" i="5"/>
  <c r="AP212" i="5" s="1"/>
  <c r="AF212" i="5"/>
  <c r="AN212" i="5" s="1"/>
  <c r="AB212" i="5"/>
  <c r="AJ212" i="5" s="1"/>
  <c r="AD212" i="5"/>
  <c r="AL212" i="5" s="1"/>
  <c r="O206" i="5"/>
  <c r="AB200" i="5"/>
  <c r="AJ200" i="5" s="1"/>
  <c r="AD200" i="5"/>
  <c r="AL200" i="5" s="1"/>
  <c r="AF200" i="5"/>
  <c r="AN200" i="5" s="1"/>
  <c r="AH200" i="5"/>
  <c r="AP200" i="5" s="1"/>
  <c r="O194" i="5"/>
  <c r="O188" i="5"/>
  <c r="O182" i="5"/>
  <c r="O176" i="5"/>
  <c r="O170" i="5"/>
  <c r="O164" i="5"/>
  <c r="O158" i="5"/>
  <c r="O152" i="5"/>
  <c r="O146" i="5"/>
  <c r="O140" i="5"/>
  <c r="O134" i="5"/>
  <c r="O128" i="5"/>
  <c r="O122" i="5"/>
  <c r="O116" i="5"/>
  <c r="O110" i="5"/>
  <c r="O104" i="5"/>
  <c r="O98" i="5"/>
  <c r="O92" i="5"/>
  <c r="O85" i="5"/>
  <c r="O79" i="5"/>
  <c r="AB259" i="5"/>
  <c r="AJ259" i="5" s="1"/>
  <c r="AD259" i="5"/>
  <c r="AL259" i="5" s="1"/>
  <c r="AF259" i="5"/>
  <c r="AN259" i="5" s="1"/>
  <c r="AH259" i="5"/>
  <c r="AP259" i="5" s="1"/>
  <c r="O253" i="5"/>
  <c r="O247" i="5"/>
  <c r="O241" i="5"/>
  <c r="O235" i="5"/>
  <c r="O229" i="5"/>
  <c r="O223" i="5"/>
  <c r="O217" i="5"/>
  <c r="O211" i="5"/>
  <c r="O205" i="5"/>
  <c r="O199" i="5"/>
  <c r="O193" i="5"/>
  <c r="O187" i="5"/>
  <c r="O181" i="5"/>
  <c r="O175" i="5"/>
  <c r="O169" i="5"/>
  <c r="O163" i="5"/>
  <c r="O157" i="5"/>
  <c r="O151" i="5"/>
  <c r="O145" i="5"/>
  <c r="O139" i="5"/>
  <c r="O133" i="5"/>
  <c r="O127" i="5"/>
  <c r="O121" i="5"/>
  <c r="O115" i="5"/>
  <c r="O109" i="5"/>
  <c r="O103" i="5"/>
  <c r="O97" i="5"/>
  <c r="O91" i="5"/>
  <c r="O84" i="5"/>
  <c r="O78" i="5"/>
  <c r="O72" i="5"/>
  <c r="AB258" i="5"/>
  <c r="AJ258" i="5" s="1"/>
  <c r="AD258" i="5"/>
  <c r="AL258" i="5" s="1"/>
  <c r="AF258" i="5"/>
  <c r="AN258" i="5" s="1"/>
  <c r="AH258" i="5"/>
  <c r="AP258" i="5" s="1"/>
  <c r="AB252" i="5"/>
  <c r="AJ252" i="5" s="1"/>
  <c r="AD252" i="5"/>
  <c r="AL252" i="5" s="1"/>
  <c r="AF252" i="5"/>
  <c r="AN252" i="5" s="1"/>
  <c r="AH252" i="5"/>
  <c r="AP252" i="5" s="1"/>
  <c r="AH246" i="5"/>
  <c r="AP246" i="5" s="1"/>
  <c r="AB246" i="5"/>
  <c r="AJ246" i="5" s="1"/>
  <c r="AF246" i="5"/>
  <c r="AN246" i="5" s="1"/>
  <c r="AD246" i="5"/>
  <c r="AL246" i="5" s="1"/>
  <c r="AA240" i="5"/>
  <c r="AI240" i="5" s="1"/>
  <c r="AC240" i="5"/>
  <c r="AK240" i="5" s="1"/>
  <c r="AE240" i="5"/>
  <c r="AM240" i="5" s="1"/>
  <c r="AG240" i="5"/>
  <c r="AO240" i="5" s="1"/>
  <c r="AA234" i="5"/>
  <c r="AI234" i="5" s="1"/>
  <c r="AC234" i="5"/>
  <c r="AK234" i="5" s="1"/>
  <c r="AE234" i="5"/>
  <c r="AM234" i="5" s="1"/>
  <c r="AG234" i="5"/>
  <c r="AO234" i="5" s="1"/>
  <c r="O228" i="5"/>
  <c r="AA222" i="5"/>
  <c r="AI222" i="5" s="1"/>
  <c r="AC222" i="5"/>
  <c r="AK222" i="5" s="1"/>
  <c r="AE222" i="5"/>
  <c r="AM222" i="5" s="1"/>
  <c r="AG222" i="5"/>
  <c r="AO222" i="5" s="1"/>
  <c r="O216" i="5"/>
  <c r="O210" i="5"/>
  <c r="O204" i="5"/>
  <c r="O198" i="5"/>
  <c r="O192" i="5"/>
  <c r="O186" i="5"/>
  <c r="O180" i="5"/>
  <c r="O174" i="5"/>
  <c r="O168" i="5"/>
  <c r="O162" i="5"/>
  <c r="O156" i="5"/>
  <c r="O150" i="5"/>
  <c r="O144" i="5"/>
  <c r="O138" i="5"/>
  <c r="O132" i="5"/>
  <c r="O126" i="5"/>
  <c r="O120" i="5"/>
  <c r="O114" i="5"/>
  <c r="O108" i="5"/>
  <c r="O102" i="5"/>
  <c r="O96" i="5"/>
  <c r="O90" i="5"/>
  <c r="O77" i="5"/>
  <c r="O257" i="5"/>
  <c r="O251" i="5"/>
  <c r="O245" i="5"/>
  <c r="O239" i="5"/>
  <c r="O233" i="5"/>
  <c r="O227" i="5"/>
  <c r="O221" i="5"/>
  <c r="O215" i="5"/>
  <c r="O209" i="5"/>
  <c r="O203" i="5"/>
  <c r="O197" i="5"/>
  <c r="O191" i="5"/>
  <c r="O185" i="5"/>
  <c r="O179" i="5"/>
  <c r="O173" i="5"/>
  <c r="O167" i="5"/>
  <c r="O161" i="5"/>
  <c r="O155" i="5"/>
  <c r="O149" i="5"/>
  <c r="O143" i="5"/>
  <c r="O137" i="5"/>
  <c r="O131" i="5"/>
  <c r="O125" i="5"/>
  <c r="O119" i="5"/>
  <c r="O113" i="5"/>
  <c r="O107" i="5"/>
  <c r="O95" i="5"/>
  <c r="O89" i="5"/>
  <c r="Z211" i="2"/>
  <c r="AA211" i="2" s="1"/>
  <c r="X211" i="2"/>
  <c r="W211" i="2"/>
  <c r="Y211" i="2" s="1"/>
  <c r="V211" i="2"/>
  <c r="U211" i="2"/>
  <c r="T211" i="2"/>
  <c r="Z207" i="2"/>
  <c r="AA207" i="2" s="1"/>
  <c r="X207" i="2"/>
  <c r="W207" i="2"/>
  <c r="Y207" i="2" s="1"/>
  <c r="V207" i="2"/>
  <c r="U207" i="2"/>
  <c r="T207" i="2"/>
  <c r="Z203" i="2"/>
  <c r="AA203" i="2" s="1"/>
  <c r="W203" i="2"/>
  <c r="Y203" i="2" s="1"/>
  <c r="V203" i="2"/>
  <c r="X203" i="2" s="1"/>
  <c r="U203" i="2"/>
  <c r="T203" i="2"/>
  <c r="Z199" i="2"/>
  <c r="AA199" i="2" s="1"/>
  <c r="X199" i="2"/>
  <c r="W199" i="2"/>
  <c r="Y199" i="2" s="1"/>
  <c r="V199" i="2"/>
  <c r="U199" i="2"/>
  <c r="T199" i="2"/>
  <c r="Z195" i="2"/>
  <c r="AA195" i="2" s="1"/>
  <c r="W195" i="2"/>
  <c r="Y195" i="2" s="1"/>
  <c r="V195" i="2"/>
  <c r="X195" i="2" s="1"/>
  <c r="U195" i="2"/>
  <c r="T195" i="2"/>
  <c r="Z191" i="2"/>
  <c r="AA191" i="2" s="1"/>
  <c r="W191" i="2"/>
  <c r="Y191" i="2" s="1"/>
  <c r="V191" i="2"/>
  <c r="X191" i="2" s="1"/>
  <c r="U191" i="2"/>
  <c r="T191" i="2"/>
  <c r="Z187" i="2"/>
  <c r="AA187" i="2" s="1"/>
  <c r="W187" i="2"/>
  <c r="Y187" i="2" s="1"/>
  <c r="V187" i="2"/>
  <c r="X187" i="2" s="1"/>
  <c r="U187" i="2"/>
  <c r="T187" i="2"/>
  <c r="Z183" i="2"/>
  <c r="AA183" i="2" s="1"/>
  <c r="W183" i="2"/>
  <c r="Y183" i="2" s="1"/>
  <c r="V183" i="2"/>
  <c r="X183" i="2" s="1"/>
  <c r="U183" i="2"/>
  <c r="T183" i="2"/>
  <c r="N184" i="2"/>
  <c r="Q184" i="2" s="1"/>
  <c r="R184" i="2" s="1"/>
  <c r="O184" i="2"/>
  <c r="S184" i="2" s="1"/>
  <c r="P184" i="2"/>
  <c r="N185" i="2"/>
  <c r="O185" i="2"/>
  <c r="P185" i="2"/>
  <c r="Q185" i="2" s="1"/>
  <c r="N186" i="2"/>
  <c r="Q186" i="2" s="1"/>
  <c r="R186" i="2" s="1"/>
  <c r="O186" i="2"/>
  <c r="S186" i="2" s="1"/>
  <c r="P186" i="2"/>
  <c r="N187" i="2"/>
  <c r="O187" i="2"/>
  <c r="P187" i="2"/>
  <c r="Q187" i="2" s="1"/>
  <c r="N188" i="2"/>
  <c r="Q188" i="2" s="1"/>
  <c r="R188" i="2" s="1"/>
  <c r="O188" i="2"/>
  <c r="S188" i="2" s="1"/>
  <c r="P188" i="2"/>
  <c r="N189" i="2"/>
  <c r="O189" i="2"/>
  <c r="P189" i="2"/>
  <c r="Q189" i="2" s="1"/>
  <c r="N190" i="2"/>
  <c r="Q190" i="2" s="1"/>
  <c r="R190" i="2" s="1"/>
  <c r="O190" i="2"/>
  <c r="S190" i="2" s="1"/>
  <c r="P190" i="2"/>
  <c r="N191" i="2"/>
  <c r="O191" i="2"/>
  <c r="P191" i="2"/>
  <c r="Q191" i="2" s="1"/>
  <c r="N192" i="2"/>
  <c r="Q192" i="2" s="1"/>
  <c r="R192" i="2" s="1"/>
  <c r="O192" i="2"/>
  <c r="S192" i="2" s="1"/>
  <c r="P192" i="2"/>
  <c r="N193" i="2"/>
  <c r="O193" i="2"/>
  <c r="P193" i="2"/>
  <c r="Q193" i="2" s="1"/>
  <c r="N194" i="2"/>
  <c r="Q194" i="2" s="1"/>
  <c r="R194" i="2" s="1"/>
  <c r="O194" i="2"/>
  <c r="S194" i="2" s="1"/>
  <c r="P194" i="2"/>
  <c r="N195" i="2"/>
  <c r="O195" i="2"/>
  <c r="P195" i="2"/>
  <c r="Q195" i="2" s="1"/>
  <c r="N196" i="2"/>
  <c r="Q196" i="2" s="1"/>
  <c r="R196" i="2" s="1"/>
  <c r="O196" i="2"/>
  <c r="S196" i="2" s="1"/>
  <c r="P196" i="2"/>
  <c r="N197" i="2"/>
  <c r="O197" i="2"/>
  <c r="P197" i="2"/>
  <c r="Q197" i="2" s="1"/>
  <c r="N198" i="2"/>
  <c r="Q198" i="2" s="1"/>
  <c r="R198" i="2" s="1"/>
  <c r="O198" i="2"/>
  <c r="S198" i="2" s="1"/>
  <c r="P198" i="2"/>
  <c r="N199" i="2"/>
  <c r="O199" i="2"/>
  <c r="P199" i="2"/>
  <c r="Q199" i="2" s="1"/>
  <c r="N200" i="2"/>
  <c r="Q200" i="2" s="1"/>
  <c r="R200" i="2" s="1"/>
  <c r="O200" i="2"/>
  <c r="S200" i="2" s="1"/>
  <c r="P200" i="2"/>
  <c r="N201" i="2"/>
  <c r="O201" i="2"/>
  <c r="P201" i="2"/>
  <c r="Q201" i="2" s="1"/>
  <c r="N202" i="2"/>
  <c r="Q202" i="2" s="1"/>
  <c r="R202" i="2" s="1"/>
  <c r="O202" i="2"/>
  <c r="S202" i="2" s="1"/>
  <c r="P202" i="2"/>
  <c r="N203" i="2"/>
  <c r="O203" i="2"/>
  <c r="P203" i="2"/>
  <c r="Q203" i="2" s="1"/>
  <c r="N204" i="2"/>
  <c r="Q204" i="2" s="1"/>
  <c r="R204" i="2" s="1"/>
  <c r="O204" i="2"/>
  <c r="S204" i="2" s="1"/>
  <c r="P204" i="2"/>
  <c r="N205" i="2"/>
  <c r="O205" i="2"/>
  <c r="P205" i="2"/>
  <c r="Q205" i="2" s="1"/>
  <c r="N206" i="2"/>
  <c r="Q206" i="2" s="1"/>
  <c r="R206" i="2" s="1"/>
  <c r="O206" i="2"/>
  <c r="S206" i="2" s="1"/>
  <c r="P206" i="2"/>
  <c r="N207" i="2"/>
  <c r="O207" i="2"/>
  <c r="P207" i="2"/>
  <c r="Q207" i="2" s="1"/>
  <c r="N208" i="2"/>
  <c r="Q208" i="2" s="1"/>
  <c r="R208" i="2" s="1"/>
  <c r="O208" i="2"/>
  <c r="S208" i="2" s="1"/>
  <c r="P208" i="2"/>
  <c r="N209" i="2"/>
  <c r="O209" i="2"/>
  <c r="P209" i="2"/>
  <c r="Q209" i="2" s="1"/>
  <c r="N210" i="2"/>
  <c r="Q210" i="2" s="1"/>
  <c r="R210" i="2" s="1"/>
  <c r="O210" i="2"/>
  <c r="S210" i="2" s="1"/>
  <c r="P210" i="2"/>
  <c r="N211" i="2"/>
  <c r="O211" i="2"/>
  <c r="P211" i="2"/>
  <c r="Q211" i="2" s="1"/>
  <c r="N212" i="2"/>
  <c r="Q212" i="2" s="1"/>
  <c r="R212" i="2" s="1"/>
  <c r="O212" i="2"/>
  <c r="S212" i="2" s="1"/>
  <c r="P212" i="2"/>
  <c r="N213" i="2"/>
  <c r="O213" i="2"/>
  <c r="P213" i="2"/>
  <c r="Q213" i="2" s="1"/>
  <c r="N214" i="2"/>
  <c r="Q214" i="2" s="1"/>
  <c r="R214" i="2" s="1"/>
  <c r="O214" i="2"/>
  <c r="S214" i="2" s="1"/>
  <c r="P214" i="2"/>
  <c r="P183" i="2"/>
  <c r="Q183" i="2" s="1"/>
  <c r="R183" i="2" s="1"/>
  <c r="O183" i="2"/>
  <c r="N183" i="2"/>
  <c r="Z178" i="2"/>
  <c r="AA178" i="2" s="1"/>
  <c r="X178" i="2"/>
  <c r="W178" i="2"/>
  <c r="Y178" i="2" s="1"/>
  <c r="V178" i="2"/>
  <c r="U178" i="2"/>
  <c r="T178" i="2"/>
  <c r="Z174" i="2"/>
  <c r="AA174" i="2" s="1"/>
  <c r="X174" i="2"/>
  <c r="W174" i="2"/>
  <c r="Y174" i="2" s="1"/>
  <c r="V174" i="2"/>
  <c r="U174" i="2"/>
  <c r="T174" i="2"/>
  <c r="Z170" i="2"/>
  <c r="AA170" i="2" s="1"/>
  <c r="X170" i="2"/>
  <c r="W170" i="2"/>
  <c r="Y170" i="2" s="1"/>
  <c r="V170" i="2"/>
  <c r="U170" i="2"/>
  <c r="T170" i="2"/>
  <c r="Z166" i="2"/>
  <c r="AA166" i="2" s="1"/>
  <c r="X166" i="2"/>
  <c r="W166" i="2"/>
  <c r="Y166" i="2" s="1"/>
  <c r="V166" i="2"/>
  <c r="U166" i="2"/>
  <c r="T166" i="2"/>
  <c r="AA162" i="2"/>
  <c r="Z162" i="2"/>
  <c r="W162" i="2"/>
  <c r="Y162" i="2" s="1"/>
  <c r="V162" i="2"/>
  <c r="X162" i="2" s="1"/>
  <c r="U162" i="2"/>
  <c r="T162" i="2"/>
  <c r="Z158" i="2"/>
  <c r="AA158" i="2" s="1"/>
  <c r="Y158" i="2"/>
  <c r="W158" i="2"/>
  <c r="V158" i="2"/>
  <c r="X158" i="2" s="1"/>
  <c r="U158" i="2"/>
  <c r="T158" i="2"/>
  <c r="Z154" i="2"/>
  <c r="AA154" i="2" s="1"/>
  <c r="Y154" i="2"/>
  <c r="W154" i="2"/>
  <c r="V154" i="2"/>
  <c r="X154" i="2" s="1"/>
  <c r="U154" i="2"/>
  <c r="T154" i="2"/>
  <c r="Z150" i="2"/>
  <c r="AA150" i="2" s="1"/>
  <c r="X150" i="2"/>
  <c r="W150" i="2"/>
  <c r="Y150" i="2" s="1"/>
  <c r="V150" i="2"/>
  <c r="U150" i="2"/>
  <c r="T150" i="2"/>
  <c r="N151" i="2"/>
  <c r="O151" i="2"/>
  <c r="P151" i="2"/>
  <c r="Q151" i="2" s="1"/>
  <c r="R151" i="2" s="1"/>
  <c r="N152" i="2"/>
  <c r="O152" i="2"/>
  <c r="P152" i="2"/>
  <c r="Q152" i="2"/>
  <c r="S152" i="2" s="1"/>
  <c r="R152" i="2"/>
  <c r="N153" i="2"/>
  <c r="O153" i="2"/>
  <c r="P153" i="2"/>
  <c r="Q153" i="2" s="1"/>
  <c r="R153" i="2" s="1"/>
  <c r="N154" i="2"/>
  <c r="O154" i="2"/>
  <c r="P154" i="2"/>
  <c r="Q154" i="2"/>
  <c r="S154" i="2" s="1"/>
  <c r="R154" i="2"/>
  <c r="N155" i="2"/>
  <c r="O155" i="2"/>
  <c r="P155" i="2"/>
  <c r="Q155" i="2" s="1"/>
  <c r="R155" i="2" s="1"/>
  <c r="N156" i="2"/>
  <c r="O156" i="2"/>
  <c r="P156" i="2"/>
  <c r="Q156" i="2"/>
  <c r="S156" i="2" s="1"/>
  <c r="R156" i="2"/>
  <c r="N157" i="2"/>
  <c r="O157" i="2"/>
  <c r="P157" i="2"/>
  <c r="Q157" i="2" s="1"/>
  <c r="R157" i="2" s="1"/>
  <c r="N158" i="2"/>
  <c r="O158" i="2"/>
  <c r="P158" i="2"/>
  <c r="Q158" i="2"/>
  <c r="S158" i="2" s="1"/>
  <c r="R158" i="2"/>
  <c r="N159" i="2"/>
  <c r="O159" i="2"/>
  <c r="P159" i="2"/>
  <c r="Q159" i="2" s="1"/>
  <c r="R159" i="2" s="1"/>
  <c r="N160" i="2"/>
  <c r="O160" i="2"/>
  <c r="P160" i="2"/>
  <c r="Q160" i="2"/>
  <c r="S160" i="2" s="1"/>
  <c r="R160" i="2"/>
  <c r="N161" i="2"/>
  <c r="O161" i="2"/>
  <c r="P161" i="2"/>
  <c r="Q161" i="2" s="1"/>
  <c r="R161" i="2" s="1"/>
  <c r="N162" i="2"/>
  <c r="O162" i="2"/>
  <c r="P162" i="2"/>
  <c r="Q162" i="2"/>
  <c r="S162" i="2" s="1"/>
  <c r="R162" i="2"/>
  <c r="N163" i="2"/>
  <c r="O163" i="2"/>
  <c r="P163" i="2"/>
  <c r="Q163" i="2" s="1"/>
  <c r="R163" i="2" s="1"/>
  <c r="N164" i="2"/>
  <c r="O164" i="2"/>
  <c r="P164" i="2"/>
  <c r="Q164" i="2"/>
  <c r="S164" i="2" s="1"/>
  <c r="R164" i="2"/>
  <c r="N165" i="2"/>
  <c r="O165" i="2"/>
  <c r="P165" i="2"/>
  <c r="Q165" i="2" s="1"/>
  <c r="R165" i="2" s="1"/>
  <c r="N166" i="2"/>
  <c r="O166" i="2"/>
  <c r="P166" i="2"/>
  <c r="Q166" i="2"/>
  <c r="S166" i="2" s="1"/>
  <c r="R166" i="2"/>
  <c r="N167" i="2"/>
  <c r="O167" i="2"/>
  <c r="P167" i="2"/>
  <c r="Q167" i="2" s="1"/>
  <c r="R167" i="2" s="1"/>
  <c r="N168" i="2"/>
  <c r="O168" i="2"/>
  <c r="P168" i="2"/>
  <c r="Q168" i="2"/>
  <c r="S168" i="2" s="1"/>
  <c r="R168" i="2"/>
  <c r="N169" i="2"/>
  <c r="O169" i="2"/>
  <c r="P169" i="2"/>
  <c r="Q169" i="2" s="1"/>
  <c r="R169" i="2" s="1"/>
  <c r="N170" i="2"/>
  <c r="O170" i="2"/>
  <c r="P170" i="2"/>
  <c r="Q170" i="2"/>
  <c r="S170" i="2" s="1"/>
  <c r="R170" i="2"/>
  <c r="N171" i="2"/>
  <c r="O171" i="2"/>
  <c r="P171" i="2"/>
  <c r="Q171" i="2" s="1"/>
  <c r="R171" i="2" s="1"/>
  <c r="N172" i="2"/>
  <c r="O172" i="2"/>
  <c r="S172" i="2" s="1"/>
  <c r="P172" i="2"/>
  <c r="Q172" i="2"/>
  <c r="R172" i="2"/>
  <c r="N173" i="2"/>
  <c r="O173" i="2"/>
  <c r="P173" i="2"/>
  <c r="Q173" i="2" s="1"/>
  <c r="R173" i="2" s="1"/>
  <c r="N174" i="2"/>
  <c r="O174" i="2"/>
  <c r="S174" i="2" s="1"/>
  <c r="P174" i="2"/>
  <c r="Q174" i="2"/>
  <c r="R174" i="2"/>
  <c r="N175" i="2"/>
  <c r="O175" i="2"/>
  <c r="P175" i="2"/>
  <c r="Q175" i="2" s="1"/>
  <c r="R175" i="2" s="1"/>
  <c r="N176" i="2"/>
  <c r="O176" i="2"/>
  <c r="S176" i="2" s="1"/>
  <c r="P176" i="2"/>
  <c r="Q176" i="2"/>
  <c r="R176" i="2"/>
  <c r="N177" i="2"/>
  <c r="O177" i="2"/>
  <c r="P177" i="2"/>
  <c r="Q177" i="2" s="1"/>
  <c r="R177" i="2" s="1"/>
  <c r="N178" i="2"/>
  <c r="O178" i="2"/>
  <c r="S178" i="2" s="1"/>
  <c r="P178" i="2"/>
  <c r="Q178" i="2"/>
  <c r="R178" i="2"/>
  <c r="N179" i="2"/>
  <c r="O179" i="2"/>
  <c r="P179" i="2"/>
  <c r="Q179" i="2" s="1"/>
  <c r="R179" i="2" s="1"/>
  <c r="N180" i="2"/>
  <c r="O180" i="2"/>
  <c r="S180" i="2" s="1"/>
  <c r="P180" i="2"/>
  <c r="Q180" i="2"/>
  <c r="R180" i="2"/>
  <c r="N181" i="2"/>
  <c r="O181" i="2"/>
  <c r="P181" i="2"/>
  <c r="Q181" i="2" s="1"/>
  <c r="R181" i="2" s="1"/>
  <c r="P150" i="2"/>
  <c r="Q150" i="2" s="1"/>
  <c r="R150" i="2" s="1"/>
  <c r="O150" i="2"/>
  <c r="N150" i="2"/>
  <c r="AA145" i="2"/>
  <c r="Z145" i="2"/>
  <c r="X145" i="2"/>
  <c r="W145" i="2"/>
  <c r="Y145" i="2" s="1"/>
  <c r="V145" i="2"/>
  <c r="U145" i="2"/>
  <c r="T145" i="2"/>
  <c r="Z141" i="2"/>
  <c r="AA141" i="2" s="1"/>
  <c r="X141" i="2"/>
  <c r="W141" i="2"/>
  <c r="Y141" i="2" s="1"/>
  <c r="V141" i="2"/>
  <c r="U141" i="2"/>
  <c r="T141" i="2"/>
  <c r="Z137" i="2"/>
  <c r="AA137" i="2" s="1"/>
  <c r="X137" i="2"/>
  <c r="W137" i="2"/>
  <c r="Y137" i="2" s="1"/>
  <c r="V137" i="2"/>
  <c r="U137" i="2"/>
  <c r="T137" i="2"/>
  <c r="Z133" i="2"/>
  <c r="AA133" i="2" s="1"/>
  <c r="W133" i="2"/>
  <c r="Y133" i="2" s="1"/>
  <c r="V133" i="2"/>
  <c r="X133" i="2" s="1"/>
  <c r="U133" i="2"/>
  <c r="T133" i="2"/>
  <c r="Z129" i="2"/>
  <c r="AA129" i="2" s="1"/>
  <c r="X129" i="2"/>
  <c r="W129" i="2"/>
  <c r="Y129" i="2" s="1"/>
  <c r="V129" i="2"/>
  <c r="U129" i="2"/>
  <c r="T129" i="2"/>
  <c r="Z125" i="2"/>
  <c r="AA125" i="2" s="1"/>
  <c r="X125" i="2"/>
  <c r="W125" i="2"/>
  <c r="Y125" i="2" s="1"/>
  <c r="V125" i="2"/>
  <c r="U125" i="2"/>
  <c r="T125" i="2"/>
  <c r="AA121" i="2"/>
  <c r="Z121" i="2"/>
  <c r="Y121" i="2"/>
  <c r="W121" i="2"/>
  <c r="V121" i="2"/>
  <c r="X121" i="2" s="1"/>
  <c r="U121" i="2"/>
  <c r="T121" i="2"/>
  <c r="Z117" i="2"/>
  <c r="AA117" i="2" s="1"/>
  <c r="Y117" i="2"/>
  <c r="W117" i="2"/>
  <c r="V117" i="2"/>
  <c r="X117" i="2" s="1"/>
  <c r="U117" i="2"/>
  <c r="T117" i="2"/>
  <c r="N118" i="2"/>
  <c r="O118" i="2"/>
  <c r="S118" i="2" s="1"/>
  <c r="P118" i="2"/>
  <c r="Q118" i="2"/>
  <c r="R118" i="2" s="1"/>
  <c r="N119" i="2"/>
  <c r="O119" i="2"/>
  <c r="P119" i="2"/>
  <c r="Q119" i="2" s="1"/>
  <c r="R119" i="2" s="1"/>
  <c r="N120" i="2"/>
  <c r="O120" i="2"/>
  <c r="S120" i="2" s="1"/>
  <c r="P120" i="2"/>
  <c r="Q120" i="2"/>
  <c r="R120" i="2" s="1"/>
  <c r="N121" i="2"/>
  <c r="O121" i="2"/>
  <c r="P121" i="2"/>
  <c r="Q121" i="2" s="1"/>
  <c r="R121" i="2" s="1"/>
  <c r="N122" i="2"/>
  <c r="O122" i="2"/>
  <c r="S122" i="2" s="1"/>
  <c r="P122" i="2"/>
  <c r="Q122" i="2"/>
  <c r="R122" i="2" s="1"/>
  <c r="N123" i="2"/>
  <c r="O123" i="2"/>
  <c r="P123" i="2"/>
  <c r="Q123" i="2" s="1"/>
  <c r="R123" i="2" s="1"/>
  <c r="N124" i="2"/>
  <c r="O124" i="2"/>
  <c r="P124" i="2"/>
  <c r="Q124" i="2"/>
  <c r="R124" i="2" s="1"/>
  <c r="N125" i="2"/>
  <c r="O125" i="2"/>
  <c r="P125" i="2"/>
  <c r="Q125" i="2" s="1"/>
  <c r="R125" i="2" s="1"/>
  <c r="N126" i="2"/>
  <c r="O126" i="2"/>
  <c r="S126" i="2" s="1"/>
  <c r="P126" i="2"/>
  <c r="Q126" i="2"/>
  <c r="R126" i="2" s="1"/>
  <c r="N127" i="2"/>
  <c r="O127" i="2"/>
  <c r="P127" i="2"/>
  <c r="Q127" i="2" s="1"/>
  <c r="R127" i="2" s="1"/>
  <c r="N128" i="2"/>
  <c r="O128" i="2"/>
  <c r="P128" i="2"/>
  <c r="Q128" i="2"/>
  <c r="R128" i="2" s="1"/>
  <c r="N129" i="2"/>
  <c r="O129" i="2"/>
  <c r="P129" i="2"/>
  <c r="Q129" i="2" s="1"/>
  <c r="R129" i="2" s="1"/>
  <c r="N130" i="2"/>
  <c r="O130" i="2"/>
  <c r="P130" i="2"/>
  <c r="Q130" i="2"/>
  <c r="R130" i="2" s="1"/>
  <c r="N131" i="2"/>
  <c r="O131" i="2"/>
  <c r="P131" i="2"/>
  <c r="Q131" i="2" s="1"/>
  <c r="R131" i="2" s="1"/>
  <c r="N132" i="2"/>
  <c r="O132" i="2"/>
  <c r="P132" i="2"/>
  <c r="Q132" i="2"/>
  <c r="R132" i="2" s="1"/>
  <c r="N133" i="2"/>
  <c r="Q133" i="2" s="1"/>
  <c r="R133" i="2" s="1"/>
  <c r="O133" i="2"/>
  <c r="P133" i="2"/>
  <c r="N134" i="2"/>
  <c r="O134" i="2"/>
  <c r="P134" i="2"/>
  <c r="Q134" i="2"/>
  <c r="R134" i="2" s="1"/>
  <c r="N135" i="2"/>
  <c r="Q135" i="2" s="1"/>
  <c r="R135" i="2" s="1"/>
  <c r="O135" i="2"/>
  <c r="S135" i="2" s="1"/>
  <c r="P135" i="2"/>
  <c r="N136" i="2"/>
  <c r="O136" i="2"/>
  <c r="P136" i="2"/>
  <c r="Q136" i="2"/>
  <c r="R136" i="2" s="1"/>
  <c r="N137" i="2"/>
  <c r="Q137" i="2" s="1"/>
  <c r="R137" i="2" s="1"/>
  <c r="O137" i="2"/>
  <c r="S137" i="2" s="1"/>
  <c r="P137" i="2"/>
  <c r="N138" i="2"/>
  <c r="O138" i="2"/>
  <c r="P138" i="2"/>
  <c r="Q138" i="2"/>
  <c r="R138" i="2" s="1"/>
  <c r="N139" i="2"/>
  <c r="Q139" i="2" s="1"/>
  <c r="R139" i="2" s="1"/>
  <c r="O139" i="2"/>
  <c r="S139" i="2" s="1"/>
  <c r="P139" i="2"/>
  <c r="N140" i="2"/>
  <c r="O140" i="2"/>
  <c r="S140" i="2" s="1"/>
  <c r="P140" i="2"/>
  <c r="Q140" i="2"/>
  <c r="R140" i="2" s="1"/>
  <c r="N141" i="2"/>
  <c r="Q141" i="2" s="1"/>
  <c r="R141" i="2" s="1"/>
  <c r="O141" i="2"/>
  <c r="S141" i="2" s="1"/>
  <c r="P141" i="2"/>
  <c r="N142" i="2"/>
  <c r="O142" i="2"/>
  <c r="S142" i="2" s="1"/>
  <c r="P142" i="2"/>
  <c r="Q142" i="2"/>
  <c r="R142" i="2" s="1"/>
  <c r="N143" i="2"/>
  <c r="Q143" i="2" s="1"/>
  <c r="R143" i="2" s="1"/>
  <c r="O143" i="2"/>
  <c r="S143" i="2" s="1"/>
  <c r="P143" i="2"/>
  <c r="N144" i="2"/>
  <c r="O144" i="2"/>
  <c r="P144" i="2"/>
  <c r="Q144" i="2"/>
  <c r="R144" i="2" s="1"/>
  <c r="N145" i="2"/>
  <c r="Q145" i="2" s="1"/>
  <c r="R145" i="2" s="1"/>
  <c r="O145" i="2"/>
  <c r="P145" i="2"/>
  <c r="N146" i="2"/>
  <c r="O146" i="2"/>
  <c r="S146" i="2" s="1"/>
  <c r="P146" i="2"/>
  <c r="Q146" i="2"/>
  <c r="R146" i="2" s="1"/>
  <c r="N147" i="2"/>
  <c r="Q147" i="2" s="1"/>
  <c r="R147" i="2" s="1"/>
  <c r="O147" i="2"/>
  <c r="P147" i="2"/>
  <c r="N148" i="2"/>
  <c r="O148" i="2"/>
  <c r="S148" i="2" s="1"/>
  <c r="P148" i="2"/>
  <c r="Q148" i="2"/>
  <c r="R148" i="2" s="1"/>
  <c r="P117" i="2"/>
  <c r="O117" i="2"/>
  <c r="N117" i="2"/>
  <c r="Q117" i="2" s="1"/>
  <c r="R117" i="2" s="1"/>
  <c r="M133" i="2"/>
  <c r="Z112" i="2"/>
  <c r="AA112" i="2" s="1"/>
  <c r="X112" i="2"/>
  <c r="W112" i="2"/>
  <c r="Y112" i="2" s="1"/>
  <c r="V112" i="2"/>
  <c r="U112" i="2"/>
  <c r="T112" i="2"/>
  <c r="Z108" i="2"/>
  <c r="AA108" i="2" s="1"/>
  <c r="X108" i="2"/>
  <c r="W108" i="2"/>
  <c r="Y108" i="2" s="1"/>
  <c r="V108" i="2"/>
  <c r="U108" i="2"/>
  <c r="T108" i="2"/>
  <c r="Z104" i="2"/>
  <c r="AA104" i="2" s="1"/>
  <c r="W104" i="2"/>
  <c r="Y104" i="2" s="1"/>
  <c r="V104" i="2"/>
  <c r="X104" i="2" s="1"/>
  <c r="U104" i="2"/>
  <c r="T104" i="2"/>
  <c r="Z100" i="2"/>
  <c r="AA100" i="2" s="1"/>
  <c r="W100" i="2"/>
  <c r="Y100" i="2" s="1"/>
  <c r="V100" i="2"/>
  <c r="X100" i="2" s="1"/>
  <c r="U100" i="2"/>
  <c r="T100" i="2"/>
  <c r="AA96" i="2"/>
  <c r="Z96" i="2"/>
  <c r="W96" i="2"/>
  <c r="Y96" i="2" s="1"/>
  <c r="V96" i="2"/>
  <c r="X96" i="2" s="1"/>
  <c r="U96" i="2"/>
  <c r="T96" i="2"/>
  <c r="Z92" i="2"/>
  <c r="AA92" i="2" s="1"/>
  <c r="W92" i="2"/>
  <c r="Y92" i="2" s="1"/>
  <c r="V92" i="2"/>
  <c r="X92" i="2" s="1"/>
  <c r="U92" i="2"/>
  <c r="T92" i="2"/>
  <c r="Z88" i="2"/>
  <c r="AA88" i="2" s="1"/>
  <c r="W88" i="2"/>
  <c r="Y88" i="2" s="1"/>
  <c r="V88" i="2"/>
  <c r="X88" i="2" s="1"/>
  <c r="U88" i="2"/>
  <c r="T88" i="2"/>
  <c r="Z84" i="2"/>
  <c r="AA84" i="2" s="1"/>
  <c r="W84" i="2"/>
  <c r="Y84" i="2" s="1"/>
  <c r="V84" i="2"/>
  <c r="X84" i="2" s="1"/>
  <c r="U84" i="2"/>
  <c r="T84" i="2"/>
  <c r="N85" i="2"/>
  <c r="Q85" i="2" s="1"/>
  <c r="R85" i="2" s="1"/>
  <c r="O85" i="2"/>
  <c r="P85" i="2"/>
  <c r="N86" i="2"/>
  <c r="O86" i="2"/>
  <c r="P86" i="2"/>
  <c r="Q86" i="2"/>
  <c r="S86" i="2" s="1"/>
  <c r="R86" i="2"/>
  <c r="N87" i="2"/>
  <c r="Q87" i="2" s="1"/>
  <c r="R87" i="2" s="1"/>
  <c r="O87" i="2"/>
  <c r="P87" i="2"/>
  <c r="N88" i="2"/>
  <c r="O88" i="2"/>
  <c r="P88" i="2"/>
  <c r="Q88" i="2"/>
  <c r="S88" i="2" s="1"/>
  <c r="R88" i="2"/>
  <c r="N89" i="2"/>
  <c r="Q89" i="2" s="1"/>
  <c r="R89" i="2" s="1"/>
  <c r="O89" i="2"/>
  <c r="P89" i="2"/>
  <c r="N90" i="2"/>
  <c r="O90" i="2"/>
  <c r="P90" i="2"/>
  <c r="Q90" i="2"/>
  <c r="S90" i="2" s="1"/>
  <c r="R90" i="2"/>
  <c r="N91" i="2"/>
  <c r="Q91" i="2" s="1"/>
  <c r="R91" i="2" s="1"/>
  <c r="O91" i="2"/>
  <c r="S91" i="2" s="1"/>
  <c r="P91" i="2"/>
  <c r="N92" i="2"/>
  <c r="O92" i="2"/>
  <c r="P92" i="2"/>
  <c r="Q92" i="2"/>
  <c r="S92" i="2" s="1"/>
  <c r="R92" i="2"/>
  <c r="N93" i="2"/>
  <c r="Q93" i="2" s="1"/>
  <c r="R93" i="2" s="1"/>
  <c r="O93" i="2"/>
  <c r="P93" i="2"/>
  <c r="N94" i="2"/>
  <c r="O94" i="2"/>
  <c r="P94" i="2"/>
  <c r="Q94" i="2"/>
  <c r="S94" i="2" s="1"/>
  <c r="R94" i="2"/>
  <c r="N95" i="2"/>
  <c r="Q95" i="2" s="1"/>
  <c r="R95" i="2" s="1"/>
  <c r="O95" i="2"/>
  <c r="P95" i="2"/>
  <c r="N96" i="2"/>
  <c r="O96" i="2"/>
  <c r="P96" i="2"/>
  <c r="Q96" i="2"/>
  <c r="S96" i="2" s="1"/>
  <c r="R96" i="2"/>
  <c r="N97" i="2"/>
  <c r="Q97" i="2" s="1"/>
  <c r="R97" i="2" s="1"/>
  <c r="O97" i="2"/>
  <c r="S97" i="2" s="1"/>
  <c r="P97" i="2"/>
  <c r="N98" i="2"/>
  <c r="O98" i="2"/>
  <c r="P98" i="2"/>
  <c r="Q98" i="2"/>
  <c r="S98" i="2" s="1"/>
  <c r="R98" i="2"/>
  <c r="N99" i="2"/>
  <c r="Q99" i="2" s="1"/>
  <c r="R99" i="2" s="1"/>
  <c r="O99" i="2"/>
  <c r="P99" i="2"/>
  <c r="N100" i="2"/>
  <c r="O100" i="2"/>
  <c r="P100" i="2"/>
  <c r="Q100" i="2"/>
  <c r="S100" i="2" s="1"/>
  <c r="R100" i="2"/>
  <c r="N101" i="2"/>
  <c r="Q101" i="2" s="1"/>
  <c r="R101" i="2" s="1"/>
  <c r="O101" i="2"/>
  <c r="P101" i="2"/>
  <c r="N102" i="2"/>
  <c r="O102" i="2"/>
  <c r="P102" i="2"/>
  <c r="Q102" i="2"/>
  <c r="S102" i="2" s="1"/>
  <c r="R102" i="2"/>
  <c r="N103" i="2"/>
  <c r="O103" i="2"/>
  <c r="P103" i="2"/>
  <c r="Q103" i="2" s="1"/>
  <c r="R103" i="2" s="1"/>
  <c r="N104" i="2"/>
  <c r="O104" i="2"/>
  <c r="P104" i="2"/>
  <c r="Q104" i="2"/>
  <c r="S104" i="2" s="1"/>
  <c r="R104" i="2"/>
  <c r="N105" i="2"/>
  <c r="Q105" i="2" s="1"/>
  <c r="R105" i="2" s="1"/>
  <c r="O105" i="2"/>
  <c r="P105" i="2"/>
  <c r="N106" i="2"/>
  <c r="O106" i="2"/>
  <c r="P106" i="2"/>
  <c r="Q106" i="2"/>
  <c r="S106" i="2" s="1"/>
  <c r="R106" i="2"/>
  <c r="N107" i="2"/>
  <c r="Q107" i="2" s="1"/>
  <c r="R107" i="2" s="1"/>
  <c r="O107" i="2"/>
  <c r="P107" i="2"/>
  <c r="N108" i="2"/>
  <c r="O108" i="2"/>
  <c r="P108" i="2"/>
  <c r="Q108" i="2"/>
  <c r="S108" i="2" s="1"/>
  <c r="R108" i="2"/>
  <c r="N109" i="2"/>
  <c r="O109" i="2"/>
  <c r="P109" i="2"/>
  <c r="Q109" i="2" s="1"/>
  <c r="R109" i="2" s="1"/>
  <c r="N110" i="2"/>
  <c r="O110" i="2"/>
  <c r="P110" i="2"/>
  <c r="Q110" i="2"/>
  <c r="S110" i="2" s="1"/>
  <c r="R110" i="2"/>
  <c r="N111" i="2"/>
  <c r="Q111" i="2" s="1"/>
  <c r="R111" i="2" s="1"/>
  <c r="O111" i="2"/>
  <c r="P111" i="2"/>
  <c r="N112" i="2"/>
  <c r="O112" i="2"/>
  <c r="P112" i="2"/>
  <c r="Q112" i="2"/>
  <c r="S112" i="2" s="1"/>
  <c r="R112" i="2"/>
  <c r="N113" i="2"/>
  <c r="Q113" i="2" s="1"/>
  <c r="R113" i="2" s="1"/>
  <c r="O113" i="2"/>
  <c r="P113" i="2"/>
  <c r="N114" i="2"/>
  <c r="O114" i="2"/>
  <c r="P114" i="2"/>
  <c r="Q114" i="2"/>
  <c r="S114" i="2" s="1"/>
  <c r="R114" i="2"/>
  <c r="N115" i="2"/>
  <c r="Q115" i="2" s="1"/>
  <c r="R115" i="2" s="1"/>
  <c r="O115" i="2"/>
  <c r="S115" i="2" s="1"/>
  <c r="P115" i="2"/>
  <c r="P84" i="2"/>
  <c r="Q84" i="2" s="1"/>
  <c r="R84" i="2" s="1"/>
  <c r="O84" i="2"/>
  <c r="N84" i="2"/>
  <c r="AA71" i="2"/>
  <c r="Z71" i="2"/>
  <c r="W71" i="2"/>
  <c r="Y71" i="2" s="1"/>
  <c r="V71" i="2"/>
  <c r="X71" i="2" s="1"/>
  <c r="U71" i="2"/>
  <c r="T71" i="2"/>
  <c r="AA67" i="2"/>
  <c r="Z67" i="2"/>
  <c r="X67" i="2"/>
  <c r="W67" i="2"/>
  <c r="Y67" i="2" s="1"/>
  <c r="V67" i="2"/>
  <c r="U67" i="2"/>
  <c r="T67" i="2"/>
  <c r="Z75" i="2"/>
  <c r="AA75" i="2" s="1"/>
  <c r="X75" i="2"/>
  <c r="W75" i="2"/>
  <c r="Y75" i="2" s="1"/>
  <c r="V75" i="2"/>
  <c r="U75" i="2"/>
  <c r="T75" i="2"/>
  <c r="Z79" i="2"/>
  <c r="AA79" i="2" s="1"/>
  <c r="Y79" i="2"/>
  <c r="W79" i="2"/>
  <c r="V79" i="2"/>
  <c r="X79" i="2" s="1"/>
  <c r="U79" i="2"/>
  <c r="T79" i="2"/>
  <c r="Z63" i="2"/>
  <c r="AA63" i="2" s="1"/>
  <c r="X63" i="2"/>
  <c r="W63" i="2"/>
  <c r="Y63" i="2" s="1"/>
  <c r="V63" i="2"/>
  <c r="U63" i="2"/>
  <c r="T63" i="2"/>
  <c r="Z59" i="2"/>
  <c r="AA59" i="2" s="1"/>
  <c r="Y59" i="2"/>
  <c r="X59" i="2"/>
  <c r="W59" i="2"/>
  <c r="V59" i="2"/>
  <c r="U59" i="2"/>
  <c r="T59" i="2"/>
  <c r="Z55" i="2"/>
  <c r="AA55" i="2" s="1"/>
  <c r="X55" i="2"/>
  <c r="W55" i="2"/>
  <c r="Y55" i="2" s="1"/>
  <c r="V55" i="2"/>
  <c r="U55" i="2"/>
  <c r="T55" i="2"/>
  <c r="Z51" i="2"/>
  <c r="AA51" i="2" s="1"/>
  <c r="X51" i="2"/>
  <c r="W51" i="2"/>
  <c r="Y51" i="2" s="1"/>
  <c r="V51" i="2"/>
  <c r="U51" i="2"/>
  <c r="T51" i="2"/>
  <c r="N52" i="2"/>
  <c r="O52" i="2"/>
  <c r="S52" i="2" s="1"/>
  <c r="P52" i="2"/>
  <c r="Q52" i="2"/>
  <c r="R52" i="2" s="1"/>
  <c r="N53" i="2"/>
  <c r="O53" i="2"/>
  <c r="P53" i="2"/>
  <c r="Q53" i="2"/>
  <c r="S53" i="2" s="1"/>
  <c r="R53" i="2"/>
  <c r="N54" i="2"/>
  <c r="O54" i="2"/>
  <c r="S54" i="2" s="1"/>
  <c r="P54" i="2"/>
  <c r="Q54" i="2"/>
  <c r="R54" i="2" s="1"/>
  <c r="N55" i="2"/>
  <c r="O55" i="2"/>
  <c r="P55" i="2"/>
  <c r="Q55" i="2"/>
  <c r="S55" i="2" s="1"/>
  <c r="R55" i="2"/>
  <c r="N56" i="2"/>
  <c r="O56" i="2"/>
  <c r="S56" i="2" s="1"/>
  <c r="P56" i="2"/>
  <c r="Q56" i="2"/>
  <c r="R56" i="2" s="1"/>
  <c r="N57" i="2"/>
  <c r="O57" i="2"/>
  <c r="P57" i="2"/>
  <c r="Q57" i="2"/>
  <c r="S57" i="2" s="1"/>
  <c r="R57" i="2"/>
  <c r="N58" i="2"/>
  <c r="O58" i="2"/>
  <c r="S58" i="2" s="1"/>
  <c r="P58" i="2"/>
  <c r="Q58" i="2"/>
  <c r="R58" i="2" s="1"/>
  <c r="N59" i="2"/>
  <c r="O59" i="2"/>
  <c r="P59" i="2"/>
  <c r="Q59" i="2"/>
  <c r="S59" i="2" s="1"/>
  <c r="R59" i="2"/>
  <c r="N60" i="2"/>
  <c r="O60" i="2"/>
  <c r="S60" i="2" s="1"/>
  <c r="P60" i="2"/>
  <c r="Q60" i="2"/>
  <c r="R60" i="2" s="1"/>
  <c r="N61" i="2"/>
  <c r="O61" i="2"/>
  <c r="P61" i="2"/>
  <c r="Q61" i="2"/>
  <c r="S61" i="2" s="1"/>
  <c r="R61" i="2"/>
  <c r="N62" i="2"/>
  <c r="O62" i="2"/>
  <c r="S62" i="2" s="1"/>
  <c r="P62" i="2"/>
  <c r="Q62" i="2"/>
  <c r="R62" i="2" s="1"/>
  <c r="N63" i="2"/>
  <c r="O63" i="2"/>
  <c r="P63" i="2"/>
  <c r="Q63" i="2"/>
  <c r="S63" i="2" s="1"/>
  <c r="R63" i="2"/>
  <c r="N64" i="2"/>
  <c r="O64" i="2"/>
  <c r="S64" i="2" s="1"/>
  <c r="P64" i="2"/>
  <c r="Q64" i="2"/>
  <c r="R64" i="2" s="1"/>
  <c r="N65" i="2"/>
  <c r="O65" i="2"/>
  <c r="P65" i="2"/>
  <c r="Q65" i="2"/>
  <c r="S65" i="2" s="1"/>
  <c r="R65" i="2"/>
  <c r="N66" i="2"/>
  <c r="O66" i="2"/>
  <c r="S66" i="2" s="1"/>
  <c r="P66" i="2"/>
  <c r="Q66" i="2"/>
  <c r="R66" i="2" s="1"/>
  <c r="N67" i="2"/>
  <c r="O67" i="2"/>
  <c r="P67" i="2"/>
  <c r="Q67" i="2"/>
  <c r="S67" i="2" s="1"/>
  <c r="R67" i="2"/>
  <c r="N68" i="2"/>
  <c r="O68" i="2"/>
  <c r="S68" i="2" s="1"/>
  <c r="P68" i="2"/>
  <c r="Q68" i="2"/>
  <c r="R68" i="2" s="1"/>
  <c r="N69" i="2"/>
  <c r="O69" i="2"/>
  <c r="P69" i="2"/>
  <c r="Q69" i="2"/>
  <c r="S69" i="2" s="1"/>
  <c r="R69" i="2"/>
  <c r="N70" i="2"/>
  <c r="O70" i="2"/>
  <c r="S70" i="2" s="1"/>
  <c r="P70" i="2"/>
  <c r="Q70" i="2"/>
  <c r="R70" i="2" s="1"/>
  <c r="N71" i="2"/>
  <c r="O71" i="2"/>
  <c r="P71" i="2"/>
  <c r="Q71" i="2"/>
  <c r="S71" i="2" s="1"/>
  <c r="R71" i="2"/>
  <c r="N72" i="2"/>
  <c r="O72" i="2"/>
  <c r="S72" i="2" s="1"/>
  <c r="P72" i="2"/>
  <c r="Q72" i="2"/>
  <c r="R72" i="2" s="1"/>
  <c r="N73" i="2"/>
  <c r="O73" i="2"/>
  <c r="P73" i="2"/>
  <c r="Q73" i="2"/>
  <c r="S73" i="2" s="1"/>
  <c r="R73" i="2"/>
  <c r="N74" i="2"/>
  <c r="O74" i="2"/>
  <c r="S74" i="2" s="1"/>
  <c r="P74" i="2"/>
  <c r="Q74" i="2"/>
  <c r="R74" i="2" s="1"/>
  <c r="N75" i="2"/>
  <c r="O75" i="2"/>
  <c r="P75" i="2"/>
  <c r="Q75" i="2"/>
  <c r="S75" i="2" s="1"/>
  <c r="R75" i="2"/>
  <c r="N76" i="2"/>
  <c r="O76" i="2"/>
  <c r="S76" i="2" s="1"/>
  <c r="P76" i="2"/>
  <c r="Q76" i="2"/>
  <c r="R76" i="2" s="1"/>
  <c r="N77" i="2"/>
  <c r="O77" i="2"/>
  <c r="P77" i="2"/>
  <c r="Q77" i="2"/>
  <c r="S77" i="2" s="1"/>
  <c r="R77" i="2"/>
  <c r="N78" i="2"/>
  <c r="O78" i="2"/>
  <c r="S78" i="2" s="1"/>
  <c r="P78" i="2"/>
  <c r="Q78" i="2"/>
  <c r="R78" i="2" s="1"/>
  <c r="N79" i="2"/>
  <c r="O79" i="2"/>
  <c r="P79" i="2"/>
  <c r="Q79" i="2"/>
  <c r="S79" i="2" s="1"/>
  <c r="R79" i="2"/>
  <c r="N80" i="2"/>
  <c r="O80" i="2"/>
  <c r="S80" i="2" s="1"/>
  <c r="P80" i="2"/>
  <c r="Q80" i="2"/>
  <c r="R80" i="2" s="1"/>
  <c r="N81" i="2"/>
  <c r="O81" i="2"/>
  <c r="P81" i="2"/>
  <c r="Q81" i="2"/>
  <c r="S81" i="2" s="1"/>
  <c r="R81" i="2"/>
  <c r="N82" i="2"/>
  <c r="O82" i="2"/>
  <c r="S82" i="2" s="1"/>
  <c r="P82" i="2"/>
  <c r="Q82" i="2"/>
  <c r="R82" i="2" s="1"/>
  <c r="S51" i="2"/>
  <c r="R51" i="2"/>
  <c r="Q51" i="2"/>
  <c r="P51" i="2"/>
  <c r="O51" i="2"/>
  <c r="N51" i="2"/>
  <c r="Z46" i="2"/>
  <c r="AA46" i="2" s="1"/>
  <c r="AA42" i="2"/>
  <c r="Z42" i="2"/>
  <c r="Z38" i="2"/>
  <c r="AA38" i="2" s="1"/>
  <c r="Z34" i="2"/>
  <c r="AA34" i="2" s="1"/>
  <c r="Z30" i="2"/>
  <c r="AA30" i="2" s="1"/>
  <c r="Z26" i="2"/>
  <c r="AA26" i="2" s="1"/>
  <c r="AA22" i="2"/>
  <c r="Z22" i="2"/>
  <c r="AA18" i="2"/>
  <c r="Z18" i="2"/>
  <c r="N19" i="2"/>
  <c r="O19" i="2"/>
  <c r="P19" i="2"/>
  <c r="N20" i="2"/>
  <c r="O20" i="2"/>
  <c r="P20" i="2"/>
  <c r="Q20" i="2" s="1"/>
  <c r="N21" i="2"/>
  <c r="O21" i="2"/>
  <c r="P21" i="2"/>
  <c r="N22" i="2"/>
  <c r="O22" i="2"/>
  <c r="P22" i="2"/>
  <c r="Q22" i="2" s="1"/>
  <c r="N23" i="2"/>
  <c r="O23" i="2"/>
  <c r="P23" i="2"/>
  <c r="N24" i="2"/>
  <c r="O24" i="2"/>
  <c r="P24" i="2"/>
  <c r="Q24" i="2" s="1"/>
  <c r="N25" i="2"/>
  <c r="O25" i="2"/>
  <c r="P25" i="2"/>
  <c r="N26" i="2"/>
  <c r="O26" i="2"/>
  <c r="P26" i="2"/>
  <c r="Q26" i="2" s="1"/>
  <c r="N27" i="2"/>
  <c r="O27" i="2"/>
  <c r="P27" i="2"/>
  <c r="N28" i="2"/>
  <c r="O28" i="2"/>
  <c r="P28" i="2"/>
  <c r="Q28" i="2" s="1"/>
  <c r="N29" i="2"/>
  <c r="O29" i="2"/>
  <c r="P29" i="2"/>
  <c r="N30" i="2"/>
  <c r="O30" i="2"/>
  <c r="P30" i="2"/>
  <c r="Q30" i="2" s="1"/>
  <c r="N31" i="2"/>
  <c r="O31" i="2"/>
  <c r="P31" i="2"/>
  <c r="N32" i="2"/>
  <c r="O32" i="2"/>
  <c r="P32" i="2"/>
  <c r="Q32" i="2" s="1"/>
  <c r="N33" i="2"/>
  <c r="O33" i="2"/>
  <c r="P33" i="2"/>
  <c r="N34" i="2"/>
  <c r="O34" i="2"/>
  <c r="P34" i="2"/>
  <c r="Q34" i="2" s="1"/>
  <c r="N35" i="2"/>
  <c r="O35" i="2"/>
  <c r="P35" i="2"/>
  <c r="N36" i="2"/>
  <c r="O36" i="2"/>
  <c r="P36" i="2"/>
  <c r="Q36" i="2" s="1"/>
  <c r="N37" i="2"/>
  <c r="O37" i="2"/>
  <c r="P37" i="2"/>
  <c r="N38" i="2"/>
  <c r="O38" i="2"/>
  <c r="P38" i="2"/>
  <c r="Q38" i="2" s="1"/>
  <c r="N39" i="2"/>
  <c r="O39" i="2"/>
  <c r="P39" i="2"/>
  <c r="N40" i="2"/>
  <c r="O40" i="2"/>
  <c r="P40" i="2"/>
  <c r="Q40" i="2" s="1"/>
  <c r="N41" i="2"/>
  <c r="O41" i="2"/>
  <c r="P41" i="2"/>
  <c r="N42" i="2"/>
  <c r="O42" i="2"/>
  <c r="P42" i="2"/>
  <c r="Q42" i="2" s="1"/>
  <c r="N43" i="2"/>
  <c r="O43" i="2"/>
  <c r="P43" i="2"/>
  <c r="N44" i="2"/>
  <c r="O44" i="2"/>
  <c r="P44" i="2"/>
  <c r="Q44" i="2" s="1"/>
  <c r="N45" i="2"/>
  <c r="O45" i="2"/>
  <c r="P45" i="2"/>
  <c r="N46" i="2"/>
  <c r="O46" i="2"/>
  <c r="P46" i="2"/>
  <c r="Q46" i="2" s="1"/>
  <c r="N47" i="2"/>
  <c r="O47" i="2"/>
  <c r="P47" i="2"/>
  <c r="N48" i="2"/>
  <c r="O48" i="2"/>
  <c r="P48" i="2"/>
  <c r="Q48" i="2" s="1"/>
  <c r="N49" i="2"/>
  <c r="O49" i="2"/>
  <c r="P49" i="2"/>
  <c r="P18" i="2"/>
  <c r="O18" i="2"/>
  <c r="N18" i="2"/>
  <c r="Q18" i="2" s="1"/>
  <c r="R18" i="2" s="1"/>
  <c r="P8" i="2"/>
  <c r="P9" i="2"/>
  <c r="P10" i="2"/>
  <c r="P11" i="2"/>
  <c r="P12" i="2"/>
  <c r="P13" i="2"/>
  <c r="P14" i="2"/>
  <c r="P7" i="2"/>
  <c r="O8" i="2"/>
  <c r="S8" i="2" s="1"/>
  <c r="O9" i="2"/>
  <c r="O10" i="2"/>
  <c r="O11" i="2"/>
  <c r="S11" i="2" s="1"/>
  <c r="O12" i="2"/>
  <c r="O13" i="2"/>
  <c r="O14" i="2"/>
  <c r="S14" i="2" s="1"/>
  <c r="O7" i="2"/>
  <c r="N8" i="2"/>
  <c r="Q8" i="2" s="1"/>
  <c r="R8" i="2" s="1"/>
  <c r="N9" i="2"/>
  <c r="Q9" i="2" s="1"/>
  <c r="N10" i="2"/>
  <c r="Q10" i="2" s="1"/>
  <c r="N11" i="2"/>
  <c r="N12" i="2"/>
  <c r="Q12" i="2" s="1"/>
  <c r="R12" i="2" s="1"/>
  <c r="N13" i="2"/>
  <c r="N14" i="2"/>
  <c r="Q14" i="2" s="1"/>
  <c r="R14" i="2" s="1"/>
  <c r="N7" i="2"/>
  <c r="Q7" i="2" s="1"/>
  <c r="R7" i="2" s="1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8" i="2"/>
  <c r="K148" i="2"/>
  <c r="M147" i="2"/>
  <c r="K147" i="2"/>
  <c r="M146" i="2"/>
  <c r="K146" i="2"/>
  <c r="M145" i="2"/>
  <c r="K145" i="2"/>
  <c r="M144" i="2"/>
  <c r="K144" i="2"/>
  <c r="M143" i="2"/>
  <c r="K143" i="2"/>
  <c r="M142" i="2"/>
  <c r="K142" i="2"/>
  <c r="M141" i="2"/>
  <c r="K141" i="2"/>
  <c r="M140" i="2"/>
  <c r="K140" i="2"/>
  <c r="M139" i="2"/>
  <c r="K139" i="2"/>
  <c r="M138" i="2"/>
  <c r="K138" i="2"/>
  <c r="M137" i="2"/>
  <c r="K137" i="2"/>
  <c r="M136" i="2"/>
  <c r="K136" i="2"/>
  <c r="M135" i="2"/>
  <c r="K135" i="2"/>
  <c r="M134" i="2"/>
  <c r="K134" i="2"/>
  <c r="K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4" i="2"/>
  <c r="M13" i="2"/>
  <c r="Q13" i="2" s="1"/>
  <c r="R13" i="2" s="1"/>
  <c r="M12" i="2"/>
  <c r="M11" i="2"/>
  <c r="Q11" i="2" s="1"/>
  <c r="R11" i="2" s="1"/>
  <c r="M10" i="2"/>
  <c r="M9" i="2"/>
  <c r="M8" i="2"/>
  <c r="M7" i="2"/>
  <c r="Y258" i="5" l="1"/>
  <c r="Z258" i="5" s="1"/>
  <c r="Y232" i="5"/>
  <c r="Z232" i="5" s="1"/>
  <c r="Y83" i="5"/>
  <c r="Z83" i="5" s="1"/>
  <c r="AC150" i="5"/>
  <c r="AK150" i="5" s="1"/>
  <c r="AA150" i="5"/>
  <c r="AI150" i="5" s="1"/>
  <c r="AE150" i="5"/>
  <c r="AM150" i="5" s="1"/>
  <c r="AG150" i="5"/>
  <c r="AO150" i="5" s="1"/>
  <c r="AB139" i="5"/>
  <c r="AJ139" i="5" s="1"/>
  <c r="AD139" i="5"/>
  <c r="AL139" i="5" s="1"/>
  <c r="AF139" i="5"/>
  <c r="AN139" i="5" s="1"/>
  <c r="AH139" i="5"/>
  <c r="AP139" i="5" s="1"/>
  <c r="AD79" i="5"/>
  <c r="AL79" i="5" s="1"/>
  <c r="AF79" i="5"/>
  <c r="AN79" i="5" s="1"/>
  <c r="AB79" i="5"/>
  <c r="AJ79" i="5" s="1"/>
  <c r="AH79" i="5"/>
  <c r="AP79" i="5" s="1"/>
  <c r="AB206" i="5"/>
  <c r="AJ206" i="5" s="1"/>
  <c r="AD206" i="5"/>
  <c r="AL206" i="5" s="1"/>
  <c r="AF206" i="5"/>
  <c r="AN206" i="5" s="1"/>
  <c r="AH206" i="5"/>
  <c r="AP206" i="5" s="1"/>
  <c r="AA160" i="5"/>
  <c r="AI160" i="5" s="1"/>
  <c r="AC160" i="5"/>
  <c r="AK160" i="5" s="1"/>
  <c r="AE160" i="5"/>
  <c r="AM160" i="5" s="1"/>
  <c r="AG160" i="5"/>
  <c r="AO160" i="5" s="1"/>
  <c r="AH119" i="5"/>
  <c r="AP119" i="5" s="1"/>
  <c r="AB119" i="5"/>
  <c r="AJ119" i="5" s="1"/>
  <c r="AD119" i="5"/>
  <c r="AL119" i="5" s="1"/>
  <c r="AF119" i="5"/>
  <c r="AN119" i="5" s="1"/>
  <c r="AB125" i="5"/>
  <c r="AJ125" i="5" s="1"/>
  <c r="AH125" i="5"/>
  <c r="AP125" i="5" s="1"/>
  <c r="AF125" i="5"/>
  <c r="AN125" i="5" s="1"/>
  <c r="AD125" i="5"/>
  <c r="AL125" i="5" s="1"/>
  <c r="AH197" i="5"/>
  <c r="AP197" i="5" s="1"/>
  <c r="AB197" i="5"/>
  <c r="AJ197" i="5" s="1"/>
  <c r="AD197" i="5"/>
  <c r="AL197" i="5" s="1"/>
  <c r="AF197" i="5"/>
  <c r="AN197" i="5" s="1"/>
  <c r="AC90" i="5"/>
  <c r="AK90" i="5" s="1"/>
  <c r="AG90" i="5"/>
  <c r="AO90" i="5" s="1"/>
  <c r="AA90" i="5"/>
  <c r="AI90" i="5" s="1"/>
  <c r="AE90" i="5"/>
  <c r="AM90" i="5" s="1"/>
  <c r="AA162" i="5"/>
  <c r="AI162" i="5" s="1"/>
  <c r="AC162" i="5"/>
  <c r="AK162" i="5" s="1"/>
  <c r="AE162" i="5"/>
  <c r="AM162" i="5" s="1"/>
  <c r="AG162" i="5"/>
  <c r="AO162" i="5" s="1"/>
  <c r="AD78" i="5"/>
  <c r="AL78" i="5" s="1"/>
  <c r="AF78" i="5"/>
  <c r="AN78" i="5" s="1"/>
  <c r="AH78" i="5"/>
  <c r="AP78" i="5" s="1"/>
  <c r="AB78" i="5"/>
  <c r="AJ78" i="5" s="1"/>
  <c r="Y78" i="5" s="1"/>
  <c r="Z78" i="5" s="1"/>
  <c r="AA151" i="5"/>
  <c r="AI151" i="5" s="1"/>
  <c r="Y151" i="5" s="1"/>
  <c r="Z151" i="5" s="1"/>
  <c r="AC151" i="5"/>
  <c r="AK151" i="5" s="1"/>
  <c r="AE151" i="5"/>
  <c r="AM151" i="5" s="1"/>
  <c r="AG151" i="5"/>
  <c r="AO151" i="5" s="1"/>
  <c r="AC223" i="5"/>
  <c r="AK223" i="5" s="1"/>
  <c r="AE223" i="5"/>
  <c r="AM223" i="5" s="1"/>
  <c r="AA223" i="5"/>
  <c r="AI223" i="5" s="1"/>
  <c r="AG223" i="5"/>
  <c r="AO223" i="5" s="1"/>
  <c r="AC92" i="5"/>
  <c r="AK92" i="5" s="1"/>
  <c r="AG92" i="5"/>
  <c r="AO92" i="5" s="1"/>
  <c r="AA92" i="5"/>
  <c r="AI92" i="5" s="1"/>
  <c r="AE92" i="5"/>
  <c r="AM92" i="5" s="1"/>
  <c r="AA164" i="5"/>
  <c r="AI164" i="5" s="1"/>
  <c r="AC164" i="5"/>
  <c r="AK164" i="5" s="1"/>
  <c r="AE164" i="5"/>
  <c r="AM164" i="5" s="1"/>
  <c r="AG164" i="5"/>
  <c r="AO164" i="5" s="1"/>
  <c r="Y212" i="5"/>
  <c r="Z212" i="5" s="1"/>
  <c r="Y236" i="5"/>
  <c r="Z236" i="5" s="1"/>
  <c r="AG99" i="5"/>
  <c r="AO99" i="5" s="1"/>
  <c r="AA99" i="5"/>
  <c r="AI99" i="5" s="1"/>
  <c r="AE99" i="5"/>
  <c r="AM99" i="5" s="1"/>
  <c r="AC99" i="5"/>
  <c r="AK99" i="5" s="1"/>
  <c r="AG171" i="5"/>
  <c r="AO171" i="5" s="1"/>
  <c r="AA171" i="5"/>
  <c r="AI171" i="5" s="1"/>
  <c r="AC171" i="5"/>
  <c r="AK171" i="5" s="1"/>
  <c r="AE171" i="5"/>
  <c r="AM171" i="5" s="1"/>
  <c r="AG100" i="5"/>
  <c r="AO100" i="5" s="1"/>
  <c r="AA100" i="5"/>
  <c r="AI100" i="5" s="1"/>
  <c r="AE100" i="5"/>
  <c r="AM100" i="5" s="1"/>
  <c r="AC100" i="5"/>
  <c r="AK100" i="5" s="1"/>
  <c r="AA172" i="5"/>
  <c r="AI172" i="5" s="1"/>
  <c r="AC172" i="5"/>
  <c r="AK172" i="5" s="1"/>
  <c r="AE172" i="5"/>
  <c r="AM172" i="5" s="1"/>
  <c r="AG172" i="5"/>
  <c r="AO172" i="5" s="1"/>
  <c r="Y244" i="5"/>
  <c r="Z244" i="5" s="1"/>
  <c r="Y71" i="5"/>
  <c r="Z71" i="5" s="1"/>
  <c r="AB185" i="5"/>
  <c r="AJ185" i="5" s="1"/>
  <c r="AD185" i="5"/>
  <c r="AL185" i="5" s="1"/>
  <c r="AF185" i="5"/>
  <c r="AN185" i="5" s="1"/>
  <c r="AH185" i="5"/>
  <c r="AP185" i="5" s="1"/>
  <c r="AF77" i="5"/>
  <c r="AN77" i="5" s="1"/>
  <c r="AD77" i="5"/>
  <c r="AL77" i="5" s="1"/>
  <c r="AB77" i="5"/>
  <c r="AJ77" i="5" s="1"/>
  <c r="AH77" i="5"/>
  <c r="AP77" i="5" s="1"/>
  <c r="AB131" i="5"/>
  <c r="AJ131" i="5" s="1"/>
  <c r="AD131" i="5"/>
  <c r="AL131" i="5" s="1"/>
  <c r="AF131" i="5"/>
  <c r="AN131" i="5" s="1"/>
  <c r="AH131" i="5"/>
  <c r="AP131" i="5" s="1"/>
  <c r="AF203" i="5"/>
  <c r="AN203" i="5" s="1"/>
  <c r="AH203" i="5"/>
  <c r="AP203" i="5" s="1"/>
  <c r="AD203" i="5"/>
  <c r="AL203" i="5" s="1"/>
  <c r="AB203" i="5"/>
  <c r="AJ203" i="5" s="1"/>
  <c r="AG96" i="5"/>
  <c r="AO96" i="5" s="1"/>
  <c r="AA96" i="5"/>
  <c r="AI96" i="5" s="1"/>
  <c r="AE96" i="5"/>
  <c r="AM96" i="5" s="1"/>
  <c r="AC96" i="5"/>
  <c r="AK96" i="5" s="1"/>
  <c r="AA168" i="5"/>
  <c r="AI168" i="5" s="1"/>
  <c r="AC168" i="5"/>
  <c r="AK168" i="5" s="1"/>
  <c r="AE168" i="5"/>
  <c r="AM168" i="5" s="1"/>
  <c r="AG168" i="5"/>
  <c r="AO168" i="5" s="1"/>
  <c r="Y246" i="5"/>
  <c r="Z246" i="5" s="1"/>
  <c r="AF84" i="5"/>
  <c r="AN84" i="5" s="1"/>
  <c r="AD84" i="5"/>
  <c r="AL84" i="5" s="1"/>
  <c r="AH84" i="5"/>
  <c r="AP84" i="5" s="1"/>
  <c r="AB84" i="5"/>
  <c r="AJ84" i="5" s="1"/>
  <c r="AE157" i="5"/>
  <c r="AM157" i="5" s="1"/>
  <c r="AG157" i="5"/>
  <c r="AO157" i="5" s="1"/>
  <c r="AA157" i="5"/>
  <c r="AI157" i="5" s="1"/>
  <c r="AC157" i="5"/>
  <c r="AK157" i="5" s="1"/>
  <c r="AC229" i="5"/>
  <c r="AK229" i="5" s="1"/>
  <c r="AE229" i="5"/>
  <c r="AM229" i="5" s="1"/>
  <c r="AA229" i="5"/>
  <c r="AI229" i="5" s="1"/>
  <c r="AG229" i="5"/>
  <c r="AO229" i="5" s="1"/>
  <c r="AG98" i="5"/>
  <c r="AO98" i="5" s="1"/>
  <c r="AA98" i="5"/>
  <c r="AI98" i="5" s="1"/>
  <c r="AE98" i="5"/>
  <c r="AM98" i="5" s="1"/>
  <c r="AC98" i="5"/>
  <c r="AK98" i="5" s="1"/>
  <c r="AA170" i="5"/>
  <c r="AI170" i="5" s="1"/>
  <c r="AG170" i="5"/>
  <c r="AO170" i="5" s="1"/>
  <c r="AE170" i="5"/>
  <c r="AM170" i="5" s="1"/>
  <c r="AC170" i="5"/>
  <c r="AK170" i="5" s="1"/>
  <c r="AG105" i="5"/>
  <c r="AO105" i="5" s="1"/>
  <c r="AE105" i="5"/>
  <c r="AM105" i="5" s="1"/>
  <c r="AA105" i="5"/>
  <c r="AI105" i="5" s="1"/>
  <c r="AC105" i="5"/>
  <c r="AK105" i="5" s="1"/>
  <c r="AG177" i="5"/>
  <c r="AO177" i="5" s="1"/>
  <c r="AA177" i="5"/>
  <c r="AI177" i="5" s="1"/>
  <c r="AC177" i="5"/>
  <c r="AK177" i="5" s="1"/>
  <c r="AE177" i="5"/>
  <c r="AM177" i="5" s="1"/>
  <c r="AC106" i="5"/>
  <c r="AK106" i="5" s="1"/>
  <c r="AE106" i="5"/>
  <c r="AM106" i="5" s="1"/>
  <c r="AG106" i="5"/>
  <c r="AO106" i="5" s="1"/>
  <c r="AA106" i="5"/>
  <c r="AI106" i="5" s="1"/>
  <c r="AA178" i="5"/>
  <c r="AI178" i="5" s="1"/>
  <c r="AC178" i="5"/>
  <c r="AK178" i="5" s="1"/>
  <c r="AE178" i="5"/>
  <c r="AM178" i="5" s="1"/>
  <c r="AG178" i="5"/>
  <c r="AO178" i="5" s="1"/>
  <c r="AB250" i="5"/>
  <c r="AJ250" i="5" s="1"/>
  <c r="AD250" i="5"/>
  <c r="AL250" i="5" s="1"/>
  <c r="AF250" i="5"/>
  <c r="AN250" i="5" s="1"/>
  <c r="AH250" i="5"/>
  <c r="AP250" i="5" s="1"/>
  <c r="AA159" i="5"/>
  <c r="AI159" i="5" s="1"/>
  <c r="AC159" i="5"/>
  <c r="AK159" i="5" s="1"/>
  <c r="AE159" i="5"/>
  <c r="AM159" i="5" s="1"/>
  <c r="AG159" i="5"/>
  <c r="AO159" i="5" s="1"/>
  <c r="AF137" i="5"/>
  <c r="AN137" i="5" s="1"/>
  <c r="AH137" i="5"/>
  <c r="AP137" i="5" s="1"/>
  <c r="AB137" i="5"/>
  <c r="AJ137" i="5" s="1"/>
  <c r="AD137" i="5"/>
  <c r="AL137" i="5" s="1"/>
  <c r="AB209" i="5"/>
  <c r="AJ209" i="5" s="1"/>
  <c r="AD209" i="5"/>
  <c r="AL209" i="5" s="1"/>
  <c r="AF209" i="5"/>
  <c r="AN209" i="5" s="1"/>
  <c r="AH209" i="5"/>
  <c r="AP209" i="5" s="1"/>
  <c r="AA102" i="5"/>
  <c r="AI102" i="5" s="1"/>
  <c r="Y102" i="5" s="1"/>
  <c r="Z102" i="5" s="1"/>
  <c r="AG102" i="5"/>
  <c r="AO102" i="5" s="1"/>
  <c r="AE102" i="5"/>
  <c r="AM102" i="5" s="1"/>
  <c r="AC102" i="5"/>
  <c r="AK102" i="5" s="1"/>
  <c r="AA174" i="5"/>
  <c r="AI174" i="5" s="1"/>
  <c r="AG174" i="5"/>
  <c r="AO174" i="5" s="1"/>
  <c r="AC174" i="5"/>
  <c r="AK174" i="5" s="1"/>
  <c r="AE174" i="5"/>
  <c r="AM174" i="5" s="1"/>
  <c r="AA228" i="5"/>
  <c r="AI228" i="5" s="1"/>
  <c r="AC228" i="5"/>
  <c r="AK228" i="5" s="1"/>
  <c r="AE228" i="5"/>
  <c r="AM228" i="5" s="1"/>
  <c r="AG228" i="5"/>
  <c r="AO228" i="5" s="1"/>
  <c r="AC91" i="5"/>
  <c r="AK91" i="5" s="1"/>
  <c r="AG91" i="5"/>
  <c r="AO91" i="5" s="1"/>
  <c r="AA91" i="5"/>
  <c r="AI91" i="5" s="1"/>
  <c r="AE91" i="5"/>
  <c r="AM91" i="5" s="1"/>
  <c r="AG163" i="5"/>
  <c r="AO163" i="5" s="1"/>
  <c r="AA163" i="5"/>
  <c r="AI163" i="5" s="1"/>
  <c r="AC163" i="5"/>
  <c r="AK163" i="5" s="1"/>
  <c r="AE163" i="5"/>
  <c r="AM163" i="5" s="1"/>
  <c r="AC235" i="5"/>
  <c r="AK235" i="5" s="1"/>
  <c r="AE235" i="5"/>
  <c r="AM235" i="5" s="1"/>
  <c r="AA235" i="5"/>
  <c r="AI235" i="5" s="1"/>
  <c r="AG235" i="5"/>
  <c r="AO235" i="5" s="1"/>
  <c r="AE104" i="5"/>
  <c r="AM104" i="5" s="1"/>
  <c r="AG104" i="5"/>
  <c r="AO104" i="5" s="1"/>
  <c r="AC104" i="5"/>
  <c r="AK104" i="5" s="1"/>
  <c r="AA104" i="5"/>
  <c r="AI104" i="5" s="1"/>
  <c r="AG176" i="5"/>
  <c r="AO176" i="5" s="1"/>
  <c r="AE176" i="5"/>
  <c r="AM176" i="5" s="1"/>
  <c r="AA176" i="5"/>
  <c r="AI176" i="5" s="1"/>
  <c r="AC176" i="5"/>
  <c r="AK176" i="5" s="1"/>
  <c r="AA111" i="5"/>
  <c r="AI111" i="5" s="1"/>
  <c r="AG111" i="5"/>
  <c r="AO111" i="5" s="1"/>
  <c r="AC111" i="5"/>
  <c r="AK111" i="5" s="1"/>
  <c r="AE111" i="5"/>
  <c r="AM111" i="5" s="1"/>
  <c r="AA219" i="5"/>
  <c r="AI219" i="5" s="1"/>
  <c r="AC219" i="5"/>
  <c r="AK219" i="5" s="1"/>
  <c r="AE219" i="5"/>
  <c r="AM219" i="5" s="1"/>
  <c r="AG219" i="5"/>
  <c r="AO219" i="5" s="1"/>
  <c r="AG112" i="5"/>
  <c r="AO112" i="5" s="1"/>
  <c r="AA112" i="5"/>
  <c r="AI112" i="5" s="1"/>
  <c r="AC112" i="5"/>
  <c r="AK112" i="5" s="1"/>
  <c r="AE112" i="5"/>
  <c r="AM112" i="5" s="1"/>
  <c r="AF184" i="5"/>
  <c r="AN184" i="5" s="1"/>
  <c r="AH184" i="5"/>
  <c r="AP184" i="5" s="1"/>
  <c r="AB184" i="5"/>
  <c r="AJ184" i="5" s="1"/>
  <c r="AD184" i="5"/>
  <c r="AL184" i="5" s="1"/>
  <c r="Y220" i="5"/>
  <c r="Z220" i="5" s="1"/>
  <c r="AD211" i="5"/>
  <c r="AL211" i="5" s="1"/>
  <c r="AF211" i="5"/>
  <c r="AN211" i="5" s="1"/>
  <c r="AH211" i="5"/>
  <c r="AP211" i="5" s="1"/>
  <c r="AB211" i="5"/>
  <c r="AJ211" i="5" s="1"/>
  <c r="AG152" i="5"/>
  <c r="AO152" i="5" s="1"/>
  <c r="AE152" i="5"/>
  <c r="AM152" i="5" s="1"/>
  <c r="AA152" i="5"/>
  <c r="AI152" i="5" s="1"/>
  <c r="AC152" i="5"/>
  <c r="AK152" i="5" s="1"/>
  <c r="Y237" i="5"/>
  <c r="Z237" i="5" s="1"/>
  <c r="AB143" i="5"/>
  <c r="AJ143" i="5" s="1"/>
  <c r="AD143" i="5"/>
  <c r="AL143" i="5" s="1"/>
  <c r="AF143" i="5"/>
  <c r="AN143" i="5" s="1"/>
  <c r="AH143" i="5"/>
  <c r="AP143" i="5" s="1"/>
  <c r="AA215" i="5"/>
  <c r="AI215" i="5" s="1"/>
  <c r="AC215" i="5"/>
  <c r="AK215" i="5" s="1"/>
  <c r="AE215" i="5"/>
  <c r="AM215" i="5" s="1"/>
  <c r="AG215" i="5"/>
  <c r="AO215" i="5" s="1"/>
  <c r="AC108" i="5"/>
  <c r="AK108" i="5" s="1"/>
  <c r="AE108" i="5"/>
  <c r="AM108" i="5" s="1"/>
  <c r="AG108" i="5"/>
  <c r="AO108" i="5" s="1"/>
  <c r="AA108" i="5"/>
  <c r="AI108" i="5" s="1"/>
  <c r="AA180" i="5"/>
  <c r="AI180" i="5" s="1"/>
  <c r="AG180" i="5"/>
  <c r="AO180" i="5" s="1"/>
  <c r="AC180" i="5"/>
  <c r="AK180" i="5" s="1"/>
  <c r="AE180" i="5"/>
  <c r="AM180" i="5" s="1"/>
  <c r="AG97" i="5"/>
  <c r="AO97" i="5" s="1"/>
  <c r="AA97" i="5"/>
  <c r="AI97" i="5" s="1"/>
  <c r="AE97" i="5"/>
  <c r="AM97" i="5" s="1"/>
  <c r="AC97" i="5"/>
  <c r="AK97" i="5" s="1"/>
  <c r="AG169" i="5"/>
  <c r="AO169" i="5" s="1"/>
  <c r="AA169" i="5"/>
  <c r="AI169" i="5" s="1"/>
  <c r="AC169" i="5"/>
  <c r="AK169" i="5" s="1"/>
  <c r="AE169" i="5"/>
  <c r="AM169" i="5" s="1"/>
  <c r="AC241" i="5"/>
  <c r="AK241" i="5" s="1"/>
  <c r="AE241" i="5"/>
  <c r="AM241" i="5" s="1"/>
  <c r="AA241" i="5"/>
  <c r="AI241" i="5" s="1"/>
  <c r="AG241" i="5"/>
  <c r="AO241" i="5" s="1"/>
  <c r="AA110" i="5"/>
  <c r="AI110" i="5" s="1"/>
  <c r="AC110" i="5"/>
  <c r="AK110" i="5" s="1"/>
  <c r="AE110" i="5"/>
  <c r="AM110" i="5" s="1"/>
  <c r="AG110" i="5"/>
  <c r="AO110" i="5" s="1"/>
  <c r="AH182" i="5"/>
  <c r="AP182" i="5" s="1"/>
  <c r="AD182" i="5"/>
  <c r="AL182" i="5" s="1"/>
  <c r="AB182" i="5"/>
  <c r="AJ182" i="5" s="1"/>
  <c r="AF182" i="5"/>
  <c r="AN182" i="5" s="1"/>
  <c r="AA218" i="5"/>
  <c r="AI218" i="5" s="1"/>
  <c r="AC218" i="5"/>
  <c r="AK218" i="5" s="1"/>
  <c r="AE218" i="5"/>
  <c r="AM218" i="5" s="1"/>
  <c r="AG218" i="5"/>
  <c r="AO218" i="5" s="1"/>
  <c r="AA117" i="5"/>
  <c r="AI117" i="5" s="1"/>
  <c r="AC117" i="5"/>
  <c r="AK117" i="5" s="1"/>
  <c r="AE117" i="5"/>
  <c r="AM117" i="5" s="1"/>
  <c r="AG117" i="5"/>
  <c r="AO117" i="5" s="1"/>
  <c r="AB189" i="5"/>
  <c r="AJ189" i="5" s="1"/>
  <c r="AD189" i="5"/>
  <c r="AL189" i="5" s="1"/>
  <c r="AF189" i="5"/>
  <c r="AN189" i="5" s="1"/>
  <c r="AH189" i="5"/>
  <c r="AP189" i="5" s="1"/>
  <c r="Y243" i="5"/>
  <c r="Z243" i="5" s="1"/>
  <c r="Y261" i="5"/>
  <c r="Z261" i="5" s="1"/>
  <c r="AH118" i="5"/>
  <c r="AP118" i="5" s="1"/>
  <c r="AF118" i="5"/>
  <c r="AN118" i="5" s="1"/>
  <c r="AD118" i="5"/>
  <c r="AL118" i="5" s="1"/>
  <c r="AB118" i="5"/>
  <c r="AJ118" i="5" s="1"/>
  <c r="AB190" i="5"/>
  <c r="AJ190" i="5" s="1"/>
  <c r="AD190" i="5"/>
  <c r="AL190" i="5" s="1"/>
  <c r="AF190" i="5"/>
  <c r="AN190" i="5" s="1"/>
  <c r="AH190" i="5"/>
  <c r="AP190" i="5" s="1"/>
  <c r="AA226" i="5"/>
  <c r="AI226" i="5" s="1"/>
  <c r="AC226" i="5"/>
  <c r="AK226" i="5" s="1"/>
  <c r="AE226" i="5"/>
  <c r="AM226" i="5" s="1"/>
  <c r="AG226" i="5"/>
  <c r="AO226" i="5" s="1"/>
  <c r="AE93" i="5"/>
  <c r="AM93" i="5" s="1"/>
  <c r="AC93" i="5"/>
  <c r="AK93" i="5" s="1"/>
  <c r="AG93" i="5"/>
  <c r="AO93" i="5" s="1"/>
  <c r="AA93" i="5"/>
  <c r="AI93" i="5" s="1"/>
  <c r="AF149" i="5"/>
  <c r="AN149" i="5" s="1"/>
  <c r="AD149" i="5"/>
  <c r="AL149" i="5" s="1"/>
  <c r="AB149" i="5"/>
  <c r="AJ149" i="5" s="1"/>
  <c r="AH149" i="5"/>
  <c r="AP149" i="5" s="1"/>
  <c r="AA221" i="5"/>
  <c r="AI221" i="5" s="1"/>
  <c r="AC221" i="5"/>
  <c r="AK221" i="5" s="1"/>
  <c r="AE221" i="5"/>
  <c r="AM221" i="5" s="1"/>
  <c r="AG221" i="5"/>
  <c r="AO221" i="5" s="1"/>
  <c r="AG114" i="5"/>
  <c r="AO114" i="5" s="1"/>
  <c r="AA114" i="5"/>
  <c r="AI114" i="5" s="1"/>
  <c r="AC114" i="5"/>
  <c r="AK114" i="5" s="1"/>
  <c r="AE114" i="5"/>
  <c r="AM114" i="5" s="1"/>
  <c r="AB186" i="5"/>
  <c r="AJ186" i="5" s="1"/>
  <c r="AD186" i="5"/>
  <c r="AL186" i="5" s="1"/>
  <c r="AF186" i="5"/>
  <c r="AN186" i="5" s="1"/>
  <c r="AH186" i="5"/>
  <c r="AP186" i="5" s="1"/>
  <c r="Y234" i="5"/>
  <c r="Z234" i="5" s="1"/>
  <c r="AC103" i="5"/>
  <c r="AK103" i="5" s="1"/>
  <c r="AA103" i="5"/>
  <c r="AI103" i="5" s="1"/>
  <c r="AE103" i="5"/>
  <c r="AM103" i="5" s="1"/>
  <c r="AG103" i="5"/>
  <c r="AO103" i="5" s="1"/>
  <c r="AE175" i="5"/>
  <c r="AM175" i="5" s="1"/>
  <c r="AG175" i="5"/>
  <c r="AO175" i="5" s="1"/>
  <c r="AA175" i="5"/>
  <c r="AI175" i="5" s="1"/>
  <c r="AC175" i="5"/>
  <c r="AK175" i="5" s="1"/>
  <c r="AB247" i="5"/>
  <c r="AJ247" i="5" s="1"/>
  <c r="AD247" i="5"/>
  <c r="AL247" i="5" s="1"/>
  <c r="AF247" i="5"/>
  <c r="AN247" i="5" s="1"/>
  <c r="AH247" i="5"/>
  <c r="AP247" i="5" s="1"/>
  <c r="AC116" i="5"/>
  <c r="AK116" i="5" s="1"/>
  <c r="AA116" i="5"/>
  <c r="AI116" i="5" s="1"/>
  <c r="AE116" i="5"/>
  <c r="AM116" i="5" s="1"/>
  <c r="AG116" i="5"/>
  <c r="AO116" i="5" s="1"/>
  <c r="AD188" i="5"/>
  <c r="AL188" i="5" s="1"/>
  <c r="AF188" i="5"/>
  <c r="AN188" i="5" s="1"/>
  <c r="AB188" i="5"/>
  <c r="AJ188" i="5" s="1"/>
  <c r="AH188" i="5"/>
  <c r="AP188" i="5" s="1"/>
  <c r="Y242" i="5"/>
  <c r="Z242" i="5" s="1"/>
  <c r="AD123" i="5"/>
  <c r="AL123" i="5" s="1"/>
  <c r="AF123" i="5"/>
  <c r="AN123" i="5" s="1"/>
  <c r="AB123" i="5"/>
  <c r="AJ123" i="5" s="1"/>
  <c r="AH123" i="5"/>
  <c r="AP123" i="5" s="1"/>
  <c r="AF195" i="5"/>
  <c r="AN195" i="5" s="1"/>
  <c r="AH195" i="5"/>
  <c r="AP195" i="5" s="1"/>
  <c r="AB195" i="5"/>
  <c r="AJ195" i="5" s="1"/>
  <c r="AD195" i="5"/>
  <c r="AL195" i="5" s="1"/>
  <c r="Y76" i="5"/>
  <c r="Z76" i="5" s="1"/>
  <c r="AB124" i="5"/>
  <c r="AJ124" i="5" s="1"/>
  <c r="AD124" i="5"/>
  <c r="AL124" i="5" s="1"/>
  <c r="AF124" i="5"/>
  <c r="AN124" i="5" s="1"/>
  <c r="AH124" i="5"/>
  <c r="AP124" i="5" s="1"/>
  <c r="AF196" i="5"/>
  <c r="AN196" i="5" s="1"/>
  <c r="AH196" i="5"/>
  <c r="AP196" i="5" s="1"/>
  <c r="AD196" i="5"/>
  <c r="AL196" i="5" s="1"/>
  <c r="AB196" i="5"/>
  <c r="AJ196" i="5" s="1"/>
  <c r="AD70" i="5"/>
  <c r="AL70" i="5" s="1"/>
  <c r="AB70" i="5"/>
  <c r="AJ70" i="5" s="1"/>
  <c r="AH70" i="5"/>
  <c r="AP70" i="5" s="1"/>
  <c r="AF70" i="5"/>
  <c r="AN70" i="5" s="1"/>
  <c r="AG87" i="5"/>
  <c r="AO87" i="5" s="1"/>
  <c r="AA87" i="5"/>
  <c r="AI87" i="5" s="1"/>
  <c r="AE87" i="5"/>
  <c r="AM87" i="5" s="1"/>
  <c r="AC87" i="5"/>
  <c r="AK87" i="5" s="1"/>
  <c r="Y222" i="5"/>
  <c r="Z222" i="5" s="1"/>
  <c r="AA155" i="5"/>
  <c r="AI155" i="5" s="1"/>
  <c r="AG155" i="5"/>
  <c r="AO155" i="5" s="1"/>
  <c r="AC155" i="5"/>
  <c r="AK155" i="5" s="1"/>
  <c r="AE155" i="5"/>
  <c r="AM155" i="5" s="1"/>
  <c r="AA227" i="5"/>
  <c r="AI227" i="5" s="1"/>
  <c r="AC227" i="5"/>
  <c r="AK227" i="5" s="1"/>
  <c r="AG227" i="5"/>
  <c r="AO227" i="5" s="1"/>
  <c r="AE227" i="5"/>
  <c r="AM227" i="5" s="1"/>
  <c r="AB120" i="5"/>
  <c r="AJ120" i="5" s="1"/>
  <c r="AD120" i="5"/>
  <c r="AL120" i="5" s="1"/>
  <c r="AH120" i="5"/>
  <c r="AP120" i="5" s="1"/>
  <c r="AF120" i="5"/>
  <c r="AN120" i="5" s="1"/>
  <c r="AH192" i="5"/>
  <c r="AP192" i="5" s="1"/>
  <c r="AF192" i="5"/>
  <c r="AN192" i="5" s="1"/>
  <c r="AB192" i="5"/>
  <c r="AJ192" i="5" s="1"/>
  <c r="AD192" i="5"/>
  <c r="AL192" i="5" s="1"/>
  <c r="AG109" i="5"/>
  <c r="AO109" i="5" s="1"/>
  <c r="AE109" i="5"/>
  <c r="AM109" i="5" s="1"/>
  <c r="AA109" i="5"/>
  <c r="AI109" i="5" s="1"/>
  <c r="AC109" i="5"/>
  <c r="AK109" i="5" s="1"/>
  <c r="AE181" i="5"/>
  <c r="AM181" i="5" s="1"/>
  <c r="AG181" i="5"/>
  <c r="AO181" i="5" s="1"/>
  <c r="AA181" i="5"/>
  <c r="AI181" i="5" s="1"/>
  <c r="AC181" i="5"/>
  <c r="AK181" i="5" s="1"/>
  <c r="AB253" i="5"/>
  <c r="AJ253" i="5" s="1"/>
  <c r="AD253" i="5"/>
  <c r="AL253" i="5" s="1"/>
  <c r="AF253" i="5"/>
  <c r="AN253" i="5" s="1"/>
  <c r="AH253" i="5"/>
  <c r="AP253" i="5" s="1"/>
  <c r="AB122" i="5"/>
  <c r="AJ122" i="5" s="1"/>
  <c r="AD122" i="5"/>
  <c r="AL122" i="5" s="1"/>
  <c r="AF122" i="5"/>
  <c r="AN122" i="5" s="1"/>
  <c r="AH122" i="5"/>
  <c r="AP122" i="5" s="1"/>
  <c r="AB194" i="5"/>
  <c r="AJ194" i="5" s="1"/>
  <c r="AH194" i="5"/>
  <c r="AP194" i="5" s="1"/>
  <c r="AD194" i="5"/>
  <c r="AL194" i="5" s="1"/>
  <c r="AF194" i="5"/>
  <c r="AN194" i="5" s="1"/>
  <c r="AD81" i="5"/>
  <c r="AL81" i="5" s="1"/>
  <c r="AH81" i="5"/>
  <c r="AP81" i="5" s="1"/>
  <c r="AF81" i="5"/>
  <c r="AN81" i="5" s="1"/>
  <c r="AB81" i="5"/>
  <c r="AJ81" i="5" s="1"/>
  <c r="AD129" i="5"/>
  <c r="AL129" i="5" s="1"/>
  <c r="AB129" i="5"/>
  <c r="AJ129" i="5" s="1"/>
  <c r="AF129" i="5"/>
  <c r="AN129" i="5" s="1"/>
  <c r="AH129" i="5"/>
  <c r="AP129" i="5" s="1"/>
  <c r="AB130" i="5"/>
  <c r="AJ130" i="5" s="1"/>
  <c r="AD130" i="5"/>
  <c r="AL130" i="5" s="1"/>
  <c r="AF130" i="5"/>
  <c r="AN130" i="5" s="1"/>
  <c r="AH130" i="5"/>
  <c r="AP130" i="5" s="1"/>
  <c r="AB202" i="5"/>
  <c r="AJ202" i="5" s="1"/>
  <c r="AD202" i="5"/>
  <c r="AL202" i="5" s="1"/>
  <c r="AF202" i="5"/>
  <c r="AN202" i="5" s="1"/>
  <c r="AH202" i="5"/>
  <c r="AP202" i="5" s="1"/>
  <c r="Y256" i="5"/>
  <c r="Z256" i="5" s="1"/>
  <c r="AD257" i="5"/>
  <c r="AL257" i="5" s="1"/>
  <c r="AF257" i="5"/>
  <c r="AN257" i="5" s="1"/>
  <c r="AB257" i="5"/>
  <c r="AJ257" i="5" s="1"/>
  <c r="AH257" i="5"/>
  <c r="AP257" i="5" s="1"/>
  <c r="AG214" i="5"/>
  <c r="AO214" i="5" s="1"/>
  <c r="AE214" i="5"/>
  <c r="AM214" i="5" s="1"/>
  <c r="AC214" i="5"/>
  <c r="AK214" i="5" s="1"/>
  <c r="AA214" i="5"/>
  <c r="AI214" i="5" s="1"/>
  <c r="AD191" i="5"/>
  <c r="AL191" i="5" s="1"/>
  <c r="AF191" i="5"/>
  <c r="AN191" i="5" s="1"/>
  <c r="AH191" i="5"/>
  <c r="AP191" i="5" s="1"/>
  <c r="AB191" i="5"/>
  <c r="AJ191" i="5" s="1"/>
  <c r="Y255" i="5"/>
  <c r="Z255" i="5" s="1"/>
  <c r="AC89" i="5"/>
  <c r="AK89" i="5" s="1"/>
  <c r="AG89" i="5"/>
  <c r="AO89" i="5" s="1"/>
  <c r="AA89" i="5"/>
  <c r="AI89" i="5" s="1"/>
  <c r="AE89" i="5"/>
  <c r="AM89" i="5" s="1"/>
  <c r="AC161" i="5"/>
  <c r="AK161" i="5" s="1"/>
  <c r="AE161" i="5"/>
  <c r="AM161" i="5" s="1"/>
  <c r="AA161" i="5"/>
  <c r="AI161" i="5" s="1"/>
  <c r="AG161" i="5"/>
  <c r="AO161" i="5" s="1"/>
  <c r="AA233" i="5"/>
  <c r="AI233" i="5" s="1"/>
  <c r="AC233" i="5"/>
  <c r="AK233" i="5" s="1"/>
  <c r="AE233" i="5"/>
  <c r="AM233" i="5" s="1"/>
  <c r="AG233" i="5"/>
  <c r="AO233" i="5" s="1"/>
  <c r="AB126" i="5"/>
  <c r="AJ126" i="5" s="1"/>
  <c r="AD126" i="5"/>
  <c r="AL126" i="5" s="1"/>
  <c r="AF126" i="5"/>
  <c r="AN126" i="5" s="1"/>
  <c r="AH126" i="5"/>
  <c r="AP126" i="5" s="1"/>
  <c r="AB198" i="5"/>
  <c r="AJ198" i="5" s="1"/>
  <c r="AD198" i="5"/>
  <c r="AL198" i="5" s="1"/>
  <c r="AH198" i="5"/>
  <c r="AP198" i="5" s="1"/>
  <c r="AF198" i="5"/>
  <c r="AN198" i="5" s="1"/>
  <c r="Y252" i="5"/>
  <c r="Z252" i="5" s="1"/>
  <c r="AA115" i="5"/>
  <c r="AI115" i="5" s="1"/>
  <c r="AE115" i="5"/>
  <c r="AM115" i="5" s="1"/>
  <c r="AG115" i="5"/>
  <c r="AO115" i="5" s="1"/>
  <c r="AC115" i="5"/>
  <c r="AK115" i="5" s="1"/>
  <c r="AB187" i="5"/>
  <c r="AJ187" i="5" s="1"/>
  <c r="Y187" i="5" s="1"/>
  <c r="Z187" i="5" s="1"/>
  <c r="AD187" i="5"/>
  <c r="AL187" i="5" s="1"/>
  <c r="AF187" i="5"/>
  <c r="AN187" i="5" s="1"/>
  <c r="AH187" i="5"/>
  <c r="AP187" i="5" s="1"/>
  <c r="AB128" i="5"/>
  <c r="AJ128" i="5" s="1"/>
  <c r="AD128" i="5"/>
  <c r="AL128" i="5" s="1"/>
  <c r="AF128" i="5"/>
  <c r="AN128" i="5" s="1"/>
  <c r="AH128" i="5"/>
  <c r="AP128" i="5" s="1"/>
  <c r="Y248" i="5"/>
  <c r="Z248" i="5" s="1"/>
  <c r="AD74" i="5"/>
  <c r="AL74" i="5" s="1"/>
  <c r="AH74" i="5"/>
  <c r="AP74" i="5" s="1"/>
  <c r="AF74" i="5"/>
  <c r="AN74" i="5" s="1"/>
  <c r="AB74" i="5"/>
  <c r="AJ74" i="5" s="1"/>
  <c r="AB135" i="5"/>
  <c r="AJ135" i="5" s="1"/>
  <c r="AD135" i="5"/>
  <c r="AL135" i="5" s="1"/>
  <c r="AF135" i="5"/>
  <c r="AN135" i="5" s="1"/>
  <c r="AH135" i="5"/>
  <c r="AP135" i="5" s="1"/>
  <c r="Y225" i="5"/>
  <c r="Z225" i="5" s="1"/>
  <c r="AB136" i="5"/>
  <c r="AJ136" i="5" s="1"/>
  <c r="AH136" i="5"/>
  <c r="AP136" i="5" s="1"/>
  <c r="AD136" i="5"/>
  <c r="AL136" i="5" s="1"/>
  <c r="AF136" i="5"/>
  <c r="AN136" i="5" s="1"/>
  <c r="AG156" i="5"/>
  <c r="AO156" i="5" s="1"/>
  <c r="AE156" i="5"/>
  <c r="AM156" i="5" s="1"/>
  <c r="AA156" i="5"/>
  <c r="AI156" i="5" s="1"/>
  <c r="AC156" i="5"/>
  <c r="AK156" i="5" s="1"/>
  <c r="AD72" i="5"/>
  <c r="AL72" i="5" s="1"/>
  <c r="AF72" i="5"/>
  <c r="AN72" i="5" s="1"/>
  <c r="AB72" i="5"/>
  <c r="AJ72" i="5" s="1"/>
  <c r="AH72" i="5"/>
  <c r="AP72" i="5" s="1"/>
  <c r="AC217" i="5"/>
  <c r="AK217" i="5" s="1"/>
  <c r="AE217" i="5"/>
  <c r="AM217" i="5" s="1"/>
  <c r="AA217" i="5"/>
  <c r="AI217" i="5" s="1"/>
  <c r="AG217" i="5"/>
  <c r="AO217" i="5" s="1"/>
  <c r="AB85" i="5"/>
  <c r="AJ85" i="5" s="1"/>
  <c r="AD85" i="5"/>
  <c r="AL85" i="5" s="1"/>
  <c r="AF85" i="5"/>
  <c r="AN85" i="5" s="1"/>
  <c r="AH85" i="5"/>
  <c r="AP85" i="5" s="1"/>
  <c r="AA165" i="5"/>
  <c r="AI165" i="5" s="1"/>
  <c r="AC165" i="5"/>
  <c r="AK165" i="5" s="1"/>
  <c r="AG165" i="5"/>
  <c r="AO165" i="5" s="1"/>
  <c r="AE165" i="5"/>
  <c r="AM165" i="5" s="1"/>
  <c r="AE95" i="5"/>
  <c r="AM95" i="5" s="1"/>
  <c r="AG95" i="5"/>
  <c r="AO95" i="5" s="1"/>
  <c r="AC95" i="5"/>
  <c r="AK95" i="5" s="1"/>
  <c r="AA95" i="5"/>
  <c r="AI95" i="5" s="1"/>
  <c r="AC167" i="5"/>
  <c r="AK167" i="5" s="1"/>
  <c r="AE167" i="5"/>
  <c r="AM167" i="5" s="1"/>
  <c r="AA167" i="5"/>
  <c r="AI167" i="5" s="1"/>
  <c r="AG167" i="5"/>
  <c r="AO167" i="5" s="1"/>
  <c r="AA239" i="5"/>
  <c r="AI239" i="5" s="1"/>
  <c r="AC239" i="5"/>
  <c r="AK239" i="5" s="1"/>
  <c r="AE239" i="5"/>
  <c r="AM239" i="5" s="1"/>
  <c r="AG239" i="5"/>
  <c r="AO239" i="5" s="1"/>
  <c r="AH132" i="5"/>
  <c r="AP132" i="5" s="1"/>
  <c r="AB132" i="5"/>
  <c r="AJ132" i="5" s="1"/>
  <c r="AD132" i="5"/>
  <c r="AL132" i="5" s="1"/>
  <c r="AF132" i="5"/>
  <c r="AN132" i="5" s="1"/>
  <c r="AF204" i="5"/>
  <c r="AN204" i="5" s="1"/>
  <c r="AH204" i="5"/>
  <c r="AP204" i="5" s="1"/>
  <c r="AD204" i="5"/>
  <c r="AL204" i="5" s="1"/>
  <c r="AB204" i="5"/>
  <c r="AJ204" i="5" s="1"/>
  <c r="AB121" i="5"/>
  <c r="AJ121" i="5" s="1"/>
  <c r="AD121" i="5"/>
  <c r="AL121" i="5" s="1"/>
  <c r="AF121" i="5"/>
  <c r="AN121" i="5" s="1"/>
  <c r="AH121" i="5"/>
  <c r="AP121" i="5" s="1"/>
  <c r="AH193" i="5"/>
  <c r="AP193" i="5" s="1"/>
  <c r="AF193" i="5"/>
  <c r="AN193" i="5" s="1"/>
  <c r="AB193" i="5"/>
  <c r="AJ193" i="5" s="1"/>
  <c r="AD193" i="5"/>
  <c r="AL193" i="5" s="1"/>
  <c r="AH134" i="5"/>
  <c r="AP134" i="5" s="1"/>
  <c r="AF134" i="5"/>
  <c r="AN134" i="5" s="1"/>
  <c r="AB134" i="5"/>
  <c r="AJ134" i="5" s="1"/>
  <c r="AD134" i="5"/>
  <c r="AL134" i="5" s="1"/>
  <c r="Y224" i="5"/>
  <c r="Z224" i="5" s="1"/>
  <c r="AD80" i="5"/>
  <c r="AL80" i="5" s="1"/>
  <c r="AB80" i="5"/>
  <c r="AJ80" i="5" s="1"/>
  <c r="AF80" i="5"/>
  <c r="AN80" i="5" s="1"/>
  <c r="AH80" i="5"/>
  <c r="AP80" i="5" s="1"/>
  <c r="AF141" i="5"/>
  <c r="AN141" i="5" s="1"/>
  <c r="AH141" i="5"/>
  <c r="AP141" i="5" s="1"/>
  <c r="AB141" i="5"/>
  <c r="AJ141" i="5" s="1"/>
  <c r="AD141" i="5"/>
  <c r="AL141" i="5" s="1"/>
  <c r="AA231" i="5"/>
  <c r="AI231" i="5" s="1"/>
  <c r="AC231" i="5"/>
  <c r="AK231" i="5" s="1"/>
  <c r="AE231" i="5"/>
  <c r="AM231" i="5" s="1"/>
  <c r="AG231" i="5"/>
  <c r="AO231" i="5" s="1"/>
  <c r="AH142" i="5"/>
  <c r="AP142" i="5" s="1"/>
  <c r="AF142" i="5"/>
  <c r="AN142" i="5" s="1"/>
  <c r="AB142" i="5"/>
  <c r="AJ142" i="5" s="1"/>
  <c r="AD142" i="5"/>
  <c r="AL142" i="5" s="1"/>
  <c r="AG113" i="5"/>
  <c r="AO113" i="5" s="1"/>
  <c r="AA113" i="5"/>
  <c r="AI113" i="5" s="1"/>
  <c r="AC113" i="5"/>
  <c r="AK113" i="5" s="1"/>
  <c r="AE113" i="5"/>
  <c r="AM113" i="5" s="1"/>
  <c r="AA166" i="5"/>
  <c r="AI166" i="5" s="1"/>
  <c r="AC166" i="5"/>
  <c r="AK166" i="5" s="1"/>
  <c r="AE166" i="5"/>
  <c r="AM166" i="5" s="1"/>
  <c r="AG166" i="5"/>
  <c r="AO166" i="5" s="1"/>
  <c r="AA173" i="5"/>
  <c r="AI173" i="5" s="1"/>
  <c r="AC173" i="5"/>
  <c r="AK173" i="5" s="1"/>
  <c r="AE173" i="5"/>
  <c r="AM173" i="5" s="1"/>
  <c r="AG173" i="5"/>
  <c r="AO173" i="5" s="1"/>
  <c r="AA245" i="5"/>
  <c r="AI245" i="5" s="1"/>
  <c r="AC245" i="5"/>
  <c r="AK245" i="5" s="1"/>
  <c r="AE245" i="5"/>
  <c r="AM245" i="5" s="1"/>
  <c r="AG245" i="5"/>
  <c r="AO245" i="5" s="1"/>
  <c r="AF138" i="5"/>
  <c r="AN138" i="5" s="1"/>
  <c r="AD138" i="5"/>
  <c r="AL138" i="5" s="1"/>
  <c r="AB138" i="5"/>
  <c r="AJ138" i="5" s="1"/>
  <c r="AH138" i="5"/>
  <c r="AP138" i="5" s="1"/>
  <c r="AD210" i="5"/>
  <c r="AL210" i="5" s="1"/>
  <c r="AF210" i="5"/>
  <c r="AN210" i="5" s="1"/>
  <c r="AB210" i="5"/>
  <c r="AJ210" i="5" s="1"/>
  <c r="AH210" i="5"/>
  <c r="AP210" i="5" s="1"/>
  <c r="Y240" i="5"/>
  <c r="Z240" i="5" s="1"/>
  <c r="AB127" i="5"/>
  <c r="AJ127" i="5" s="1"/>
  <c r="AD127" i="5"/>
  <c r="AL127" i="5" s="1"/>
  <c r="AF127" i="5"/>
  <c r="AN127" i="5" s="1"/>
  <c r="AH127" i="5"/>
  <c r="AP127" i="5" s="1"/>
  <c r="AB199" i="5"/>
  <c r="AJ199" i="5" s="1"/>
  <c r="AD199" i="5"/>
  <c r="AL199" i="5" s="1"/>
  <c r="AF199" i="5"/>
  <c r="AN199" i="5" s="1"/>
  <c r="AH199" i="5"/>
  <c r="AP199" i="5" s="1"/>
  <c r="AD140" i="5"/>
  <c r="AL140" i="5" s="1"/>
  <c r="AB140" i="5"/>
  <c r="AJ140" i="5" s="1"/>
  <c r="AF140" i="5"/>
  <c r="AN140" i="5" s="1"/>
  <c r="AH140" i="5"/>
  <c r="AP140" i="5" s="1"/>
  <c r="AA230" i="5"/>
  <c r="AI230" i="5" s="1"/>
  <c r="AC230" i="5"/>
  <c r="AK230" i="5" s="1"/>
  <c r="AE230" i="5"/>
  <c r="AM230" i="5" s="1"/>
  <c r="AG230" i="5"/>
  <c r="AO230" i="5" s="1"/>
  <c r="AG86" i="5"/>
  <c r="AO86" i="5" s="1"/>
  <c r="AE86" i="5"/>
  <c r="AM86" i="5" s="1"/>
  <c r="AC86" i="5"/>
  <c r="AK86" i="5" s="1"/>
  <c r="AA86" i="5"/>
  <c r="AI86" i="5" s="1"/>
  <c r="AH147" i="5"/>
  <c r="AP147" i="5" s="1"/>
  <c r="AB147" i="5"/>
  <c r="AJ147" i="5" s="1"/>
  <c r="AD147" i="5"/>
  <c r="AL147" i="5" s="1"/>
  <c r="AF147" i="5"/>
  <c r="AN147" i="5" s="1"/>
  <c r="Y201" i="5"/>
  <c r="Z201" i="5" s="1"/>
  <c r="AH148" i="5"/>
  <c r="AP148" i="5" s="1"/>
  <c r="AB148" i="5"/>
  <c r="AJ148" i="5" s="1"/>
  <c r="AD148" i="5"/>
  <c r="AL148" i="5" s="1"/>
  <c r="AF148" i="5"/>
  <c r="AN148" i="5" s="1"/>
  <c r="Y208" i="5"/>
  <c r="Z208" i="5" s="1"/>
  <c r="AA238" i="5"/>
  <c r="AI238" i="5" s="1"/>
  <c r="AC238" i="5"/>
  <c r="AK238" i="5" s="1"/>
  <c r="AE238" i="5"/>
  <c r="AM238" i="5" s="1"/>
  <c r="AG238" i="5"/>
  <c r="AO238" i="5" s="1"/>
  <c r="AG88" i="5"/>
  <c r="AO88" i="5" s="1"/>
  <c r="AA88" i="5"/>
  <c r="AI88" i="5" s="1"/>
  <c r="AE88" i="5"/>
  <c r="AM88" i="5" s="1"/>
  <c r="AC88" i="5"/>
  <c r="AK88" i="5" s="1"/>
  <c r="AF145" i="5"/>
  <c r="AN145" i="5" s="1"/>
  <c r="AD145" i="5"/>
  <c r="AL145" i="5" s="1"/>
  <c r="AH145" i="5"/>
  <c r="AP145" i="5" s="1"/>
  <c r="AB145" i="5"/>
  <c r="AJ145" i="5" s="1"/>
  <c r="AA158" i="5"/>
  <c r="AI158" i="5" s="1"/>
  <c r="AC158" i="5"/>
  <c r="AK158" i="5" s="1"/>
  <c r="AE158" i="5"/>
  <c r="AM158" i="5" s="1"/>
  <c r="AG158" i="5"/>
  <c r="AO158" i="5" s="1"/>
  <c r="AE94" i="5"/>
  <c r="AM94" i="5" s="1"/>
  <c r="AC94" i="5"/>
  <c r="AK94" i="5" s="1"/>
  <c r="AG94" i="5"/>
  <c r="AO94" i="5" s="1"/>
  <c r="AA94" i="5"/>
  <c r="AI94" i="5" s="1"/>
  <c r="AE107" i="5"/>
  <c r="AM107" i="5" s="1"/>
  <c r="AC107" i="5"/>
  <c r="AK107" i="5" s="1"/>
  <c r="AA107" i="5"/>
  <c r="AI107" i="5" s="1"/>
  <c r="AG107" i="5"/>
  <c r="AO107" i="5" s="1"/>
  <c r="AA179" i="5"/>
  <c r="AI179" i="5" s="1"/>
  <c r="AC179" i="5"/>
  <c r="AK179" i="5" s="1"/>
  <c r="AE179" i="5"/>
  <c r="AM179" i="5" s="1"/>
  <c r="AG179" i="5"/>
  <c r="AO179" i="5" s="1"/>
  <c r="AD251" i="5"/>
  <c r="AL251" i="5" s="1"/>
  <c r="AF251" i="5"/>
  <c r="AN251" i="5" s="1"/>
  <c r="AB251" i="5"/>
  <c r="AJ251" i="5" s="1"/>
  <c r="AH251" i="5"/>
  <c r="AP251" i="5" s="1"/>
  <c r="AH144" i="5"/>
  <c r="AP144" i="5" s="1"/>
  <c r="AB144" i="5"/>
  <c r="AJ144" i="5" s="1"/>
  <c r="AD144" i="5"/>
  <c r="AL144" i="5" s="1"/>
  <c r="AF144" i="5"/>
  <c r="AN144" i="5" s="1"/>
  <c r="AA216" i="5"/>
  <c r="AI216" i="5" s="1"/>
  <c r="AC216" i="5"/>
  <c r="AK216" i="5" s="1"/>
  <c r="AE216" i="5"/>
  <c r="AM216" i="5" s="1"/>
  <c r="AG216" i="5"/>
  <c r="AO216" i="5" s="1"/>
  <c r="AF133" i="5"/>
  <c r="AN133" i="5" s="1"/>
  <c r="AH133" i="5"/>
  <c r="AP133" i="5" s="1"/>
  <c r="AB133" i="5"/>
  <c r="AJ133" i="5" s="1"/>
  <c r="AD133" i="5"/>
  <c r="AL133" i="5" s="1"/>
  <c r="AB205" i="5"/>
  <c r="AJ205" i="5" s="1"/>
  <c r="AH205" i="5"/>
  <c r="AP205" i="5" s="1"/>
  <c r="AD205" i="5"/>
  <c r="AL205" i="5" s="1"/>
  <c r="AF205" i="5"/>
  <c r="AN205" i="5" s="1"/>
  <c r="Y259" i="5"/>
  <c r="Z259" i="5" s="1"/>
  <c r="AD146" i="5"/>
  <c r="AL146" i="5" s="1"/>
  <c r="AF146" i="5"/>
  <c r="AN146" i="5" s="1"/>
  <c r="AH146" i="5"/>
  <c r="AP146" i="5" s="1"/>
  <c r="AB146" i="5"/>
  <c r="AJ146" i="5" s="1"/>
  <c r="Y200" i="5"/>
  <c r="Z200" i="5" s="1"/>
  <c r="AD82" i="5"/>
  <c r="AL82" i="5" s="1"/>
  <c r="AF82" i="5"/>
  <c r="AN82" i="5" s="1"/>
  <c r="AB82" i="5"/>
  <c r="AJ82" i="5" s="1"/>
  <c r="AH82" i="5"/>
  <c r="AP82" i="5" s="1"/>
  <c r="AG153" i="5"/>
  <c r="AO153" i="5" s="1"/>
  <c r="AA153" i="5"/>
  <c r="AI153" i="5" s="1"/>
  <c r="AC153" i="5"/>
  <c r="AK153" i="5" s="1"/>
  <c r="AE153" i="5"/>
  <c r="AM153" i="5" s="1"/>
  <c r="AB207" i="5"/>
  <c r="AJ207" i="5" s="1"/>
  <c r="AH207" i="5"/>
  <c r="AP207" i="5" s="1"/>
  <c r="AD207" i="5"/>
  <c r="AL207" i="5" s="1"/>
  <c r="AF207" i="5"/>
  <c r="AN207" i="5" s="1"/>
  <c r="AD75" i="5"/>
  <c r="AL75" i="5" s="1"/>
  <c r="AF75" i="5"/>
  <c r="AN75" i="5" s="1"/>
  <c r="AH75" i="5"/>
  <c r="AP75" i="5" s="1"/>
  <c r="AB75" i="5"/>
  <c r="AJ75" i="5" s="1"/>
  <c r="AA154" i="5"/>
  <c r="AI154" i="5" s="1"/>
  <c r="AC154" i="5"/>
  <c r="AK154" i="5" s="1"/>
  <c r="AE154" i="5"/>
  <c r="AM154" i="5" s="1"/>
  <c r="AG154" i="5"/>
  <c r="AO154" i="5" s="1"/>
  <c r="R207" i="2"/>
  <c r="S207" i="2"/>
  <c r="S187" i="2"/>
  <c r="R187" i="2"/>
  <c r="R199" i="2"/>
  <c r="S199" i="2"/>
  <c r="R211" i="2"/>
  <c r="S211" i="2"/>
  <c r="R191" i="2"/>
  <c r="S191" i="2"/>
  <c r="R195" i="2"/>
  <c r="S195" i="2"/>
  <c r="R203" i="2"/>
  <c r="S203" i="2"/>
  <c r="R213" i="2"/>
  <c r="S213" i="2"/>
  <c r="R209" i="2"/>
  <c r="S209" i="2"/>
  <c r="S205" i="2"/>
  <c r="R205" i="2"/>
  <c r="R201" i="2"/>
  <c r="S201" i="2"/>
  <c r="R197" i="2"/>
  <c r="S197" i="2"/>
  <c r="S193" i="2"/>
  <c r="R193" i="2"/>
  <c r="R189" i="2"/>
  <c r="S189" i="2"/>
  <c r="S185" i="2"/>
  <c r="R185" i="2"/>
  <c r="S183" i="2"/>
  <c r="S177" i="2"/>
  <c r="S171" i="2"/>
  <c r="S165" i="2"/>
  <c r="S159" i="2"/>
  <c r="S153" i="2"/>
  <c r="S179" i="2"/>
  <c r="S173" i="2"/>
  <c r="S167" i="2"/>
  <c r="S161" i="2"/>
  <c r="S155" i="2"/>
  <c r="S181" i="2"/>
  <c r="S175" i="2"/>
  <c r="S169" i="2"/>
  <c r="S163" i="2"/>
  <c r="S157" i="2"/>
  <c r="S151" i="2"/>
  <c r="S150" i="2"/>
  <c r="S131" i="2"/>
  <c r="S127" i="2"/>
  <c r="S147" i="2"/>
  <c r="S123" i="2"/>
  <c r="S133" i="2"/>
  <c r="S119" i="2"/>
  <c r="S129" i="2"/>
  <c r="S125" i="2"/>
  <c r="S145" i="2"/>
  <c r="S121" i="2"/>
  <c r="S144" i="2"/>
  <c r="S138" i="2"/>
  <c r="S136" i="2"/>
  <c r="S134" i="2"/>
  <c r="S132" i="2"/>
  <c r="S130" i="2"/>
  <c r="S128" i="2"/>
  <c r="S124" i="2"/>
  <c r="S117" i="2"/>
  <c r="S111" i="2"/>
  <c r="S105" i="2"/>
  <c r="S99" i="2"/>
  <c r="S93" i="2"/>
  <c r="S87" i="2"/>
  <c r="S113" i="2"/>
  <c r="S107" i="2"/>
  <c r="S101" i="2"/>
  <c r="S95" i="2"/>
  <c r="S89" i="2"/>
  <c r="S109" i="2"/>
  <c r="S103" i="2"/>
  <c r="S85" i="2"/>
  <c r="S84" i="2"/>
  <c r="Q47" i="2"/>
  <c r="R47" i="2" s="1"/>
  <c r="Q43" i="2"/>
  <c r="R43" i="2" s="1"/>
  <c r="Q39" i="2"/>
  <c r="R39" i="2" s="1"/>
  <c r="Q35" i="2"/>
  <c r="R35" i="2" s="1"/>
  <c r="Q31" i="2"/>
  <c r="R31" i="2" s="1"/>
  <c r="Q27" i="2"/>
  <c r="R27" i="2" s="1"/>
  <c r="Q23" i="2"/>
  <c r="R23" i="2" s="1"/>
  <c r="Q19" i="2"/>
  <c r="R19" i="2" s="1"/>
  <c r="V18" i="2" s="1"/>
  <c r="X18" i="2" s="1"/>
  <c r="Q49" i="2"/>
  <c r="R49" i="2" s="1"/>
  <c r="Q45" i="2"/>
  <c r="R45" i="2" s="1"/>
  <c r="Q41" i="2"/>
  <c r="R41" i="2" s="1"/>
  <c r="Q37" i="2"/>
  <c r="R37" i="2" s="1"/>
  <c r="Q33" i="2"/>
  <c r="R33" i="2" s="1"/>
  <c r="Q29" i="2"/>
  <c r="R29" i="2" s="1"/>
  <c r="Q25" i="2"/>
  <c r="R25" i="2" s="1"/>
  <c r="Q21" i="2"/>
  <c r="R21" i="2" s="1"/>
  <c r="R46" i="2"/>
  <c r="S46" i="2"/>
  <c r="S42" i="2"/>
  <c r="R42" i="2"/>
  <c r="S38" i="2"/>
  <c r="R38" i="2"/>
  <c r="S34" i="2"/>
  <c r="R34" i="2"/>
  <c r="S30" i="2"/>
  <c r="R30" i="2"/>
  <c r="S26" i="2"/>
  <c r="R26" i="2"/>
  <c r="S22" i="2"/>
  <c r="R22" i="2"/>
  <c r="S45" i="2"/>
  <c r="S25" i="2"/>
  <c r="S21" i="2"/>
  <c r="S48" i="2"/>
  <c r="R48" i="2"/>
  <c r="S44" i="2"/>
  <c r="R44" i="2"/>
  <c r="S40" i="2"/>
  <c r="R40" i="2"/>
  <c r="S36" i="2"/>
  <c r="R36" i="2"/>
  <c r="S32" i="2"/>
  <c r="R32" i="2"/>
  <c r="S28" i="2"/>
  <c r="R28" i="2"/>
  <c r="S24" i="2"/>
  <c r="R24" i="2"/>
  <c r="R20" i="2"/>
  <c r="S20" i="2"/>
  <c r="S39" i="2"/>
  <c r="S35" i="2"/>
  <c r="S31" i="2"/>
  <c r="S27" i="2"/>
  <c r="S23" i="2"/>
  <c r="S18" i="2"/>
  <c r="S10" i="2"/>
  <c r="R10" i="2"/>
  <c r="S9" i="2"/>
  <c r="R9" i="2"/>
  <c r="S7" i="2"/>
  <c r="S13" i="2"/>
  <c r="S12" i="2"/>
  <c r="V7" i="2"/>
  <c r="X7" i="2" s="1"/>
  <c r="T7" i="2"/>
  <c r="Y137" i="5" l="1"/>
  <c r="Z137" i="5" s="1"/>
  <c r="Y105" i="5"/>
  <c r="Z105" i="5" s="1"/>
  <c r="Y217" i="5"/>
  <c r="Z217" i="5" s="1"/>
  <c r="Y142" i="5"/>
  <c r="Z142" i="5" s="1"/>
  <c r="Y70" i="5"/>
  <c r="Z70" i="5" s="1"/>
  <c r="Y114" i="5"/>
  <c r="Z114" i="5" s="1"/>
  <c r="Y163" i="5"/>
  <c r="Z163" i="5" s="1"/>
  <c r="Y241" i="5"/>
  <c r="Z241" i="5" s="1"/>
  <c r="Y147" i="5"/>
  <c r="Z147" i="5" s="1"/>
  <c r="Y113" i="5"/>
  <c r="Z113" i="5" s="1"/>
  <c r="Y131" i="5"/>
  <c r="Z131" i="5" s="1"/>
  <c r="Y214" i="5"/>
  <c r="Z214" i="5" s="1"/>
  <c r="Y202" i="5"/>
  <c r="Z202" i="5" s="1"/>
  <c r="Y107" i="5"/>
  <c r="Z107" i="5" s="1"/>
  <c r="Y199" i="5"/>
  <c r="Z199" i="5" s="1"/>
  <c r="Y128" i="5"/>
  <c r="Z128" i="5" s="1"/>
  <c r="Y226" i="5"/>
  <c r="Z226" i="5" s="1"/>
  <c r="Y159" i="5"/>
  <c r="Z159" i="5" s="1"/>
  <c r="Y170" i="5"/>
  <c r="Z170" i="5" s="1"/>
  <c r="Y223" i="5"/>
  <c r="Z223" i="5" s="1"/>
  <c r="Y84" i="5"/>
  <c r="Z84" i="5" s="1"/>
  <c r="Y189" i="5"/>
  <c r="Z189" i="5" s="1"/>
  <c r="Y125" i="5"/>
  <c r="Z125" i="5" s="1"/>
  <c r="Y206" i="5"/>
  <c r="Z206" i="5" s="1"/>
  <c r="Y94" i="5"/>
  <c r="Z94" i="5" s="1"/>
  <c r="Y130" i="5"/>
  <c r="Z130" i="5" s="1"/>
  <c r="Y247" i="5"/>
  <c r="Z247" i="5" s="1"/>
  <c r="Y100" i="5"/>
  <c r="Z100" i="5" s="1"/>
  <c r="Y79" i="5"/>
  <c r="Z79" i="5" s="1"/>
  <c r="Y134" i="5"/>
  <c r="Z134" i="5" s="1"/>
  <c r="Y167" i="5"/>
  <c r="Z167" i="5" s="1"/>
  <c r="Y166" i="5"/>
  <c r="Z166" i="5" s="1"/>
  <c r="Y231" i="5"/>
  <c r="Z231" i="5" s="1"/>
  <c r="Y251" i="5"/>
  <c r="Z251" i="5" s="1"/>
  <c r="Y186" i="5"/>
  <c r="Z186" i="5" s="1"/>
  <c r="Y115" i="5"/>
  <c r="Z115" i="5" s="1"/>
  <c r="Y191" i="5"/>
  <c r="Z191" i="5" s="1"/>
  <c r="Y124" i="5"/>
  <c r="Z124" i="5" s="1"/>
  <c r="Y188" i="5"/>
  <c r="Z188" i="5" s="1"/>
  <c r="Y175" i="5"/>
  <c r="Z175" i="5" s="1"/>
  <c r="Y93" i="5"/>
  <c r="Z93" i="5" s="1"/>
  <c r="Y190" i="5"/>
  <c r="Z190" i="5" s="1"/>
  <c r="Y110" i="5"/>
  <c r="Z110" i="5" s="1"/>
  <c r="Y112" i="5"/>
  <c r="Z112" i="5" s="1"/>
  <c r="Y228" i="5"/>
  <c r="Z228" i="5" s="1"/>
  <c r="Y77" i="5"/>
  <c r="Z77" i="5" s="1"/>
  <c r="Y80" i="5"/>
  <c r="Z80" i="5" s="1"/>
  <c r="Y129" i="5"/>
  <c r="Z129" i="5" s="1"/>
  <c r="Y235" i="5"/>
  <c r="Z235" i="5" s="1"/>
  <c r="Y92" i="5"/>
  <c r="Z92" i="5" s="1"/>
  <c r="Y119" i="5"/>
  <c r="Z119" i="5" s="1"/>
  <c r="Y146" i="5"/>
  <c r="Z146" i="5" s="1"/>
  <c r="Y88" i="5"/>
  <c r="Z88" i="5" s="1"/>
  <c r="Y136" i="5"/>
  <c r="Z136" i="5" s="1"/>
  <c r="Y233" i="5"/>
  <c r="Z233" i="5" s="1"/>
  <c r="Y81" i="5"/>
  <c r="Z81" i="5" s="1"/>
  <c r="Y122" i="5"/>
  <c r="Z122" i="5" s="1"/>
  <c r="Y227" i="5"/>
  <c r="Z227" i="5" s="1"/>
  <c r="Y118" i="5"/>
  <c r="Z118" i="5" s="1"/>
  <c r="Y211" i="5"/>
  <c r="Z211" i="5" s="1"/>
  <c r="Y111" i="5"/>
  <c r="Z111" i="5" s="1"/>
  <c r="Y177" i="5"/>
  <c r="Z177" i="5" s="1"/>
  <c r="Y98" i="5"/>
  <c r="Z98" i="5" s="1"/>
  <c r="Y96" i="5"/>
  <c r="Z96" i="5" s="1"/>
  <c r="Y172" i="5"/>
  <c r="Z172" i="5" s="1"/>
  <c r="Y99" i="5"/>
  <c r="Z99" i="5" s="1"/>
  <c r="Y127" i="5"/>
  <c r="Z127" i="5" s="1"/>
  <c r="Y121" i="5"/>
  <c r="Z121" i="5" s="1"/>
  <c r="Y239" i="5"/>
  <c r="Z239" i="5" s="1"/>
  <c r="Y72" i="5"/>
  <c r="Z72" i="5" s="1"/>
  <c r="Y195" i="5"/>
  <c r="Z195" i="5" s="1"/>
  <c r="Y117" i="5"/>
  <c r="Z117" i="5" s="1"/>
  <c r="Y97" i="5"/>
  <c r="Z97" i="5" s="1"/>
  <c r="Y209" i="5"/>
  <c r="Z209" i="5" s="1"/>
  <c r="Y250" i="5"/>
  <c r="Z250" i="5" s="1"/>
  <c r="Y148" i="5"/>
  <c r="Z148" i="5" s="1"/>
  <c r="Y109" i="5"/>
  <c r="Z109" i="5" s="1"/>
  <c r="Y207" i="5"/>
  <c r="Z207" i="5" s="1"/>
  <c r="Y230" i="5"/>
  <c r="Z230" i="5" s="1"/>
  <c r="Y216" i="5"/>
  <c r="Z216" i="5" s="1"/>
  <c r="Y245" i="5"/>
  <c r="Z245" i="5" s="1"/>
  <c r="Y204" i="5"/>
  <c r="Z204" i="5" s="1"/>
  <c r="Y165" i="5"/>
  <c r="Z165" i="5" s="1"/>
  <c r="Y161" i="5"/>
  <c r="Z161" i="5" s="1"/>
  <c r="Y192" i="5"/>
  <c r="Z192" i="5" s="1"/>
  <c r="Y215" i="5"/>
  <c r="Z215" i="5" s="1"/>
  <c r="Y176" i="5"/>
  <c r="Z176" i="5" s="1"/>
  <c r="Y203" i="5"/>
  <c r="Z203" i="5" s="1"/>
  <c r="Y197" i="5"/>
  <c r="Z197" i="5" s="1"/>
  <c r="Y160" i="5"/>
  <c r="Z160" i="5" s="1"/>
  <c r="Y154" i="5"/>
  <c r="Z154" i="5" s="1"/>
  <c r="Y153" i="5"/>
  <c r="Z153" i="5" s="1"/>
  <c r="Y179" i="5"/>
  <c r="Z179" i="5" s="1"/>
  <c r="Y140" i="5"/>
  <c r="Z140" i="5" s="1"/>
  <c r="Y210" i="5"/>
  <c r="Z210" i="5" s="1"/>
  <c r="Y198" i="5"/>
  <c r="Z198" i="5" s="1"/>
  <c r="Y253" i="5"/>
  <c r="Z253" i="5" s="1"/>
  <c r="Y155" i="5"/>
  <c r="Z155" i="5" s="1"/>
  <c r="Y196" i="5"/>
  <c r="Z196" i="5" s="1"/>
  <c r="Y116" i="5"/>
  <c r="Z116" i="5" s="1"/>
  <c r="Y103" i="5"/>
  <c r="Z103" i="5" s="1"/>
  <c r="Y219" i="5"/>
  <c r="Z219" i="5" s="1"/>
  <c r="Y229" i="5"/>
  <c r="Z229" i="5" s="1"/>
  <c r="Y139" i="5"/>
  <c r="Z139" i="5" s="1"/>
  <c r="Y133" i="5"/>
  <c r="Z133" i="5" s="1"/>
  <c r="Y75" i="5"/>
  <c r="Z75" i="5" s="1"/>
  <c r="Y158" i="5"/>
  <c r="Z158" i="5" s="1"/>
  <c r="Y141" i="5"/>
  <c r="Z141" i="5" s="1"/>
  <c r="Y135" i="5"/>
  <c r="Z135" i="5" s="1"/>
  <c r="Y120" i="5"/>
  <c r="Z120" i="5" s="1"/>
  <c r="Y218" i="5"/>
  <c r="Z218" i="5" s="1"/>
  <c r="Y104" i="5"/>
  <c r="Z104" i="5" s="1"/>
  <c r="Y174" i="5"/>
  <c r="Z174" i="5" s="1"/>
  <c r="Y178" i="5"/>
  <c r="Z178" i="5" s="1"/>
  <c r="Y145" i="5"/>
  <c r="Z145" i="5" s="1"/>
  <c r="Y86" i="5"/>
  <c r="Z86" i="5" s="1"/>
  <c r="Y173" i="5"/>
  <c r="Z173" i="5" s="1"/>
  <c r="Y132" i="5"/>
  <c r="Z132" i="5" s="1"/>
  <c r="Y95" i="5"/>
  <c r="Z95" i="5" s="1"/>
  <c r="Y85" i="5"/>
  <c r="Z85" i="5" s="1"/>
  <c r="Y156" i="5"/>
  <c r="Z156" i="5" s="1"/>
  <c r="Y74" i="5"/>
  <c r="Z74" i="5" s="1"/>
  <c r="Y126" i="5"/>
  <c r="Z126" i="5" s="1"/>
  <c r="Y89" i="5"/>
  <c r="Z89" i="5" s="1"/>
  <c r="Y181" i="5"/>
  <c r="Z181" i="5" s="1"/>
  <c r="Y123" i="5"/>
  <c r="Z123" i="5" s="1"/>
  <c r="Y221" i="5"/>
  <c r="Z221" i="5" s="1"/>
  <c r="Y180" i="5"/>
  <c r="Z180" i="5" s="1"/>
  <c r="Y143" i="5"/>
  <c r="Z143" i="5" s="1"/>
  <c r="Y184" i="5"/>
  <c r="Z184" i="5" s="1"/>
  <c r="Y91" i="5"/>
  <c r="Z91" i="5" s="1"/>
  <c r="Y106" i="5"/>
  <c r="Z106" i="5" s="1"/>
  <c r="Y185" i="5"/>
  <c r="Z185" i="5" s="1"/>
  <c r="Y162" i="5"/>
  <c r="Z162" i="5" s="1"/>
  <c r="Y82" i="5"/>
  <c r="Z82" i="5" s="1"/>
  <c r="Y138" i="5"/>
  <c r="Z138" i="5" s="1"/>
  <c r="Y108" i="5"/>
  <c r="Z108" i="5" s="1"/>
  <c r="Y150" i="5"/>
  <c r="Z150" i="5" s="1"/>
  <c r="Y238" i="5"/>
  <c r="Z238" i="5" s="1"/>
  <c r="Y144" i="5"/>
  <c r="Z144" i="5" s="1"/>
  <c r="Y193" i="5"/>
  <c r="Z193" i="5" s="1"/>
  <c r="Y205" i="5"/>
  <c r="Z205" i="5" s="1"/>
  <c r="Y257" i="5"/>
  <c r="Z257" i="5" s="1"/>
  <c r="Y194" i="5"/>
  <c r="Z194" i="5" s="1"/>
  <c r="Y87" i="5"/>
  <c r="Z87" i="5" s="1"/>
  <c r="Y149" i="5"/>
  <c r="Z149" i="5" s="1"/>
  <c r="Y182" i="5"/>
  <c r="Z182" i="5" s="1"/>
  <c r="Y169" i="5"/>
  <c r="Z169" i="5" s="1"/>
  <c r="Y152" i="5"/>
  <c r="Z152" i="5" s="1"/>
  <c r="Y157" i="5"/>
  <c r="Z157" i="5" s="1"/>
  <c r="Y168" i="5"/>
  <c r="Z168" i="5" s="1"/>
  <c r="Y171" i="5"/>
  <c r="Z171" i="5" s="1"/>
  <c r="Y164" i="5"/>
  <c r="Z164" i="5" s="1"/>
  <c r="Y90" i="5"/>
  <c r="Z90" i="5" s="1"/>
  <c r="S49" i="2"/>
  <c r="S19" i="2"/>
  <c r="T18" i="2"/>
  <c r="S37" i="2"/>
  <c r="V38" i="2"/>
  <c r="X38" i="2" s="1"/>
  <c r="T38" i="2"/>
  <c r="S41" i="2"/>
  <c r="W38" i="2" s="1"/>
  <c r="Y38" i="2" s="1"/>
  <c r="V34" i="2"/>
  <c r="X34" i="2" s="1"/>
  <c r="T34" i="2"/>
  <c r="S33" i="2"/>
  <c r="U30" i="2" s="1"/>
  <c r="S43" i="2"/>
  <c r="U42" i="2" s="1"/>
  <c r="T42" i="2"/>
  <c r="V42" i="2"/>
  <c r="X42" i="2" s="1"/>
  <c r="S47" i="2"/>
  <c r="W46" i="2" s="1"/>
  <c r="Y46" i="2" s="1"/>
  <c r="V22" i="2"/>
  <c r="X22" i="2" s="1"/>
  <c r="T22" i="2"/>
  <c r="W34" i="2"/>
  <c r="Y34" i="2" s="1"/>
  <c r="U34" i="2"/>
  <c r="W22" i="2"/>
  <c r="Y22" i="2" s="1"/>
  <c r="U22" i="2"/>
  <c r="V46" i="2"/>
  <c r="X46" i="2" s="1"/>
  <c r="T46" i="2"/>
  <c r="V26" i="2"/>
  <c r="X26" i="2" s="1"/>
  <c r="T26" i="2"/>
  <c r="W18" i="2"/>
  <c r="Y18" i="2" s="1"/>
  <c r="U18" i="2"/>
  <c r="U26" i="2"/>
  <c r="T30" i="2"/>
  <c r="V30" i="2"/>
  <c r="X30" i="2" s="1"/>
  <c r="S29" i="2"/>
  <c r="W26" i="2" s="1"/>
  <c r="Y26" i="2" s="1"/>
  <c r="W7" i="2"/>
  <c r="Y7" i="2" s="1"/>
  <c r="U7" i="2"/>
  <c r="W42" i="2" l="1"/>
  <c r="Y42" i="2" s="1"/>
  <c r="U46" i="2"/>
  <c r="W30" i="2"/>
  <c r="Y30" i="2" s="1"/>
  <c r="U38" i="2"/>
</calcChain>
</file>

<file path=xl/sharedStrings.xml><?xml version="1.0" encoding="utf-8"?>
<sst xmlns="http://schemas.openxmlformats.org/spreadsheetml/2006/main" count="1041" uniqueCount="73">
  <si>
    <t>Polyelectrolyte System</t>
  </si>
  <si>
    <t>Index</t>
  </si>
  <si>
    <t>Average</t>
  </si>
  <si>
    <t>PDADMAC/PSS</t>
  </si>
  <si>
    <t>a</t>
  </si>
  <si>
    <t>b</t>
  </si>
  <si>
    <t>c</t>
  </si>
  <si>
    <t>d</t>
  </si>
  <si>
    <t>PAH/PAA</t>
  </si>
  <si>
    <t>Support</t>
  </si>
  <si>
    <t>e</t>
  </si>
  <si>
    <t>f</t>
  </si>
  <si>
    <t>g</t>
  </si>
  <si>
    <t>h</t>
  </si>
  <si>
    <t>Bilayers (-)</t>
  </si>
  <si>
    <t>Length (m)</t>
  </si>
  <si>
    <t>STD</t>
  </si>
  <si>
    <t>95% Confidence</t>
  </si>
  <si>
    <t>T_feed (°C)</t>
  </si>
  <si>
    <t>p_in (bar)</t>
  </si>
  <si>
    <t>p_out (bar)</t>
  </si>
  <si>
    <t>m_perm (g)</t>
  </si>
  <si>
    <t>m_beaker (g)</t>
  </si>
  <si>
    <t>t (s)</t>
  </si>
  <si>
    <t>dm (g)</t>
  </si>
  <si>
    <t>p_avg (bar)</t>
  </si>
  <si>
    <t>Membrane Resistance (Darcy's law) (1/m)</t>
  </si>
  <si>
    <t>Membrane Area (m^2)</t>
  </si>
  <si>
    <t>Flux (Lm^-2h^-1)</t>
  </si>
  <si>
    <t>Permeability (Lm^-2h^-1bar^-1)</t>
  </si>
  <si>
    <t>Flux</t>
  </si>
  <si>
    <t>STD/AVG (-)</t>
  </si>
  <si>
    <t>STD (Lm^-2h^-1)</t>
  </si>
  <si>
    <t>Conductivity Feed (uS/cm)</t>
  </si>
  <si>
    <t>Conductivity Permeate (uS/cm)</t>
  </si>
  <si>
    <t>Retention (-)</t>
  </si>
  <si>
    <t>inner diameter support (m)</t>
  </si>
  <si>
    <t>inlet velocity (m/s)</t>
  </si>
  <si>
    <t>density (kg/m^3)</t>
  </si>
  <si>
    <t>viscosity (Pas)</t>
  </si>
  <si>
    <t>DEG</t>
  </si>
  <si>
    <t>MWCO</t>
  </si>
  <si>
    <t>MWCO (Da)</t>
  </si>
  <si>
    <t>Manufacturer</t>
  </si>
  <si>
    <t>Standard deviation</t>
  </si>
  <si>
    <t>Osmotic pressure (bar)</t>
  </si>
  <si>
    <t>EG</t>
  </si>
  <si>
    <t>Corrected Permeability (Lm^-2h^-1bar^-1)</t>
  </si>
  <si>
    <t>k (m/s)</t>
  </si>
  <si>
    <t>Cm (g/L)</t>
  </si>
  <si>
    <t>D (m^2/s)</t>
  </si>
  <si>
    <t>v0 (m/s)</t>
  </si>
  <si>
    <t>eta (Pa s)</t>
  </si>
  <si>
    <t>Ri (m)</t>
  </si>
  <si>
    <t>rho (kg/m^3)</t>
  </si>
  <si>
    <t>Re (-)</t>
  </si>
  <si>
    <t>Sc (-)</t>
  </si>
  <si>
    <t>Sh0 (-)</t>
  </si>
  <si>
    <t>k0 (m/s)</t>
  </si>
  <si>
    <t>Permeation from flux corrected for osmotic pressure:</t>
  </si>
  <si>
    <t>determine concentration at membrane surface based on hydrodynamics and retention</t>
  </si>
  <si>
    <t>with k:</t>
  </si>
  <si>
    <t>k=k_Sh*Kor</t>
  </si>
  <si>
    <t>k_Sh=Sh*D/d</t>
  </si>
  <si>
    <t>Kor=(Phi+(1+0.26*Phi^(1.4))^(-1.7))</t>
  </si>
  <si>
    <t>Phi=Jw/k_Sh</t>
  </si>
  <si>
    <t>Sh=1.62*(Re*Sc*d/L)^(1/3)-1.2-0.28*(Re*Sc*d/L)^(-1/3)</t>
  </si>
  <si>
    <t>Cm/Cb=(k/Jw+Ret-1)/(k/Jw-1)</t>
  </si>
  <si>
    <t>Cb=1g/L</t>
  </si>
  <si>
    <t>Osmotic pressure difference=Rg*T*sum([Cm+Ret-1], all components)</t>
  </si>
  <si>
    <t>Bilayers</t>
  </si>
  <si>
    <t>95% Conf</t>
  </si>
  <si>
    <t>Raw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</si>
</sst>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4A031-3031-4D6F-9512-E2A7E3A178A8}">
  <dimension ref="A1:E73"/>
  <sheetViews>
    <sheetView tabSelected="1" workbookViewId="0">
      <selection activeCell="F2" sqref="F2"/>
    </sheetView>
  </sheetViews>
  <sheetFormatPr defaultRowHeight="14.4" x14ac:dyDescent="0.3"/>
  <cols>
    <col min="1" max="1" width="19.6640625" bestFit="1" customWidth="1"/>
    <col min="2" max="2" width="9.5546875" bestFit="1" customWidth="1"/>
    <col min="3" max="3" width="5.44140625" bestFit="1" customWidth="1"/>
    <col min="4" max="4" width="9.5546875" bestFit="1" customWidth="1"/>
  </cols>
  <sheetData>
    <row r="1" spans="1:5" x14ac:dyDescent="0.3">
      <c r="A1" t="s">
        <v>0</v>
      </c>
      <c r="B1" t="s">
        <v>14</v>
      </c>
      <c r="C1" t="s">
        <v>1</v>
      </c>
      <c r="D1" t="s">
        <v>15</v>
      </c>
      <c r="E1" t="s">
        <v>2</v>
      </c>
    </row>
    <row r="2" spans="1:5" x14ac:dyDescent="0.3">
      <c r="A2" t="s">
        <v>3</v>
      </c>
      <c r="B2">
        <v>2</v>
      </c>
      <c r="C2" t="s">
        <v>4</v>
      </c>
      <c r="D2">
        <v>0.17799999999999999</v>
      </c>
    </row>
    <row r="3" spans="1:5" x14ac:dyDescent="0.3">
      <c r="C3" t="s">
        <v>5</v>
      </c>
      <c r="D3">
        <v>0.17899999999999999</v>
      </c>
    </row>
    <row r="4" spans="1:5" x14ac:dyDescent="0.3">
      <c r="C4" t="s">
        <v>6</v>
      </c>
      <c r="D4">
        <v>0.17799999999999999</v>
      </c>
    </row>
    <row r="5" spans="1:5" x14ac:dyDescent="0.3">
      <c r="C5" t="s">
        <v>7</v>
      </c>
      <c r="D5">
        <v>0.17899999999999999</v>
      </c>
      <c r="E5">
        <v>0.17849999999999999</v>
      </c>
    </row>
    <row r="6" spans="1:5" x14ac:dyDescent="0.3">
      <c r="B6">
        <v>3</v>
      </c>
      <c r="C6" t="s">
        <v>4</v>
      </c>
      <c r="D6">
        <v>0.17799999999999999</v>
      </c>
    </row>
    <row r="7" spans="1:5" x14ac:dyDescent="0.3">
      <c r="C7" t="s">
        <v>5</v>
      </c>
      <c r="D7">
        <v>0.17699999999999999</v>
      </c>
    </row>
    <row r="8" spans="1:5" x14ac:dyDescent="0.3">
      <c r="C8" t="s">
        <v>6</v>
      </c>
      <c r="D8">
        <v>0.17499999999999999</v>
      </c>
    </row>
    <row r="9" spans="1:5" x14ac:dyDescent="0.3">
      <c r="C9" t="s">
        <v>7</v>
      </c>
      <c r="D9">
        <v>0.17899999999999999</v>
      </c>
      <c r="E9">
        <v>0.17725000000000002</v>
      </c>
    </row>
    <row r="10" spans="1:5" x14ac:dyDescent="0.3">
      <c r="B10">
        <v>4</v>
      </c>
      <c r="C10" t="s">
        <v>4</v>
      </c>
      <c r="D10">
        <v>0.17799999999999999</v>
      </c>
    </row>
    <row r="11" spans="1:5" x14ac:dyDescent="0.3">
      <c r="C11" t="s">
        <v>5</v>
      </c>
      <c r="D11">
        <v>0.17799999999999999</v>
      </c>
    </row>
    <row r="12" spans="1:5" x14ac:dyDescent="0.3">
      <c r="C12" t="s">
        <v>6</v>
      </c>
      <c r="D12">
        <v>0.17899999999999999</v>
      </c>
    </row>
    <row r="13" spans="1:5" x14ac:dyDescent="0.3">
      <c r="C13" t="s">
        <v>7</v>
      </c>
      <c r="D13">
        <v>0.17899999999999999</v>
      </c>
      <c r="E13">
        <v>0.17849999999999999</v>
      </c>
    </row>
    <row r="14" spans="1:5" x14ac:dyDescent="0.3">
      <c r="B14">
        <v>6</v>
      </c>
      <c r="C14" t="s">
        <v>4</v>
      </c>
      <c r="D14">
        <v>0.17799999999999999</v>
      </c>
    </row>
    <row r="15" spans="1:5" x14ac:dyDescent="0.3">
      <c r="C15" t="s">
        <v>5</v>
      </c>
      <c r="D15">
        <v>0.17899999999999999</v>
      </c>
    </row>
    <row r="16" spans="1:5" x14ac:dyDescent="0.3">
      <c r="C16" t="s">
        <v>6</v>
      </c>
      <c r="D16">
        <v>0.17799999999999999</v>
      </c>
    </row>
    <row r="17" spans="2:5" x14ac:dyDescent="0.3">
      <c r="C17" t="s">
        <v>7</v>
      </c>
      <c r="D17">
        <v>0.17899999999999999</v>
      </c>
      <c r="E17">
        <v>0.17849999999999999</v>
      </c>
    </row>
    <row r="18" spans="2:5" x14ac:dyDescent="0.3">
      <c r="B18">
        <v>7</v>
      </c>
      <c r="C18" t="s">
        <v>4</v>
      </c>
      <c r="D18">
        <v>0.17899999999999999</v>
      </c>
    </row>
    <row r="19" spans="2:5" x14ac:dyDescent="0.3">
      <c r="C19" t="s">
        <v>5</v>
      </c>
      <c r="D19">
        <v>0.17799999999999999</v>
      </c>
    </row>
    <row r="20" spans="2:5" x14ac:dyDescent="0.3">
      <c r="C20" t="s">
        <v>6</v>
      </c>
      <c r="D20">
        <v>0.17899999999999999</v>
      </c>
    </row>
    <row r="21" spans="2:5" x14ac:dyDescent="0.3">
      <c r="C21" t="s">
        <v>7</v>
      </c>
      <c r="D21">
        <v>0.17899999999999999</v>
      </c>
      <c r="E21">
        <v>0.17875000000000002</v>
      </c>
    </row>
    <row r="22" spans="2:5" x14ac:dyDescent="0.3">
      <c r="B22">
        <v>8</v>
      </c>
      <c r="C22" t="s">
        <v>4</v>
      </c>
      <c r="D22">
        <v>0.17899999999999999</v>
      </c>
    </row>
    <row r="23" spans="2:5" x14ac:dyDescent="0.3">
      <c r="C23" t="s">
        <v>5</v>
      </c>
      <c r="D23">
        <v>0.17399999999999999</v>
      </c>
    </row>
    <row r="24" spans="2:5" x14ac:dyDescent="0.3">
      <c r="C24" t="s">
        <v>6</v>
      </c>
      <c r="D24">
        <v>0.17699999999999999</v>
      </c>
    </row>
    <row r="25" spans="2:5" x14ac:dyDescent="0.3">
      <c r="C25" t="s">
        <v>7</v>
      </c>
      <c r="D25">
        <v>0.17599999999999999</v>
      </c>
      <c r="E25">
        <v>0.17649999999999999</v>
      </c>
    </row>
    <row r="26" spans="2:5" x14ac:dyDescent="0.3">
      <c r="B26">
        <v>9</v>
      </c>
      <c r="C26" t="s">
        <v>4</v>
      </c>
      <c r="D26">
        <v>0.17799999999999999</v>
      </c>
    </row>
    <row r="27" spans="2:5" x14ac:dyDescent="0.3">
      <c r="C27" t="s">
        <v>5</v>
      </c>
      <c r="D27">
        <v>0.17899999999999999</v>
      </c>
    </row>
    <row r="28" spans="2:5" x14ac:dyDescent="0.3">
      <c r="C28" t="s">
        <v>6</v>
      </c>
      <c r="D28">
        <v>0.17899999999999999</v>
      </c>
    </row>
    <row r="29" spans="2:5" x14ac:dyDescent="0.3">
      <c r="C29" t="s">
        <v>7</v>
      </c>
      <c r="D29">
        <v>0.17899999999999999</v>
      </c>
      <c r="E29">
        <v>0.17875000000000002</v>
      </c>
    </row>
    <row r="30" spans="2:5" x14ac:dyDescent="0.3">
      <c r="B30">
        <v>10</v>
      </c>
      <c r="C30" t="s">
        <v>4</v>
      </c>
      <c r="D30">
        <v>0.17899999999999999</v>
      </c>
    </row>
    <row r="31" spans="2:5" x14ac:dyDescent="0.3">
      <c r="C31" t="s">
        <v>5</v>
      </c>
      <c r="D31">
        <v>0.18</v>
      </c>
    </row>
    <row r="32" spans="2:5" x14ac:dyDescent="0.3">
      <c r="C32" t="s">
        <v>6</v>
      </c>
      <c r="D32">
        <v>0.17899999999999999</v>
      </c>
    </row>
    <row r="33" spans="1:5" x14ac:dyDescent="0.3">
      <c r="C33" t="s">
        <v>7</v>
      </c>
      <c r="D33">
        <v>0.17799999999999999</v>
      </c>
      <c r="E33">
        <v>0.17899999999999999</v>
      </c>
    </row>
    <row r="34" spans="1:5" x14ac:dyDescent="0.3">
      <c r="A34" t="s">
        <v>8</v>
      </c>
      <c r="B34">
        <v>3</v>
      </c>
      <c r="C34" t="s">
        <v>4</v>
      </c>
      <c r="D34">
        <v>0.18</v>
      </c>
    </row>
    <row r="35" spans="1:5" x14ac:dyDescent="0.3">
      <c r="C35" t="s">
        <v>5</v>
      </c>
      <c r="D35">
        <v>0.18</v>
      </c>
    </row>
    <row r="36" spans="1:5" x14ac:dyDescent="0.3">
      <c r="C36" t="s">
        <v>6</v>
      </c>
      <c r="D36">
        <v>0.17899999999999999</v>
      </c>
    </row>
    <row r="37" spans="1:5" x14ac:dyDescent="0.3">
      <c r="C37" t="s">
        <v>7</v>
      </c>
      <c r="D37">
        <v>0.17899999999999999</v>
      </c>
      <c r="E37">
        <v>0.17949999999999999</v>
      </c>
    </row>
    <row r="38" spans="1:5" x14ac:dyDescent="0.3">
      <c r="B38">
        <v>5</v>
      </c>
      <c r="C38" t="s">
        <v>4</v>
      </c>
      <c r="D38">
        <v>0.17399999999999999</v>
      </c>
    </row>
    <row r="39" spans="1:5" x14ac:dyDescent="0.3">
      <c r="C39" t="s">
        <v>5</v>
      </c>
      <c r="D39">
        <v>0.17199999999999999</v>
      </c>
    </row>
    <row r="40" spans="1:5" x14ac:dyDescent="0.3">
      <c r="C40" t="s">
        <v>6</v>
      </c>
      <c r="D40">
        <v>0.17599999999999999</v>
      </c>
    </row>
    <row r="41" spans="1:5" x14ac:dyDescent="0.3">
      <c r="C41" t="s">
        <v>7</v>
      </c>
      <c r="D41">
        <v>0.17799999999999999</v>
      </c>
      <c r="E41">
        <v>0.17499999999999999</v>
      </c>
    </row>
    <row r="42" spans="1:5" x14ac:dyDescent="0.3">
      <c r="B42">
        <v>7</v>
      </c>
      <c r="C42" t="s">
        <v>4</v>
      </c>
      <c r="D42">
        <v>0.17699999999999999</v>
      </c>
    </row>
    <row r="43" spans="1:5" x14ac:dyDescent="0.3">
      <c r="C43" t="s">
        <v>5</v>
      </c>
      <c r="D43">
        <v>0.17499999999999999</v>
      </c>
    </row>
    <row r="44" spans="1:5" x14ac:dyDescent="0.3">
      <c r="C44" t="s">
        <v>6</v>
      </c>
      <c r="D44">
        <v>0.17499999999999999</v>
      </c>
    </row>
    <row r="45" spans="1:5" x14ac:dyDescent="0.3">
      <c r="C45" t="s">
        <v>7</v>
      </c>
      <c r="D45">
        <v>0.17599999999999999</v>
      </c>
      <c r="E45">
        <v>0.17574999999999996</v>
      </c>
    </row>
    <row r="46" spans="1:5" x14ac:dyDescent="0.3">
      <c r="B46">
        <v>9</v>
      </c>
      <c r="C46" t="s">
        <v>4</v>
      </c>
      <c r="D46">
        <v>0.17699999999999999</v>
      </c>
    </row>
    <row r="47" spans="1:5" x14ac:dyDescent="0.3">
      <c r="C47" t="s">
        <v>5</v>
      </c>
      <c r="D47">
        <v>0.17499999999999999</v>
      </c>
    </row>
    <row r="48" spans="1:5" x14ac:dyDescent="0.3">
      <c r="C48" t="s">
        <v>6</v>
      </c>
      <c r="D48">
        <v>0.17899999999999999</v>
      </c>
    </row>
    <row r="49" spans="2:5" x14ac:dyDescent="0.3">
      <c r="C49" t="s">
        <v>7</v>
      </c>
      <c r="D49">
        <v>0.17799999999999999</v>
      </c>
      <c r="E49">
        <v>0.17724999999999996</v>
      </c>
    </row>
    <row r="50" spans="2:5" x14ac:dyDescent="0.3">
      <c r="B50">
        <v>10</v>
      </c>
      <c r="C50" t="s">
        <v>4</v>
      </c>
      <c r="D50">
        <v>0.17899999999999999</v>
      </c>
    </row>
    <row r="51" spans="2:5" x14ac:dyDescent="0.3">
      <c r="C51" t="s">
        <v>5</v>
      </c>
      <c r="D51">
        <v>0.17799999999999999</v>
      </c>
    </row>
    <row r="52" spans="2:5" x14ac:dyDescent="0.3">
      <c r="C52" t="s">
        <v>6</v>
      </c>
      <c r="D52">
        <v>0.17899999999999999</v>
      </c>
    </row>
    <row r="53" spans="2:5" x14ac:dyDescent="0.3">
      <c r="C53" t="s">
        <v>7</v>
      </c>
      <c r="D53">
        <v>0.16900000000000001</v>
      </c>
      <c r="E53">
        <v>0.17625000000000002</v>
      </c>
    </row>
    <row r="54" spans="2:5" x14ac:dyDescent="0.3">
      <c r="B54">
        <v>11</v>
      </c>
      <c r="C54" t="s">
        <v>4</v>
      </c>
      <c r="D54">
        <v>0.17899999999999999</v>
      </c>
    </row>
    <row r="55" spans="2:5" x14ac:dyDescent="0.3">
      <c r="C55" t="s">
        <v>5</v>
      </c>
      <c r="D55">
        <v>0.17899999999999999</v>
      </c>
    </row>
    <row r="56" spans="2:5" x14ac:dyDescent="0.3">
      <c r="C56" t="s">
        <v>6</v>
      </c>
      <c r="D56">
        <v>0.17899999999999999</v>
      </c>
    </row>
    <row r="57" spans="2:5" x14ac:dyDescent="0.3">
      <c r="C57" t="s">
        <v>7</v>
      </c>
      <c r="D57">
        <v>0.17899999999999999</v>
      </c>
      <c r="E57">
        <v>0.17899999999999999</v>
      </c>
    </row>
    <row r="58" spans="2:5" x14ac:dyDescent="0.3">
      <c r="B58">
        <v>12</v>
      </c>
      <c r="C58" t="s">
        <v>4</v>
      </c>
      <c r="D58">
        <v>0.18</v>
      </c>
    </row>
    <row r="59" spans="2:5" x14ac:dyDescent="0.3">
      <c r="C59" t="s">
        <v>5</v>
      </c>
      <c r="D59">
        <v>0.17899999999999999</v>
      </c>
    </row>
    <row r="60" spans="2:5" x14ac:dyDescent="0.3">
      <c r="C60" t="s">
        <v>6</v>
      </c>
      <c r="D60">
        <v>0.17799999999999999</v>
      </c>
    </row>
    <row r="61" spans="2:5" x14ac:dyDescent="0.3">
      <c r="C61" t="s">
        <v>7</v>
      </c>
      <c r="D61">
        <v>0.17799999999999999</v>
      </c>
      <c r="E61">
        <v>0.17874999999999996</v>
      </c>
    </row>
    <row r="62" spans="2:5" x14ac:dyDescent="0.3">
      <c r="B62">
        <v>14</v>
      </c>
      <c r="C62" t="s">
        <v>4</v>
      </c>
      <c r="D62">
        <v>0.17799999999999999</v>
      </c>
    </row>
    <row r="63" spans="2:5" x14ac:dyDescent="0.3">
      <c r="C63" t="s">
        <v>5</v>
      </c>
      <c r="D63">
        <v>0.18</v>
      </c>
    </row>
    <row r="64" spans="2:5" x14ac:dyDescent="0.3">
      <c r="C64" t="s">
        <v>6</v>
      </c>
      <c r="D64">
        <v>0.17899999999999999</v>
      </c>
    </row>
    <row r="65" spans="1:5" x14ac:dyDescent="0.3">
      <c r="C65" t="s">
        <v>7</v>
      </c>
      <c r="D65">
        <v>0.17799999999999999</v>
      </c>
      <c r="E65">
        <v>0.17874999999999996</v>
      </c>
    </row>
    <row r="66" spans="1:5" x14ac:dyDescent="0.3">
      <c r="A66" t="s">
        <v>9</v>
      </c>
      <c r="B66">
        <v>0</v>
      </c>
      <c r="C66" t="s">
        <v>4</v>
      </c>
      <c r="D66">
        <v>0.18</v>
      </c>
    </row>
    <row r="67" spans="1:5" x14ac:dyDescent="0.3">
      <c r="C67" t="s">
        <v>5</v>
      </c>
      <c r="D67">
        <v>0.18</v>
      </c>
    </row>
    <row r="68" spans="1:5" x14ac:dyDescent="0.3">
      <c r="C68" t="s">
        <v>6</v>
      </c>
      <c r="D68">
        <v>0.18</v>
      </c>
    </row>
    <row r="69" spans="1:5" x14ac:dyDescent="0.3">
      <c r="C69" t="s">
        <v>7</v>
      </c>
      <c r="D69">
        <v>0.18</v>
      </c>
    </row>
    <row r="70" spans="1:5" x14ac:dyDescent="0.3">
      <c r="C70" t="s">
        <v>10</v>
      </c>
      <c r="D70">
        <v>0.18</v>
      </c>
    </row>
    <row r="71" spans="1:5" x14ac:dyDescent="0.3">
      <c r="C71" t="s">
        <v>11</v>
      </c>
      <c r="D71">
        <v>0.18</v>
      </c>
    </row>
    <row r="72" spans="1:5" x14ac:dyDescent="0.3">
      <c r="C72" t="s">
        <v>12</v>
      </c>
      <c r="D72">
        <v>0.18</v>
      </c>
    </row>
    <row r="73" spans="1:5" x14ac:dyDescent="0.3">
      <c r="C73" t="s">
        <v>13</v>
      </c>
      <c r="D73">
        <v>0.18</v>
      </c>
      <c r="E73">
        <v>0.17999999999999997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0726B-9B86-4CAE-A917-05CDAA80297F}">
  <dimension ref="B2:AA215"/>
  <sheetViews>
    <sheetView zoomScaleNormal="100" workbookViewId="0">
      <selection activeCell="Q7" sqref="Q7"/>
    </sheetView>
  </sheetViews>
  <sheetFormatPr defaultRowHeight="14.4" x14ac:dyDescent="0.3"/>
  <cols>
    <col min="2" max="2" width="23.21875" bestFit="1" customWidth="1"/>
    <col min="3" max="3" width="10" bestFit="1" customWidth="1"/>
    <col min="5" max="5" width="19.6640625" bestFit="1" customWidth="1"/>
    <col min="6" max="6" width="9.77734375" bestFit="1" customWidth="1"/>
    <col min="7" max="7" width="5.44140625" bestFit="1" customWidth="1"/>
    <col min="8" max="8" width="10" bestFit="1" customWidth="1"/>
    <col min="9" max="9" width="8.6640625" bestFit="1" customWidth="1"/>
    <col min="10" max="10" width="10" bestFit="1" customWidth="1"/>
    <col min="11" max="11" width="10.21875" bestFit="1" customWidth="1"/>
    <col min="12" max="12" width="13.44140625" bestFit="1" customWidth="1"/>
    <col min="13" max="13" width="7.33203125" bestFit="1" customWidth="1"/>
    <col min="15" max="15" width="10" bestFit="1" customWidth="1"/>
    <col min="16" max="16" width="19.6640625" bestFit="1" customWidth="1"/>
    <col min="17" max="17" width="14.6640625" bestFit="1" customWidth="1"/>
    <col min="18" max="18" width="27.21875" bestFit="1" customWidth="1"/>
    <col min="19" max="19" width="35.5546875" bestFit="1" customWidth="1"/>
    <col min="20" max="20" width="27.21875" bestFit="1" customWidth="1"/>
    <col min="21" max="21" width="35.33203125" bestFit="1" customWidth="1"/>
    <col min="22" max="22" width="27.21875" bestFit="1" customWidth="1"/>
    <col min="23" max="23" width="35.33203125" bestFit="1" customWidth="1"/>
    <col min="24" max="24" width="27.21875" bestFit="1" customWidth="1"/>
    <col min="25" max="25" width="39.6640625" bestFit="1" customWidth="1"/>
    <col min="26" max="26" width="16.44140625" bestFit="1" customWidth="1"/>
    <col min="27" max="27" width="23" bestFit="1" customWidth="1"/>
  </cols>
  <sheetData>
    <row r="2" spans="2:27" x14ac:dyDescent="0.3">
      <c r="B2" t="s">
        <v>36</v>
      </c>
      <c r="C2">
        <v>6.9999999999999999E-4</v>
      </c>
    </row>
    <row r="3" spans="2:27" x14ac:dyDescent="0.3">
      <c r="B3" t="s">
        <v>37</v>
      </c>
      <c r="C3">
        <v>1</v>
      </c>
    </row>
    <row r="4" spans="2:27" x14ac:dyDescent="0.3">
      <c r="B4" t="s">
        <v>38</v>
      </c>
      <c r="C4">
        <v>998.21</v>
      </c>
    </row>
    <row r="5" spans="2:27" x14ac:dyDescent="0.3">
      <c r="B5" t="s">
        <v>39</v>
      </c>
      <c r="C5">
        <v>1.0016000000000001E-3</v>
      </c>
      <c r="T5" s="4" t="s">
        <v>2</v>
      </c>
      <c r="U5" s="4"/>
      <c r="V5" s="4" t="s">
        <v>16</v>
      </c>
      <c r="W5" s="4"/>
      <c r="X5" s="4" t="s">
        <v>17</v>
      </c>
      <c r="Y5" s="4"/>
    </row>
    <row r="6" spans="2:27" x14ac:dyDescent="0.3">
      <c r="E6" t="s">
        <v>0</v>
      </c>
      <c r="F6" t="s">
        <v>14</v>
      </c>
      <c r="G6" t="s">
        <v>1</v>
      </c>
      <c r="H6" t="s">
        <v>18</v>
      </c>
      <c r="I6" t="s">
        <v>19</v>
      </c>
      <c r="J6" t="s">
        <v>20</v>
      </c>
      <c r="K6" t="s">
        <v>21</v>
      </c>
      <c r="L6" t="s">
        <v>22</v>
      </c>
      <c r="M6" t="s">
        <v>23</v>
      </c>
      <c r="N6" t="s">
        <v>24</v>
      </c>
      <c r="O6" t="s">
        <v>25</v>
      </c>
      <c r="P6" t="s">
        <v>27</v>
      </c>
      <c r="Q6" t="s">
        <v>28</v>
      </c>
      <c r="R6" t="s">
        <v>29</v>
      </c>
      <c r="S6" t="s">
        <v>26</v>
      </c>
      <c r="T6" t="s">
        <v>29</v>
      </c>
      <c r="U6" t="s">
        <v>26</v>
      </c>
      <c r="V6" t="s">
        <v>29</v>
      </c>
      <c r="W6" t="s">
        <v>26</v>
      </c>
      <c r="X6" t="s">
        <v>29</v>
      </c>
      <c r="Y6" t="s">
        <v>26</v>
      </c>
    </row>
    <row r="7" spans="2:27" x14ac:dyDescent="0.3">
      <c r="E7" t="s">
        <v>9</v>
      </c>
      <c r="F7">
        <v>0</v>
      </c>
      <c r="G7" t="s">
        <v>4</v>
      </c>
      <c r="H7">
        <v>20.2</v>
      </c>
      <c r="I7">
        <v>1.1100000000000001</v>
      </c>
      <c r="J7">
        <v>0.88</v>
      </c>
      <c r="K7">
        <v>35.479999999999997</v>
      </c>
      <c r="L7">
        <v>12.48</v>
      </c>
      <c r="M7">
        <f>23*60</f>
        <v>1380</v>
      </c>
      <c r="N7" s="1">
        <f>K7-L7</f>
        <v>22.999999999999996</v>
      </c>
      <c r="O7">
        <f>(I7+J7)/2</f>
        <v>0.99500000000000011</v>
      </c>
      <c r="P7" s="2">
        <f>FiberLength!D66*PureWaterPermeability!$C$2*PI()</f>
        <v>3.9584067435231396E-4</v>
      </c>
      <c r="Q7" s="2">
        <f>N7/P7/M7*60*60/$C$4</f>
        <v>151.84794409793079</v>
      </c>
      <c r="R7" s="2">
        <f>Q7/O7</f>
        <v>152.61099909339777</v>
      </c>
      <c r="S7" s="2">
        <f>(O7*10^5)/$C$5/(Q7/1000/60/60)</f>
        <v>2355170480915.5195</v>
      </c>
      <c r="T7" s="2">
        <f>AVERAGE(R7:R14)</f>
        <v>147.92484613210598</v>
      </c>
      <c r="U7" s="2">
        <f>AVERAGE(S7:S14)</f>
        <v>2447368238023.7832</v>
      </c>
      <c r="V7" s="2">
        <f>_xlfn.STDEV.S(R7:R14)</f>
        <v>12.938585444613009</v>
      </c>
      <c r="W7" s="2">
        <f>_xlfn.STDEV.S(S7:S14)</f>
        <v>230408581571.54688</v>
      </c>
      <c r="X7" s="2">
        <f>_xlfn.CONFIDENCE.T(0.05,V7,8)</f>
        <v>10.816928127990138</v>
      </c>
      <c r="Y7" s="2">
        <f>_xlfn.CONFIDENCE.T(0.05,W7,8)</f>
        <v>192626394716.83917</v>
      </c>
    </row>
    <row r="8" spans="2:27" x14ac:dyDescent="0.3">
      <c r="G8" t="s">
        <v>5</v>
      </c>
      <c r="H8">
        <v>20.2</v>
      </c>
      <c r="I8">
        <v>1.1100000000000001</v>
      </c>
      <c r="J8">
        <v>0.88</v>
      </c>
      <c r="K8">
        <v>35.200000000000003</v>
      </c>
      <c r="L8">
        <v>11.75</v>
      </c>
      <c r="M8">
        <f t="shared" ref="M8:M14" si="0">23*60</f>
        <v>1380</v>
      </c>
      <c r="N8" s="1">
        <f t="shared" ref="N8:N14" si="1">K8-L8</f>
        <v>23.450000000000003</v>
      </c>
      <c r="O8">
        <f t="shared" ref="O8:O14" si="2">(I8+J8)/2</f>
        <v>0.99500000000000011</v>
      </c>
      <c r="P8" s="2">
        <f>FiberLength!D67*PureWaterPermeability!$C$2*PI()</f>
        <v>3.9584067435231396E-4</v>
      </c>
      <c r="Q8" s="2">
        <f>N8/P8/M8*60*60/$C$4</f>
        <v>154.81888213462952</v>
      </c>
      <c r="R8" s="2">
        <f t="shared" ref="R8:R14" si="3">Q8/O8</f>
        <v>155.59686646696431</v>
      </c>
      <c r="S8" s="2">
        <f t="shared" ref="S8:S14" si="4">(O8*10^5)/$C$5/(Q8/1000/60/60)</f>
        <v>2309975311772.1504</v>
      </c>
      <c r="T8" s="2"/>
      <c r="U8" s="2"/>
      <c r="V8" s="2"/>
      <c r="W8" s="2"/>
      <c r="X8" s="2"/>
      <c r="Y8" s="2"/>
    </row>
    <row r="9" spans="2:27" x14ac:dyDescent="0.3">
      <c r="G9" t="s">
        <v>6</v>
      </c>
      <c r="H9">
        <v>20.2</v>
      </c>
      <c r="I9">
        <v>1.1100000000000001</v>
      </c>
      <c r="J9">
        <v>0.88</v>
      </c>
      <c r="K9">
        <v>36.14</v>
      </c>
      <c r="L9">
        <v>11.72</v>
      </c>
      <c r="M9">
        <f t="shared" si="0"/>
        <v>1380</v>
      </c>
      <c r="N9" s="1">
        <f t="shared" si="1"/>
        <v>24.42</v>
      </c>
      <c r="O9">
        <f t="shared" si="2"/>
        <v>0.99500000000000011</v>
      </c>
      <c r="P9" s="2">
        <f>FiberLength!D68*PureWaterPermeability!$C$2*PI()</f>
        <v>3.9584067435231396E-4</v>
      </c>
      <c r="Q9" s="2">
        <f t="shared" ref="Q9:Q14" si="5">N9/P9/M9*60*60/$C$4</f>
        <v>161.22290412484656</v>
      </c>
      <c r="R9" s="2">
        <f t="shared" si="3"/>
        <v>162.03306947220759</v>
      </c>
      <c r="S9" s="2">
        <f t="shared" si="4"/>
        <v>2218219535669.8174</v>
      </c>
      <c r="T9" s="2"/>
      <c r="U9" s="2"/>
      <c r="V9" s="2"/>
      <c r="W9" s="2"/>
      <c r="X9" s="2"/>
      <c r="Y9" s="2"/>
    </row>
    <row r="10" spans="2:27" x14ac:dyDescent="0.3">
      <c r="G10" t="s">
        <v>7</v>
      </c>
      <c r="H10">
        <v>20.2</v>
      </c>
      <c r="I10">
        <v>1.1100000000000001</v>
      </c>
      <c r="J10">
        <v>0.88</v>
      </c>
      <c r="K10">
        <v>33.97</v>
      </c>
      <c r="L10">
        <v>11.77</v>
      </c>
      <c r="M10">
        <f t="shared" si="0"/>
        <v>1380</v>
      </c>
      <c r="N10" s="1">
        <f t="shared" si="1"/>
        <v>22.2</v>
      </c>
      <c r="O10">
        <f t="shared" si="2"/>
        <v>0.99500000000000011</v>
      </c>
      <c r="P10" s="2">
        <f>FiberLength!D69*PureWaterPermeability!$C$2*PI()</f>
        <v>3.9584067435231396E-4</v>
      </c>
      <c r="Q10" s="2">
        <f t="shared" si="5"/>
        <v>146.56627647713327</v>
      </c>
      <c r="R10" s="2">
        <f t="shared" si="3"/>
        <v>147.30279042927967</v>
      </c>
      <c r="S10" s="2">
        <f t="shared" si="4"/>
        <v>2440041489236.7983</v>
      </c>
      <c r="T10" s="2"/>
      <c r="U10" s="2"/>
      <c r="V10" s="2"/>
      <c r="W10" s="2"/>
      <c r="X10" s="2"/>
      <c r="Y10" s="2"/>
    </row>
    <row r="11" spans="2:27" x14ac:dyDescent="0.3">
      <c r="G11" t="s">
        <v>10</v>
      </c>
      <c r="H11">
        <v>20.2</v>
      </c>
      <c r="I11">
        <v>1.1100000000000001</v>
      </c>
      <c r="J11">
        <v>0.88</v>
      </c>
      <c r="K11">
        <v>35.75</v>
      </c>
      <c r="L11">
        <v>11.72</v>
      </c>
      <c r="M11">
        <f t="shared" si="0"/>
        <v>1380</v>
      </c>
      <c r="N11" s="1">
        <f t="shared" si="1"/>
        <v>24.03</v>
      </c>
      <c r="O11">
        <f t="shared" si="2"/>
        <v>0.99500000000000011</v>
      </c>
      <c r="P11" s="2">
        <f>FiberLength!D70*PureWaterPermeability!$C$2*PI()</f>
        <v>3.9584067435231396E-4</v>
      </c>
      <c r="Q11" s="2">
        <f t="shared" si="5"/>
        <v>158.64809115970777</v>
      </c>
      <c r="R11" s="2">
        <f t="shared" si="3"/>
        <v>159.44531774845001</v>
      </c>
      <c r="S11" s="2">
        <f t="shared" si="4"/>
        <v>2254220601791.7988</v>
      </c>
      <c r="T11" s="2"/>
      <c r="U11" s="2"/>
      <c r="V11" s="2"/>
      <c r="W11" s="2"/>
      <c r="X11" s="2"/>
      <c r="Y11" s="2"/>
    </row>
    <row r="12" spans="2:27" x14ac:dyDescent="0.3">
      <c r="G12" t="s">
        <v>11</v>
      </c>
      <c r="H12">
        <v>20.2</v>
      </c>
      <c r="I12">
        <v>1.1100000000000001</v>
      </c>
      <c r="J12">
        <v>0.88</v>
      </c>
      <c r="K12">
        <v>30.56</v>
      </c>
      <c r="L12">
        <v>11.79</v>
      </c>
      <c r="M12">
        <f t="shared" si="0"/>
        <v>1380</v>
      </c>
      <c r="N12" s="1">
        <f t="shared" si="1"/>
        <v>18.77</v>
      </c>
      <c r="O12">
        <f t="shared" si="2"/>
        <v>0.99500000000000011</v>
      </c>
      <c r="P12" s="2">
        <f>FiberLength!D71*PureWaterPermeability!$C$2*PI()</f>
        <v>3.9584067435231396E-4</v>
      </c>
      <c r="Q12" s="2">
        <f t="shared" si="5"/>
        <v>123.92112655296356</v>
      </c>
      <c r="R12" s="2">
        <f t="shared" si="3"/>
        <v>124.5438457818729</v>
      </c>
      <c r="S12" s="2">
        <f t="shared" si="4"/>
        <v>2885930797072.8257</v>
      </c>
      <c r="T12" s="2"/>
      <c r="U12" s="2"/>
      <c r="V12" s="2"/>
      <c r="W12" s="2"/>
      <c r="X12" s="2"/>
      <c r="Y12" s="2"/>
    </row>
    <row r="13" spans="2:27" x14ac:dyDescent="0.3">
      <c r="G13" t="s">
        <v>12</v>
      </c>
      <c r="H13">
        <v>20.2</v>
      </c>
      <c r="I13">
        <v>1.1100000000000001</v>
      </c>
      <c r="J13">
        <v>0.88</v>
      </c>
      <c r="K13">
        <v>34.15</v>
      </c>
      <c r="L13">
        <v>11.77</v>
      </c>
      <c r="M13">
        <f t="shared" si="0"/>
        <v>1380</v>
      </c>
      <c r="N13" s="1">
        <f t="shared" si="1"/>
        <v>22.38</v>
      </c>
      <c r="O13">
        <f t="shared" si="2"/>
        <v>0.99500000000000011</v>
      </c>
      <c r="P13" s="2">
        <f>FiberLength!D72*PureWaterPermeability!$C$2*PI()</f>
        <v>3.9584067435231396E-4</v>
      </c>
      <c r="Q13" s="2">
        <f t="shared" si="5"/>
        <v>147.75465169181274</v>
      </c>
      <c r="R13" s="2">
        <f t="shared" si="3"/>
        <v>148.49713737870624</v>
      </c>
      <c r="S13" s="2">
        <f t="shared" si="4"/>
        <v>2420416490663.8486</v>
      </c>
      <c r="T13" s="2"/>
      <c r="U13" s="2"/>
      <c r="V13" s="2"/>
      <c r="W13" s="2"/>
      <c r="X13" s="2"/>
      <c r="Y13" s="2"/>
    </row>
    <row r="14" spans="2:27" x14ac:dyDescent="0.3">
      <c r="G14" t="s">
        <v>13</v>
      </c>
      <c r="H14">
        <v>20.2</v>
      </c>
      <c r="I14">
        <v>1.1100000000000001</v>
      </c>
      <c r="J14">
        <v>0.88</v>
      </c>
      <c r="K14">
        <v>31.82</v>
      </c>
      <c r="L14">
        <v>11.72</v>
      </c>
      <c r="M14">
        <f t="shared" si="0"/>
        <v>1380</v>
      </c>
      <c r="N14" s="1">
        <f t="shared" si="1"/>
        <v>20.100000000000001</v>
      </c>
      <c r="O14">
        <f t="shared" si="2"/>
        <v>0.99500000000000011</v>
      </c>
      <c r="P14" s="2">
        <f>FiberLength!D73*PureWaterPermeability!$C$2*PI()</f>
        <v>3.9584067435231396E-4</v>
      </c>
      <c r="Q14" s="2">
        <f t="shared" si="5"/>
        <v>132.7018989725396</v>
      </c>
      <c r="R14" s="2">
        <f t="shared" si="3"/>
        <v>133.36874268596944</v>
      </c>
      <c r="S14" s="2">
        <f t="shared" si="4"/>
        <v>2694971197067.5083</v>
      </c>
      <c r="T14" s="2"/>
      <c r="U14" s="2"/>
      <c r="V14" s="2"/>
      <c r="W14" s="2"/>
      <c r="X14" s="2"/>
      <c r="Y14" s="2"/>
    </row>
    <row r="15" spans="2:27" x14ac:dyDescent="0.3"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2:27" x14ac:dyDescent="0.3">
      <c r="P16" s="2"/>
      <c r="Q16" s="2"/>
      <c r="R16" s="2"/>
      <c r="S16" s="2"/>
      <c r="T16" s="2"/>
      <c r="U16" s="2"/>
      <c r="V16" s="2"/>
      <c r="W16" s="2"/>
      <c r="X16" s="2"/>
      <c r="Y16" s="2"/>
      <c r="Z16" s="4" t="s">
        <v>30</v>
      </c>
      <c r="AA16" s="4"/>
    </row>
    <row r="17" spans="5:27" x14ac:dyDescent="0.3">
      <c r="P17" s="2"/>
      <c r="Q17" s="2"/>
      <c r="R17" s="2"/>
      <c r="S17" s="2"/>
      <c r="T17" s="2"/>
      <c r="U17" s="2"/>
      <c r="V17" s="2"/>
      <c r="W17" s="2"/>
      <c r="X17" s="2"/>
      <c r="Y17" s="2"/>
      <c r="Z17" t="s">
        <v>32</v>
      </c>
      <c r="AA17" t="s">
        <v>31</v>
      </c>
    </row>
    <row r="18" spans="5:27" x14ac:dyDescent="0.3">
      <c r="E18" t="s">
        <v>3</v>
      </c>
      <c r="F18">
        <v>2</v>
      </c>
      <c r="G18" t="s">
        <v>4</v>
      </c>
      <c r="H18">
        <v>19.5</v>
      </c>
      <c r="I18">
        <v>3.1</v>
      </c>
      <c r="J18">
        <v>2.96</v>
      </c>
      <c r="K18">
        <v>29.72</v>
      </c>
      <c r="L18">
        <v>11.8</v>
      </c>
      <c r="M18">
        <f>44*60</f>
        <v>2640</v>
      </c>
      <c r="N18" s="1">
        <f>K18-L18</f>
        <v>17.919999999999998</v>
      </c>
      <c r="O18">
        <f>(I18+J18)/2</f>
        <v>3.0300000000000002</v>
      </c>
      <c r="P18" s="2">
        <f>FiberLength!D2*PureWaterPermeability!$C$2*PI()</f>
        <v>3.9144244463728818E-4</v>
      </c>
      <c r="Q18" s="2">
        <f>N18/P18/M18*60*60/$C$4</f>
        <v>62.538397405807679</v>
      </c>
      <c r="R18" s="2">
        <f t="shared" ref="R18" si="6">Q18/O18</f>
        <v>20.639735117428277</v>
      </c>
      <c r="S18" s="2">
        <f t="shared" ref="S18" si="7">(O18*10^5)/$C$5/(Q18/1000/60/60)</f>
        <v>17414221552886.871</v>
      </c>
      <c r="T18" s="2">
        <f>AVERAGE(R18:R21)</f>
        <v>20.442727594870583</v>
      </c>
      <c r="U18" s="2">
        <f>AVERAGE(S18:S21)</f>
        <v>17607556287598.027</v>
      </c>
      <c r="V18" s="2">
        <f>_xlfn.STDEV.S(R18:R21)</f>
        <v>0.88687837175292572</v>
      </c>
      <c r="W18" s="2">
        <f>_xlfn.STDEV.S(S18:S21)</f>
        <v>784462594892.81458</v>
      </c>
      <c r="X18" s="2">
        <f>_xlfn.CONFIDENCE.T(0.05,V18,4)</f>
        <v>1.4112213987105651</v>
      </c>
      <c r="Y18" s="2">
        <f>_xlfn.CONFIDENCE.T(0.05,W18,4)</f>
        <v>1248255043374.9543</v>
      </c>
      <c r="Z18" s="2">
        <f>_xlfn.STDEV.S(Q18:Q21)</f>
        <v>2.6872414664113662</v>
      </c>
      <c r="AA18" s="2">
        <f>Z18/AVERAGE(Q18:Q21)</f>
        <v>4.3383563550269989E-2</v>
      </c>
    </row>
    <row r="19" spans="5:27" x14ac:dyDescent="0.3">
      <c r="G19" t="s">
        <v>5</v>
      </c>
      <c r="H19">
        <v>19.5</v>
      </c>
      <c r="I19">
        <v>3.1</v>
      </c>
      <c r="J19">
        <v>2.96</v>
      </c>
      <c r="K19">
        <v>28.52</v>
      </c>
      <c r="L19">
        <v>11.75</v>
      </c>
      <c r="M19">
        <f t="shared" ref="M19:M33" si="8">44*60</f>
        <v>2640</v>
      </c>
      <c r="N19" s="1">
        <f t="shared" ref="N19:N49" si="9">K19-L19</f>
        <v>16.77</v>
      </c>
      <c r="O19">
        <f t="shared" ref="O19:O49" si="10">(I19+J19)/2</f>
        <v>3.0300000000000002</v>
      </c>
      <c r="P19" s="2">
        <f>FiberLength!D3*PureWaterPermeability!$C$2*PI()</f>
        <v>3.9364155949480104E-4</v>
      </c>
      <c r="Q19" s="2">
        <f t="shared" ref="Q19:Q49" si="11">N19/P19/M19*60*60/$C$4</f>
        <v>58.198095994669131</v>
      </c>
      <c r="R19" s="2">
        <f t="shared" ref="R19:R49" si="12">Q19/O19</f>
        <v>19.20729240748156</v>
      </c>
      <c r="S19" s="2">
        <f t="shared" ref="S19:S49" si="13">(O19*10^5)/$C$5/(Q19/1000/60/60)</f>
        <v>18712940507314.477</v>
      </c>
      <c r="T19" s="2"/>
      <c r="U19" s="2"/>
      <c r="V19" s="2"/>
      <c r="W19" s="2"/>
      <c r="X19" s="2"/>
      <c r="Y19" s="2"/>
      <c r="Z19" s="2"/>
      <c r="AA19" s="2"/>
    </row>
    <row r="20" spans="5:27" x14ac:dyDescent="0.3">
      <c r="G20" t="s">
        <v>6</v>
      </c>
      <c r="H20">
        <v>19.5</v>
      </c>
      <c r="I20">
        <v>3.1</v>
      </c>
      <c r="J20">
        <v>2.96</v>
      </c>
      <c r="K20">
        <v>30.29</v>
      </c>
      <c r="L20">
        <v>11.78</v>
      </c>
      <c r="M20">
        <f t="shared" si="8"/>
        <v>2640</v>
      </c>
      <c r="N20" s="1">
        <f t="shared" si="9"/>
        <v>18.509999999999998</v>
      </c>
      <c r="O20">
        <f t="shared" si="10"/>
        <v>3.0300000000000002</v>
      </c>
      <c r="P20" s="2">
        <f>FiberLength!D4*PureWaterPermeability!$C$2*PI()</f>
        <v>3.9144244463728818E-4</v>
      </c>
      <c r="Q20" s="2">
        <f t="shared" si="11"/>
        <v>64.597418302539083</v>
      </c>
      <c r="R20" s="2">
        <f t="shared" si="12"/>
        <v>21.319279967834678</v>
      </c>
      <c r="S20" s="2">
        <f t="shared" si="13"/>
        <v>16859149120893.174</v>
      </c>
      <c r="T20" s="2"/>
      <c r="U20" s="2"/>
      <c r="V20" s="2"/>
      <c r="W20" s="2"/>
      <c r="X20" s="2"/>
      <c r="Y20" s="2"/>
      <c r="Z20" s="2"/>
      <c r="AA20" s="2"/>
    </row>
    <row r="21" spans="5:27" x14ac:dyDescent="0.3">
      <c r="G21" t="s">
        <v>7</v>
      </c>
      <c r="H21">
        <v>19.5</v>
      </c>
      <c r="I21">
        <v>3.1</v>
      </c>
      <c r="J21">
        <v>2.96</v>
      </c>
      <c r="K21">
        <v>29.75</v>
      </c>
      <c r="L21">
        <v>11.76</v>
      </c>
      <c r="M21">
        <f t="shared" si="8"/>
        <v>2640</v>
      </c>
      <c r="N21" s="1">
        <f t="shared" si="9"/>
        <v>17.990000000000002</v>
      </c>
      <c r="O21">
        <f t="shared" si="10"/>
        <v>3.0300000000000002</v>
      </c>
      <c r="P21" s="2">
        <f>FiberLength!D5*PureWaterPermeability!$C$2*PI()</f>
        <v>3.9364155949480104E-4</v>
      </c>
      <c r="Q21" s="2">
        <f t="shared" si="11"/>
        <v>62.431946746815626</v>
      </c>
      <c r="R21" s="2">
        <f t="shared" si="12"/>
        <v>20.60460288673783</v>
      </c>
      <c r="S21" s="2">
        <f t="shared" si="13"/>
        <v>17443913969297.592</v>
      </c>
      <c r="T21" s="2"/>
      <c r="U21" s="2"/>
      <c r="V21" s="2"/>
      <c r="W21" s="2"/>
      <c r="X21" s="2"/>
      <c r="Y21" s="2"/>
      <c r="Z21" s="2"/>
      <c r="AA21" s="2"/>
    </row>
    <row r="22" spans="5:27" x14ac:dyDescent="0.3">
      <c r="F22">
        <v>3</v>
      </c>
      <c r="G22" t="s">
        <v>4</v>
      </c>
      <c r="H22">
        <v>19.5</v>
      </c>
      <c r="I22">
        <v>3.1</v>
      </c>
      <c r="J22">
        <v>2.96</v>
      </c>
      <c r="K22">
        <v>23.03</v>
      </c>
      <c r="L22">
        <v>11.83</v>
      </c>
      <c r="M22">
        <f t="shared" si="8"/>
        <v>2640</v>
      </c>
      <c r="N22" s="1">
        <f t="shared" si="9"/>
        <v>11.200000000000001</v>
      </c>
      <c r="O22">
        <f t="shared" si="10"/>
        <v>3.0300000000000002</v>
      </c>
      <c r="P22" s="2">
        <f>FiberLength!D6*PureWaterPermeability!$C$2*PI()</f>
        <v>3.9144244463728818E-4</v>
      </c>
      <c r="Q22" s="2">
        <f t="shared" si="11"/>
        <v>39.086498378629805</v>
      </c>
      <c r="R22" s="2">
        <f t="shared" si="12"/>
        <v>12.899834448392674</v>
      </c>
      <c r="S22" s="2">
        <f t="shared" si="13"/>
        <v>27862754484618.988</v>
      </c>
      <c r="T22" s="2">
        <f>AVERAGE(R22:R25)</f>
        <v>13.460670526560724</v>
      </c>
      <c r="U22" s="2">
        <f>AVERAGE(S22:S25)</f>
        <v>26718810213905.875</v>
      </c>
      <c r="V22" s="2">
        <f>_xlfn.STDEV.S(R22:R25)</f>
        <v>0.3868362457783715</v>
      </c>
      <c r="W22" s="2">
        <f>_xlfn.STDEV.S(S22:S25)</f>
        <v>786544820791.047</v>
      </c>
      <c r="X22" s="2">
        <f>_xlfn.CONFIDENCE.T(0.05,V22,4)</f>
        <v>0.61554279056359962</v>
      </c>
      <c r="Y22" s="2">
        <f>_xlfn.CONFIDENCE.T(0.05,W22,4)</f>
        <v>1251568329433.2522</v>
      </c>
      <c r="Z22" s="2">
        <f>_xlfn.STDEV.S(Q22:Q25)</f>
        <v>1.1721138247084668</v>
      </c>
      <c r="AA22" s="2">
        <f>Z22/AVERAGE(Q22:Q25)</f>
        <v>2.8738259733425826E-2</v>
      </c>
    </row>
    <row r="23" spans="5:27" x14ac:dyDescent="0.3">
      <c r="G23" t="s">
        <v>5</v>
      </c>
      <c r="H23">
        <v>19.5</v>
      </c>
      <c r="I23">
        <v>3.1</v>
      </c>
      <c r="J23">
        <v>2.96</v>
      </c>
      <c r="K23">
        <v>23.59</v>
      </c>
      <c r="L23">
        <v>11.74</v>
      </c>
      <c r="M23">
        <f t="shared" si="8"/>
        <v>2640</v>
      </c>
      <c r="N23" s="1">
        <f t="shared" si="9"/>
        <v>11.85</v>
      </c>
      <c r="O23">
        <f t="shared" si="10"/>
        <v>3.0300000000000002</v>
      </c>
      <c r="P23" s="2">
        <f>FiberLength!D7*PureWaterPermeability!$C$2*PI()</f>
        <v>3.8924332977977537E-4</v>
      </c>
      <c r="Q23" s="2">
        <f t="shared" si="11"/>
        <v>41.588554797237613</v>
      </c>
      <c r="R23" s="2">
        <f t="shared" si="12"/>
        <v>13.725595642652676</v>
      </c>
      <c r="S23" s="2">
        <f t="shared" si="13"/>
        <v>26186471573654.141</v>
      </c>
      <c r="T23" s="2"/>
      <c r="U23" s="2"/>
      <c r="V23" s="2"/>
      <c r="W23" s="2"/>
      <c r="X23" s="2"/>
      <c r="Y23" s="2"/>
      <c r="Z23" s="2"/>
      <c r="AA23" s="2"/>
    </row>
    <row r="24" spans="5:27" x14ac:dyDescent="0.3">
      <c r="G24" t="s">
        <v>6</v>
      </c>
      <c r="H24">
        <v>19.5</v>
      </c>
      <c r="I24">
        <v>3.1</v>
      </c>
      <c r="J24">
        <v>2.96</v>
      </c>
      <c r="K24">
        <v>23.23</v>
      </c>
      <c r="L24">
        <v>11.7</v>
      </c>
      <c r="M24">
        <f t="shared" si="8"/>
        <v>2640</v>
      </c>
      <c r="N24" s="1">
        <f t="shared" si="9"/>
        <v>11.530000000000001</v>
      </c>
      <c r="O24">
        <f t="shared" si="10"/>
        <v>3.0300000000000002</v>
      </c>
      <c r="P24" s="2">
        <f>FiberLength!D8*PureWaterPermeability!$C$2*PI()</f>
        <v>3.8484510006474965E-4</v>
      </c>
      <c r="Q24" s="2">
        <f t="shared" si="11"/>
        <v>40.927951062447498</v>
      </c>
      <c r="R24" s="2">
        <f t="shared" si="12"/>
        <v>13.507574608068481</v>
      </c>
      <c r="S24" s="2">
        <f t="shared" si="13"/>
        <v>26609138247002.551</v>
      </c>
      <c r="T24" s="2"/>
      <c r="U24" s="2"/>
      <c r="V24" s="2"/>
      <c r="W24" s="2"/>
      <c r="X24" s="2"/>
      <c r="Y24" s="2"/>
      <c r="Z24" s="2"/>
      <c r="AA24" s="2"/>
    </row>
    <row r="25" spans="5:27" x14ac:dyDescent="0.3">
      <c r="G25" t="s">
        <v>7</v>
      </c>
      <c r="H25">
        <v>19.5</v>
      </c>
      <c r="I25">
        <v>3.1</v>
      </c>
      <c r="J25">
        <v>2.96</v>
      </c>
      <c r="K25">
        <v>23.67</v>
      </c>
      <c r="L25">
        <v>11.7</v>
      </c>
      <c r="M25">
        <f t="shared" si="8"/>
        <v>2640</v>
      </c>
      <c r="N25" s="1">
        <f t="shared" si="9"/>
        <v>11.970000000000002</v>
      </c>
      <c r="O25">
        <f t="shared" si="10"/>
        <v>3.0300000000000002</v>
      </c>
      <c r="P25" s="2">
        <f>FiberLength!D9*PureWaterPermeability!$C$2*PI()</f>
        <v>3.9364155949480104E-4</v>
      </c>
      <c r="Q25" s="2">
        <f t="shared" si="11"/>
        <v>41.540322543601064</v>
      </c>
      <c r="R25" s="2">
        <f t="shared" si="12"/>
        <v>13.709677407129062</v>
      </c>
      <c r="S25" s="2">
        <f t="shared" si="13"/>
        <v>26216876550347.836</v>
      </c>
      <c r="T25" s="2"/>
      <c r="U25" s="2"/>
      <c r="V25" s="2"/>
      <c r="W25" s="2"/>
      <c r="X25" s="2"/>
      <c r="Y25" s="2"/>
      <c r="Z25" s="2"/>
      <c r="AA25" s="2"/>
    </row>
    <row r="26" spans="5:27" x14ac:dyDescent="0.3">
      <c r="F26">
        <v>4</v>
      </c>
      <c r="G26" t="s">
        <v>4</v>
      </c>
      <c r="H26">
        <v>19.5</v>
      </c>
      <c r="I26">
        <v>3.1</v>
      </c>
      <c r="J26">
        <v>2.96</v>
      </c>
      <c r="K26">
        <v>22.09</v>
      </c>
      <c r="L26">
        <v>11.77</v>
      </c>
      <c r="M26">
        <f t="shared" si="8"/>
        <v>2640</v>
      </c>
      <c r="N26" s="1">
        <f t="shared" si="9"/>
        <v>10.32</v>
      </c>
      <c r="O26">
        <f t="shared" si="10"/>
        <v>3.0300000000000002</v>
      </c>
      <c r="P26" s="2">
        <f>FiberLength!D10*PureWaterPermeability!$C$2*PI()</f>
        <v>3.9144244463728818E-4</v>
      </c>
      <c r="Q26" s="2">
        <f t="shared" si="11"/>
        <v>36.015416363166032</v>
      </c>
      <c r="R26" s="2">
        <f t="shared" si="12"/>
        <v>11.886276027447535</v>
      </c>
      <c r="S26" s="2">
        <f t="shared" si="13"/>
        <v>30238648277881.074</v>
      </c>
      <c r="T26" s="2">
        <f>AVERAGE(R26:R29)</f>
        <v>11.678490760126744</v>
      </c>
      <c r="U26" s="2">
        <f>AVERAGE(S26:S29)</f>
        <v>30802628382363.363</v>
      </c>
      <c r="V26" s="2">
        <f>_xlfn.STDEV.S(R26:R29)</f>
        <v>0.3856517241298909</v>
      </c>
      <c r="W26" s="2">
        <f>_xlfn.STDEV.S(S26:S29)</f>
        <v>1048646908894.4873</v>
      </c>
      <c r="X26" s="2">
        <f>_xlfn.CONFIDENCE.T(0.05,V26,4)</f>
        <v>0.61365795229173181</v>
      </c>
      <c r="Y26" s="2">
        <f>_xlfn.CONFIDENCE.T(0.05,W26,4)</f>
        <v>1668631240379.2217</v>
      </c>
      <c r="Z26" s="2">
        <f>_xlfn.STDEV.S(Q26:Q29)</f>
        <v>1.1685247241135697</v>
      </c>
      <c r="AA26" s="2">
        <f>Z26/AVERAGE(Q26:Q29)</f>
        <v>3.3022394079087802E-2</v>
      </c>
    </row>
    <row r="27" spans="5:27" x14ac:dyDescent="0.3">
      <c r="G27" t="s">
        <v>5</v>
      </c>
      <c r="H27">
        <v>19.5</v>
      </c>
      <c r="I27">
        <v>3.1</v>
      </c>
      <c r="J27">
        <v>2.96</v>
      </c>
      <c r="K27">
        <v>22.93</v>
      </c>
      <c r="L27">
        <v>12.56</v>
      </c>
      <c r="M27">
        <f t="shared" si="8"/>
        <v>2640</v>
      </c>
      <c r="N27" s="1">
        <f t="shared" si="9"/>
        <v>10.37</v>
      </c>
      <c r="O27">
        <f t="shared" si="10"/>
        <v>3.0300000000000002</v>
      </c>
      <c r="P27" s="2">
        <f>FiberLength!D11*PureWaterPermeability!$C$2*PI()</f>
        <v>3.9144244463728818E-4</v>
      </c>
      <c r="Q27" s="2">
        <f t="shared" si="11"/>
        <v>36.1899096594992</v>
      </c>
      <c r="R27" s="2">
        <f t="shared" si="12"/>
        <v>11.943864574092144</v>
      </c>
      <c r="S27" s="2">
        <f t="shared" si="13"/>
        <v>30092849588016.652</v>
      </c>
      <c r="T27" s="2"/>
      <c r="U27" s="2"/>
      <c r="V27" s="2"/>
      <c r="W27" s="2"/>
      <c r="X27" s="2"/>
      <c r="Y27" s="2"/>
      <c r="Z27" s="2"/>
      <c r="AA27" s="2"/>
    </row>
    <row r="28" spans="5:27" x14ac:dyDescent="0.3">
      <c r="G28" t="s">
        <v>6</v>
      </c>
      <c r="H28">
        <v>19.5</v>
      </c>
      <c r="I28">
        <v>3.1</v>
      </c>
      <c r="J28">
        <v>2.96</v>
      </c>
      <c r="K28">
        <v>21.45</v>
      </c>
      <c r="L28">
        <v>11.75</v>
      </c>
      <c r="M28">
        <f t="shared" si="8"/>
        <v>2640</v>
      </c>
      <c r="N28" s="1">
        <f t="shared" si="9"/>
        <v>9.6999999999999993</v>
      </c>
      <c r="O28">
        <f t="shared" si="10"/>
        <v>3.0300000000000002</v>
      </c>
      <c r="P28" s="2">
        <f>FiberLength!D12*PureWaterPermeability!$C$2*PI()</f>
        <v>3.9364155949480104E-4</v>
      </c>
      <c r="Q28" s="2">
        <f t="shared" si="11"/>
        <v>33.662583849033425</v>
      </c>
      <c r="R28" s="2">
        <f t="shared" si="12"/>
        <v>11.109763646545684</v>
      </c>
      <c r="S28" s="2">
        <f t="shared" si="13"/>
        <v>32352166217284.93</v>
      </c>
      <c r="T28" s="2"/>
      <c r="U28" s="2"/>
      <c r="V28" s="2"/>
      <c r="W28" s="2"/>
      <c r="X28" s="2"/>
      <c r="Y28" s="2"/>
      <c r="Z28" s="2"/>
      <c r="AA28" s="2"/>
    </row>
    <row r="29" spans="5:27" x14ac:dyDescent="0.3">
      <c r="G29" t="s">
        <v>7</v>
      </c>
      <c r="H29">
        <v>19.5</v>
      </c>
      <c r="I29">
        <v>3.1</v>
      </c>
      <c r="J29">
        <v>2.96</v>
      </c>
      <c r="K29">
        <v>22</v>
      </c>
      <c r="L29">
        <v>11.72</v>
      </c>
      <c r="M29">
        <f t="shared" si="8"/>
        <v>2640</v>
      </c>
      <c r="N29" s="1">
        <f t="shared" si="9"/>
        <v>10.28</v>
      </c>
      <c r="O29">
        <f t="shared" si="10"/>
        <v>3.0300000000000002</v>
      </c>
      <c r="P29" s="2">
        <f>FiberLength!D13*PureWaterPermeability!$C$2*PI()</f>
        <v>3.9364155949480104E-4</v>
      </c>
      <c r="Q29" s="2">
        <f t="shared" si="11"/>
        <v>35.675398141037491</v>
      </c>
      <c r="R29" s="2">
        <f t="shared" si="12"/>
        <v>11.774058792421613</v>
      </c>
      <c r="S29" s="2">
        <f t="shared" si="13"/>
        <v>30526849446270.793</v>
      </c>
      <c r="T29" s="2"/>
      <c r="U29" s="2"/>
      <c r="V29" s="2"/>
      <c r="W29" s="2"/>
      <c r="X29" s="2"/>
      <c r="Y29" s="2"/>
      <c r="Z29" s="2"/>
      <c r="AA29" s="2"/>
    </row>
    <row r="30" spans="5:27" x14ac:dyDescent="0.3">
      <c r="F30">
        <v>6</v>
      </c>
      <c r="G30" t="s">
        <v>4</v>
      </c>
      <c r="H30">
        <v>19.5</v>
      </c>
      <c r="I30">
        <v>3.1</v>
      </c>
      <c r="J30">
        <v>2.96</v>
      </c>
      <c r="K30">
        <v>20.76</v>
      </c>
      <c r="L30">
        <v>11.72</v>
      </c>
      <c r="M30">
        <f t="shared" si="8"/>
        <v>2640</v>
      </c>
      <c r="N30" s="1">
        <f t="shared" si="9"/>
        <v>9.0400000000000009</v>
      </c>
      <c r="O30">
        <f t="shared" si="10"/>
        <v>3.0300000000000002</v>
      </c>
      <c r="P30" s="2">
        <f>FiberLength!D14*PureWaterPermeability!$C$2*PI()</f>
        <v>3.9144244463728818E-4</v>
      </c>
      <c r="Q30" s="2">
        <f t="shared" si="11"/>
        <v>31.548387977036917</v>
      </c>
      <c r="R30" s="2">
        <f t="shared" si="12"/>
        <v>10.412009233345517</v>
      </c>
      <c r="S30" s="2">
        <f t="shared" si="13"/>
        <v>34520226795103.168</v>
      </c>
      <c r="T30" s="2">
        <f>AVERAGE(R30:R33)</f>
        <v>10.503523546714563</v>
      </c>
      <c r="U30" s="2">
        <f>AVERAGE(S30:S33)</f>
        <v>34232372148335.898</v>
      </c>
      <c r="V30" s="2">
        <f>_xlfn.STDEV.S(R30:R33)</f>
        <v>0.2348991571864486</v>
      </c>
      <c r="W30" s="2">
        <f>_xlfn.STDEV.S(S30:S33)</f>
        <v>769788970275.07324</v>
      </c>
      <c r="X30" s="2">
        <f>_xlfn.CONFIDENCE.T(0.05,V30,4)</f>
        <v>0.37377697745113531</v>
      </c>
      <c r="Y30" s="2">
        <f>_xlfn.CONFIDENCE.T(0.05,W30,4)</f>
        <v>1224906032150.0288</v>
      </c>
      <c r="Z30" s="2">
        <f>_xlfn.STDEV.S(Q30:Q33)</f>
        <v>0.71174444627494005</v>
      </c>
      <c r="AA30" s="2">
        <f>Z30/AVERAGE(Q30:Q33)</f>
        <v>2.2363843537050367E-2</v>
      </c>
    </row>
    <row r="31" spans="5:27" x14ac:dyDescent="0.3">
      <c r="G31" t="s">
        <v>5</v>
      </c>
      <c r="H31">
        <v>19.5</v>
      </c>
      <c r="I31">
        <v>3.1</v>
      </c>
      <c r="J31">
        <v>2.96</v>
      </c>
      <c r="K31">
        <v>20.64</v>
      </c>
      <c r="L31">
        <v>11.72</v>
      </c>
      <c r="M31">
        <f t="shared" si="8"/>
        <v>2640</v>
      </c>
      <c r="N31" s="1">
        <f t="shared" si="9"/>
        <v>8.92</v>
      </c>
      <c r="O31">
        <f t="shared" si="10"/>
        <v>3.0300000000000002</v>
      </c>
      <c r="P31" s="2">
        <f>FiberLength!D15*PureWaterPermeability!$C$2*PI()</f>
        <v>3.9364155949480104E-4</v>
      </c>
      <c r="Q31" s="2">
        <f t="shared" si="11"/>
        <v>30.955695663234863</v>
      </c>
      <c r="R31" s="2">
        <f t="shared" si="12"/>
        <v>10.216401208988403</v>
      </c>
      <c r="S31" s="2">
        <f t="shared" si="13"/>
        <v>35181167299065.445</v>
      </c>
      <c r="T31" s="2"/>
      <c r="U31" s="2"/>
      <c r="V31" s="2"/>
      <c r="W31" s="2"/>
      <c r="X31" s="2"/>
      <c r="Y31" s="2"/>
      <c r="Z31" s="2"/>
      <c r="AA31" s="2"/>
    </row>
    <row r="32" spans="5:27" x14ac:dyDescent="0.3">
      <c r="G32" t="s">
        <v>6</v>
      </c>
      <c r="H32">
        <v>19.5</v>
      </c>
      <c r="I32">
        <v>3.1</v>
      </c>
      <c r="J32">
        <v>2.96</v>
      </c>
      <c r="K32">
        <v>21.03</v>
      </c>
      <c r="L32">
        <v>11.78</v>
      </c>
      <c r="M32">
        <f t="shared" si="8"/>
        <v>2640</v>
      </c>
      <c r="N32" s="1">
        <f t="shared" si="9"/>
        <v>9.2500000000000018</v>
      </c>
      <c r="O32">
        <f t="shared" si="10"/>
        <v>3.0300000000000002</v>
      </c>
      <c r="P32" s="2">
        <f>FiberLength!D16*PureWaterPermeability!$C$2*PI()</f>
        <v>3.9144244463728818E-4</v>
      </c>
      <c r="Q32" s="2">
        <f t="shared" si="11"/>
        <v>32.281259821636233</v>
      </c>
      <c r="R32" s="2">
        <f t="shared" si="12"/>
        <v>10.653881129252881</v>
      </c>
      <c r="S32" s="2">
        <f t="shared" si="13"/>
        <v>33736524348944.066</v>
      </c>
      <c r="T32" s="2"/>
      <c r="U32" s="2"/>
      <c r="V32" s="2"/>
      <c r="W32" s="2"/>
      <c r="X32" s="2"/>
      <c r="Y32" s="2"/>
      <c r="Z32" s="2"/>
      <c r="AA32" s="2"/>
    </row>
    <row r="33" spans="6:27" x14ac:dyDescent="0.3">
      <c r="G33" t="s">
        <v>7</v>
      </c>
      <c r="H33">
        <v>19.5</v>
      </c>
      <c r="I33">
        <v>3.1</v>
      </c>
      <c r="J33">
        <v>2.96</v>
      </c>
      <c r="K33">
        <v>21.17</v>
      </c>
      <c r="L33">
        <v>11.8</v>
      </c>
      <c r="M33">
        <f t="shared" si="8"/>
        <v>2640</v>
      </c>
      <c r="N33" s="1">
        <f t="shared" si="9"/>
        <v>9.370000000000001</v>
      </c>
      <c r="O33">
        <f t="shared" si="10"/>
        <v>3.0300000000000002</v>
      </c>
      <c r="P33" s="2">
        <f>FiberLength!D17*PureWaterPermeability!$C$2*PI()</f>
        <v>3.9364155949480104E-4</v>
      </c>
      <c r="Q33" s="2">
        <f t="shared" si="11"/>
        <v>32.517361924272507</v>
      </c>
      <c r="R33" s="2">
        <f t="shared" si="12"/>
        <v>10.731802615271453</v>
      </c>
      <c r="S33" s="2">
        <f t="shared" si="13"/>
        <v>33491570150230.914</v>
      </c>
      <c r="T33" s="2"/>
      <c r="U33" s="2"/>
      <c r="V33" s="2"/>
      <c r="W33" s="2"/>
      <c r="X33" s="2"/>
      <c r="Y33" s="2"/>
      <c r="Z33" s="2"/>
      <c r="AA33" s="2"/>
    </row>
    <row r="34" spans="6:27" x14ac:dyDescent="0.3">
      <c r="F34">
        <v>7</v>
      </c>
      <c r="G34" t="s">
        <v>4</v>
      </c>
      <c r="H34">
        <v>19.8</v>
      </c>
      <c r="I34">
        <v>3.09</v>
      </c>
      <c r="J34">
        <v>2.94</v>
      </c>
      <c r="K34">
        <v>20.84</v>
      </c>
      <c r="L34">
        <v>11.8</v>
      </c>
      <c r="M34">
        <f>50*60</f>
        <v>3000</v>
      </c>
      <c r="N34" s="1">
        <f t="shared" si="9"/>
        <v>9.0399999999999991</v>
      </c>
      <c r="O34">
        <f t="shared" si="10"/>
        <v>3.0149999999999997</v>
      </c>
      <c r="P34" s="2">
        <f>FiberLength!D18*PureWaterPermeability!$C$2*PI()</f>
        <v>3.9364155949480104E-4</v>
      </c>
      <c r="Q34" s="2">
        <f t="shared" si="11"/>
        <v>27.607483199570176</v>
      </c>
      <c r="R34" s="2">
        <f t="shared" si="12"/>
        <v>9.1567108456285826</v>
      </c>
      <c r="S34" s="2">
        <f t="shared" si="13"/>
        <v>39252623151181.523</v>
      </c>
      <c r="T34" s="2">
        <f>AVERAGE(R34:R37)</f>
        <v>9.7678145406370689</v>
      </c>
      <c r="U34" s="2">
        <f>AVERAGE(S34:S37)</f>
        <v>36868584455235.188</v>
      </c>
      <c r="V34" s="2">
        <f>_xlfn.STDEV.S(R34:R37)</f>
        <v>0.49579177280127573</v>
      </c>
      <c r="W34" s="2">
        <f>_xlfn.STDEV.S(S34:S37)</f>
        <v>1885536670974.448</v>
      </c>
      <c r="X34" s="2">
        <f>_xlfn.CONFIDENCE.T(0.05,V34,4)</f>
        <v>0.78891534777074002</v>
      </c>
      <c r="Y34" s="2">
        <f>_xlfn.CONFIDENCE.T(0.05,W34,4)</f>
        <v>3000309606009.7886</v>
      </c>
      <c r="Z34" s="2">
        <f>_xlfn.STDEV.S(Q34:Q37)</f>
        <v>1.4948121949958442</v>
      </c>
      <c r="AA34" s="2">
        <f>Z34/AVERAGE(Q34:Q37)</f>
        <v>5.0757697204285669E-2</v>
      </c>
    </row>
    <row r="35" spans="6:27" x14ac:dyDescent="0.3">
      <c r="G35" t="s">
        <v>5</v>
      </c>
      <c r="H35">
        <v>19.8</v>
      </c>
      <c r="I35">
        <v>3.09</v>
      </c>
      <c r="J35">
        <v>2.94</v>
      </c>
      <c r="K35">
        <v>21.23</v>
      </c>
      <c r="L35">
        <v>11.75</v>
      </c>
      <c r="M35">
        <f t="shared" ref="M35:M49" si="14">50*60</f>
        <v>3000</v>
      </c>
      <c r="N35" s="1">
        <f t="shared" si="9"/>
        <v>9.48</v>
      </c>
      <c r="O35">
        <f t="shared" si="10"/>
        <v>3.0149999999999997</v>
      </c>
      <c r="P35" s="2">
        <f>FiberLength!D19*PureWaterPermeability!$C$2*PI()</f>
        <v>3.9144244463728818E-4</v>
      </c>
      <c r="Q35" s="2">
        <f t="shared" si="11"/>
        <v>29.113857506596542</v>
      </c>
      <c r="R35" s="2">
        <f t="shared" si="12"/>
        <v>9.6563374814582232</v>
      </c>
      <c r="S35" s="2">
        <f t="shared" si="13"/>
        <v>37221660988749.742</v>
      </c>
      <c r="T35" s="2"/>
      <c r="U35" s="2"/>
      <c r="V35" s="2"/>
      <c r="W35" s="2"/>
      <c r="X35" s="2"/>
      <c r="Y35" s="2"/>
      <c r="Z35" s="2"/>
      <c r="AA35" s="2"/>
    </row>
    <row r="36" spans="6:27" x14ac:dyDescent="0.3">
      <c r="G36" t="s">
        <v>6</v>
      </c>
      <c r="H36">
        <v>19.8</v>
      </c>
      <c r="I36">
        <v>3.09</v>
      </c>
      <c r="J36">
        <v>2.94</v>
      </c>
      <c r="K36">
        <v>21.99</v>
      </c>
      <c r="L36">
        <v>11.78</v>
      </c>
      <c r="M36">
        <f t="shared" si="14"/>
        <v>3000</v>
      </c>
      <c r="N36" s="1">
        <f t="shared" si="9"/>
        <v>10.209999999999999</v>
      </c>
      <c r="O36">
        <f t="shared" si="10"/>
        <v>3.0149999999999997</v>
      </c>
      <c r="P36" s="2">
        <f>FiberLength!D20*PureWaterPermeability!$C$2*PI()</f>
        <v>3.9364155949480104E-4</v>
      </c>
      <c r="Q36" s="2">
        <f t="shared" si="11"/>
        <v>31.180575604824284</v>
      </c>
      <c r="R36" s="2">
        <f t="shared" si="12"/>
        <v>10.341816121003081</v>
      </c>
      <c r="S36" s="2">
        <f t="shared" si="13"/>
        <v>34754526276854.152</v>
      </c>
      <c r="T36" s="2"/>
      <c r="U36" s="2"/>
      <c r="V36" s="2"/>
      <c r="W36" s="2"/>
      <c r="X36" s="2"/>
      <c r="Y36" s="2"/>
      <c r="Z36" s="2"/>
      <c r="AA36" s="2"/>
    </row>
    <row r="37" spans="6:27" x14ac:dyDescent="0.3">
      <c r="G37" t="s">
        <v>7</v>
      </c>
      <c r="H37">
        <v>19.8</v>
      </c>
      <c r="I37">
        <v>3.09</v>
      </c>
      <c r="J37">
        <v>2.94</v>
      </c>
      <c r="K37">
        <v>21.55</v>
      </c>
      <c r="L37">
        <v>11.76</v>
      </c>
      <c r="M37">
        <f t="shared" si="14"/>
        <v>3000</v>
      </c>
      <c r="N37" s="1">
        <f t="shared" si="9"/>
        <v>9.7900000000000009</v>
      </c>
      <c r="O37">
        <f t="shared" si="10"/>
        <v>3.0149999999999997</v>
      </c>
      <c r="P37" s="2">
        <f>FiberLength!D21*PureWaterPermeability!$C$2*PI()</f>
        <v>3.9364155949480104E-4</v>
      </c>
      <c r="Q37" s="2">
        <f t="shared" si="11"/>
        <v>29.897927049092047</v>
      </c>
      <c r="R37" s="2">
        <f t="shared" si="12"/>
        <v>9.9163937144583922</v>
      </c>
      <c r="S37" s="2">
        <f t="shared" si="13"/>
        <v>36245527404155.344</v>
      </c>
      <c r="T37" s="2"/>
      <c r="U37" s="2"/>
      <c r="V37" s="2"/>
      <c r="W37" s="2"/>
      <c r="X37" s="2"/>
      <c r="Y37" s="2"/>
      <c r="Z37" s="2"/>
      <c r="AA37" s="2"/>
    </row>
    <row r="38" spans="6:27" x14ac:dyDescent="0.3">
      <c r="F38">
        <v>8</v>
      </c>
      <c r="G38" t="s">
        <v>4</v>
      </c>
      <c r="H38">
        <v>19.8</v>
      </c>
      <c r="I38">
        <v>3.09</v>
      </c>
      <c r="J38">
        <v>2.94</v>
      </c>
      <c r="K38">
        <v>20.51</v>
      </c>
      <c r="L38">
        <v>11.83</v>
      </c>
      <c r="M38">
        <f t="shared" si="14"/>
        <v>3000</v>
      </c>
      <c r="N38" s="1">
        <f t="shared" si="9"/>
        <v>8.6800000000000015</v>
      </c>
      <c r="O38">
        <f t="shared" si="10"/>
        <v>3.0149999999999997</v>
      </c>
      <c r="P38" s="2">
        <f>FiberLength!D22*PureWaterPermeability!$C$2*PI()</f>
        <v>3.9364155949480104E-4</v>
      </c>
      <c r="Q38" s="2">
        <f t="shared" si="11"/>
        <v>26.508070151799693</v>
      </c>
      <c r="R38" s="2">
        <f t="shared" si="12"/>
        <v>8.7920630685902807</v>
      </c>
      <c r="S38" s="2">
        <f t="shared" si="13"/>
        <v>40880612129801.938</v>
      </c>
      <c r="T38" s="2">
        <f>AVERAGE(R38:R41)</f>
        <v>8.8625546320372095</v>
      </c>
      <c r="U38" s="2">
        <f>AVERAGE(S38:S41)</f>
        <v>40562186395425.641</v>
      </c>
      <c r="V38" s="2">
        <f>_xlfn.STDEV.S(R38:R41)</f>
        <v>0.13220405808091801</v>
      </c>
      <c r="W38" s="2">
        <f>_xlfn.STDEV.S(S38:S41)</f>
        <v>601852953006.12708</v>
      </c>
      <c r="X38" s="2">
        <f>_xlfn.CONFIDENCE.T(0.05,V38,4)</f>
        <v>0.2103661580915652</v>
      </c>
      <c r="Y38" s="2">
        <f>_xlfn.CONFIDENCE.T(0.05,W38,4)</f>
        <v>957682353309.21948</v>
      </c>
      <c r="Z38" s="2">
        <f>_xlfn.STDEV.S(Q38:Q41)</f>
        <v>0.39859523511396772</v>
      </c>
      <c r="AA38" s="2">
        <f>Z38/AVERAGE(Q38:Q41)</f>
        <v>1.4917150141226115E-2</v>
      </c>
    </row>
    <row r="39" spans="6:27" x14ac:dyDescent="0.3">
      <c r="G39" t="s">
        <v>5</v>
      </c>
      <c r="H39">
        <v>19.8</v>
      </c>
      <c r="I39">
        <v>3.09</v>
      </c>
      <c r="J39">
        <v>2.94</v>
      </c>
      <c r="K39">
        <v>20.12</v>
      </c>
      <c r="L39">
        <v>11.74</v>
      </c>
      <c r="M39">
        <f t="shared" si="14"/>
        <v>3000</v>
      </c>
      <c r="N39" s="1">
        <f t="shared" si="9"/>
        <v>8.3800000000000008</v>
      </c>
      <c r="O39">
        <f t="shared" si="10"/>
        <v>3.0149999999999997</v>
      </c>
      <c r="P39" s="2">
        <f>FiberLength!D23*PureWaterPermeability!$C$2*PI()</f>
        <v>3.8264598520723679E-4</v>
      </c>
      <c r="Q39" s="2">
        <f t="shared" si="11"/>
        <v>26.327291824979191</v>
      </c>
      <c r="R39" s="2">
        <f t="shared" si="12"/>
        <v>8.7321034245370459</v>
      </c>
      <c r="S39" s="2">
        <f t="shared" si="13"/>
        <v>41161321923629.328</v>
      </c>
      <c r="T39" s="2"/>
      <c r="U39" s="2"/>
      <c r="V39" s="2"/>
      <c r="W39" s="2"/>
      <c r="X39" s="2"/>
      <c r="Y39" s="2"/>
      <c r="Z39" s="2"/>
      <c r="AA39" s="2"/>
    </row>
    <row r="40" spans="6:27" x14ac:dyDescent="0.3">
      <c r="G40" t="s">
        <v>6</v>
      </c>
      <c r="H40">
        <v>19.8</v>
      </c>
      <c r="I40">
        <v>3.09</v>
      </c>
      <c r="J40">
        <v>2.94</v>
      </c>
      <c r="K40">
        <v>20.38</v>
      </c>
      <c r="L40">
        <v>11.7</v>
      </c>
      <c r="M40">
        <f t="shared" si="14"/>
        <v>3000</v>
      </c>
      <c r="N40" s="1">
        <f t="shared" si="9"/>
        <v>8.68</v>
      </c>
      <c r="O40">
        <f t="shared" si="10"/>
        <v>3.0149999999999997</v>
      </c>
      <c r="P40" s="2">
        <f>FiberLength!D24*PureWaterPermeability!$C$2*PI()</f>
        <v>3.8924332977977537E-4</v>
      </c>
      <c r="Q40" s="2">
        <f t="shared" si="11"/>
        <v>26.807596368204198</v>
      </c>
      <c r="R40" s="2">
        <f t="shared" si="12"/>
        <v>8.8914084139980769</v>
      </c>
      <c r="S40" s="2">
        <f t="shared" si="13"/>
        <v>40423845513826.516</v>
      </c>
      <c r="T40" s="2"/>
      <c r="U40" s="2"/>
      <c r="V40" s="2"/>
      <c r="W40" s="2"/>
      <c r="X40" s="2"/>
      <c r="Y40" s="2"/>
      <c r="Z40" s="2"/>
      <c r="AA40" s="2"/>
    </row>
    <row r="41" spans="6:27" x14ac:dyDescent="0.3">
      <c r="G41" t="s">
        <v>7</v>
      </c>
      <c r="H41">
        <v>19.8</v>
      </c>
      <c r="I41">
        <v>3.09</v>
      </c>
      <c r="J41">
        <v>2.94</v>
      </c>
      <c r="K41">
        <v>20.47</v>
      </c>
      <c r="L41">
        <v>11.7</v>
      </c>
      <c r="M41">
        <f t="shared" si="14"/>
        <v>3000</v>
      </c>
      <c r="N41" s="1">
        <f t="shared" si="9"/>
        <v>8.77</v>
      </c>
      <c r="O41">
        <f t="shared" si="10"/>
        <v>3.0149999999999997</v>
      </c>
      <c r="P41" s="2">
        <f>FiberLength!D25*PureWaterPermeability!$C$2*PI()</f>
        <v>3.8704421492226246E-4</v>
      </c>
      <c r="Q41" s="2">
        <f t="shared" si="11"/>
        <v>27.239450517385642</v>
      </c>
      <c r="R41" s="2">
        <f t="shared" si="12"/>
        <v>9.0346436210234309</v>
      </c>
      <c r="S41" s="2">
        <f t="shared" si="13"/>
        <v>39782966014444.773</v>
      </c>
      <c r="T41" s="2"/>
      <c r="U41" s="2"/>
      <c r="V41" s="2"/>
      <c r="W41" s="2"/>
      <c r="X41" s="2"/>
      <c r="Y41" s="2"/>
      <c r="Z41" s="2"/>
      <c r="AA41" s="2"/>
    </row>
    <row r="42" spans="6:27" x14ac:dyDescent="0.3">
      <c r="F42">
        <v>9</v>
      </c>
      <c r="G42" t="s">
        <v>4</v>
      </c>
      <c r="H42">
        <v>19.8</v>
      </c>
      <c r="I42">
        <v>3.09</v>
      </c>
      <c r="J42">
        <v>2.94</v>
      </c>
      <c r="K42">
        <v>20.53</v>
      </c>
      <c r="L42">
        <v>11.77</v>
      </c>
      <c r="M42">
        <f t="shared" si="14"/>
        <v>3000</v>
      </c>
      <c r="N42" s="1">
        <f t="shared" si="9"/>
        <v>8.7600000000000016</v>
      </c>
      <c r="O42">
        <f t="shared" si="10"/>
        <v>3.0149999999999997</v>
      </c>
      <c r="P42" s="2">
        <f>FiberLength!D26*PureWaterPermeability!$C$2*PI()</f>
        <v>3.9144244463728818E-4</v>
      </c>
      <c r="Q42" s="2">
        <f t="shared" si="11"/>
        <v>26.902678455462635</v>
      </c>
      <c r="R42" s="2">
        <f t="shared" si="12"/>
        <v>8.9229447613474751</v>
      </c>
      <c r="S42" s="2">
        <f t="shared" si="13"/>
        <v>40280975590564.773</v>
      </c>
      <c r="T42" s="2">
        <f>AVERAGE(R42:R45)</f>
        <v>8.8779612925976643</v>
      </c>
      <c r="U42" s="2">
        <f>AVERAGE(S42:S45)</f>
        <v>40505657444557.125</v>
      </c>
      <c r="V42" s="2">
        <f>_xlfn.STDEV.S(R42:R45)</f>
        <v>0.22936677430348862</v>
      </c>
      <c r="W42" s="2">
        <f>_xlfn.STDEV.S(S42:S45)</f>
        <v>1062455882381.7623</v>
      </c>
      <c r="X42" s="2">
        <f>_xlfn.CONFIDENCE.T(0.05,V42,4)</f>
        <v>0.36497372171848985</v>
      </c>
      <c r="Y42" s="2">
        <f>_xlfn.CONFIDENCE.T(0.05,W42,4)</f>
        <v>1690604398706.3914</v>
      </c>
      <c r="Z42" s="2">
        <f>_xlfn.STDEV.S(Q42:Q45)</f>
        <v>0.69154082452501764</v>
      </c>
      <c r="AA42" s="2">
        <f>Z42/AVERAGE(Q42:Q45)</f>
        <v>2.583552312789781E-2</v>
      </c>
    </row>
    <row r="43" spans="6:27" x14ac:dyDescent="0.3">
      <c r="G43" t="s">
        <v>5</v>
      </c>
      <c r="H43">
        <v>19.8</v>
      </c>
      <c r="I43">
        <v>3.09</v>
      </c>
      <c r="J43">
        <v>2.94</v>
      </c>
      <c r="K43">
        <v>21.55</v>
      </c>
      <c r="L43">
        <v>12.56</v>
      </c>
      <c r="M43">
        <f t="shared" si="14"/>
        <v>3000</v>
      </c>
      <c r="N43" s="1">
        <f t="shared" si="9"/>
        <v>8.99</v>
      </c>
      <c r="O43">
        <f t="shared" si="10"/>
        <v>3.0149999999999997</v>
      </c>
      <c r="P43" s="2">
        <f>FiberLength!D27*PureWaterPermeability!$C$2*PI()</f>
        <v>3.9364155949480104E-4</v>
      </c>
      <c r="Q43" s="2">
        <f t="shared" si="11"/>
        <v>27.454786942935389</v>
      </c>
      <c r="R43" s="2">
        <f t="shared" si="12"/>
        <v>9.1060653210399316</v>
      </c>
      <c r="S43" s="2">
        <f t="shared" si="13"/>
        <v>39470935849463.953</v>
      </c>
      <c r="T43" s="2"/>
      <c r="U43" s="2"/>
      <c r="V43" s="2"/>
      <c r="W43" s="2"/>
      <c r="X43" s="2"/>
      <c r="Y43" s="2"/>
      <c r="Z43" s="2"/>
      <c r="AA43" s="2"/>
    </row>
    <row r="44" spans="6:27" x14ac:dyDescent="0.3">
      <c r="G44" t="s">
        <v>6</v>
      </c>
      <c r="H44">
        <v>19.8</v>
      </c>
      <c r="I44">
        <v>3.09</v>
      </c>
      <c r="J44">
        <v>2.94</v>
      </c>
      <c r="K44">
        <v>20.2</v>
      </c>
      <c r="L44">
        <v>11.75</v>
      </c>
      <c r="M44">
        <f t="shared" si="14"/>
        <v>3000</v>
      </c>
      <c r="N44" s="1">
        <f t="shared" si="9"/>
        <v>8.4499999999999993</v>
      </c>
      <c r="O44">
        <f t="shared" si="10"/>
        <v>3.0149999999999997</v>
      </c>
      <c r="P44" s="2">
        <f>FiberLength!D28*PureWaterPermeability!$C$2*PI()</f>
        <v>3.9364155949480104E-4</v>
      </c>
      <c r="Q44" s="2">
        <f t="shared" si="11"/>
        <v>25.805667371279647</v>
      </c>
      <c r="R44" s="2">
        <f t="shared" si="12"/>
        <v>8.5590936554824708</v>
      </c>
      <c r="S44" s="2">
        <f t="shared" si="13"/>
        <v>41993338850494.781</v>
      </c>
      <c r="T44" s="2"/>
      <c r="U44" s="2"/>
      <c r="V44" s="2"/>
      <c r="W44" s="2"/>
      <c r="X44" s="2"/>
      <c r="Y44" s="2"/>
      <c r="Z44" s="2"/>
      <c r="AA44" s="2"/>
    </row>
    <row r="45" spans="6:27" x14ac:dyDescent="0.3">
      <c r="G45" t="s">
        <v>7</v>
      </c>
      <c r="H45">
        <v>19.8</v>
      </c>
      <c r="I45">
        <v>3.09</v>
      </c>
      <c r="J45">
        <v>2.94</v>
      </c>
      <c r="K45">
        <v>20.53</v>
      </c>
      <c r="L45">
        <v>11.72</v>
      </c>
      <c r="M45">
        <f t="shared" si="14"/>
        <v>3000</v>
      </c>
      <c r="N45" s="1">
        <f t="shared" si="9"/>
        <v>8.81</v>
      </c>
      <c r="O45">
        <f t="shared" si="10"/>
        <v>3.0149999999999997</v>
      </c>
      <c r="P45" s="2">
        <f>FiberLength!D29*PureWaterPermeability!$C$2*PI()</f>
        <v>3.9364155949480104E-4</v>
      </c>
      <c r="Q45" s="2">
        <f t="shared" si="11"/>
        <v>26.905080419050144</v>
      </c>
      <c r="R45" s="2">
        <f t="shared" si="12"/>
        <v>8.923741432520778</v>
      </c>
      <c r="S45" s="2">
        <f t="shared" si="13"/>
        <v>40277379487704.984</v>
      </c>
      <c r="T45" s="2"/>
      <c r="U45" s="2"/>
      <c r="V45" s="2"/>
      <c r="W45" s="2"/>
      <c r="X45" s="2"/>
      <c r="Y45" s="2"/>
      <c r="Z45" s="2"/>
      <c r="AA45" s="2"/>
    </row>
    <row r="46" spans="6:27" x14ac:dyDescent="0.3">
      <c r="F46">
        <v>10</v>
      </c>
      <c r="G46" t="s">
        <v>4</v>
      </c>
      <c r="H46">
        <v>19.8</v>
      </c>
      <c r="I46">
        <v>3.09</v>
      </c>
      <c r="J46">
        <v>2.94</v>
      </c>
      <c r="K46">
        <v>19.53</v>
      </c>
      <c r="L46">
        <v>11.72</v>
      </c>
      <c r="M46">
        <f t="shared" si="14"/>
        <v>3000</v>
      </c>
      <c r="N46" s="1">
        <f t="shared" si="9"/>
        <v>7.8100000000000005</v>
      </c>
      <c r="O46">
        <f t="shared" si="10"/>
        <v>3.0149999999999997</v>
      </c>
      <c r="P46" s="2">
        <f>FiberLength!D30*PureWaterPermeability!$C$2*PI()</f>
        <v>3.9364155949480104E-4</v>
      </c>
      <c r="Q46" s="2">
        <f t="shared" si="11"/>
        <v>23.851155286354327</v>
      </c>
      <c r="R46" s="2">
        <f t="shared" si="12"/>
        <v>7.9108309407477044</v>
      </c>
      <c r="S46" s="2">
        <f t="shared" si="13"/>
        <v>45434534351687.695</v>
      </c>
      <c r="T46" s="2">
        <f>AVERAGE(R46:R49)</f>
        <v>8.273671191026736</v>
      </c>
      <c r="U46" s="2">
        <f>AVERAGE(S46:S49)</f>
        <v>43492024667264.789</v>
      </c>
      <c r="V46" s="2">
        <f>_xlfn.STDEV.S(R46:R49)</f>
        <v>0.32372778702136962</v>
      </c>
      <c r="W46" s="2">
        <f>_xlfn.STDEV.S(S46:S49)</f>
        <v>1704672511064.6309</v>
      </c>
      <c r="X46" s="2">
        <f>_xlfn.CONFIDENCE.T(0.05,V46,4)</f>
        <v>0.51512314986191465</v>
      </c>
      <c r="Y46" s="2">
        <f>_xlfn.CONFIDENCE.T(0.05,W46,4)</f>
        <v>2712514367278.1685</v>
      </c>
      <c r="Z46" s="2">
        <f>_xlfn.STDEV.S(Q46:Q49)</f>
        <v>0.97603927786942823</v>
      </c>
      <c r="AA46" s="2">
        <f>Z46/AVERAGE(Q46:Q49)</f>
        <v>3.9127465854875927E-2</v>
      </c>
    </row>
    <row r="47" spans="6:27" x14ac:dyDescent="0.3">
      <c r="G47" t="s">
        <v>5</v>
      </c>
      <c r="H47">
        <v>19.8</v>
      </c>
      <c r="I47">
        <v>3.09</v>
      </c>
      <c r="J47">
        <v>2.94</v>
      </c>
      <c r="K47">
        <v>19.77</v>
      </c>
      <c r="L47">
        <v>11.72</v>
      </c>
      <c r="M47">
        <f t="shared" si="14"/>
        <v>3000</v>
      </c>
      <c r="N47" s="1">
        <f t="shared" si="9"/>
        <v>8.0499999999999989</v>
      </c>
      <c r="O47">
        <f t="shared" si="10"/>
        <v>3.0149999999999997</v>
      </c>
      <c r="P47" s="2">
        <f>FiberLength!D31*PureWaterPermeability!$C$2*PI()</f>
        <v>3.9584067435231396E-4</v>
      </c>
      <c r="Q47" s="2">
        <f t="shared" si="11"/>
        <v>24.44751899976686</v>
      </c>
      <c r="R47" s="2">
        <f t="shared" si="12"/>
        <v>8.108629850668942</v>
      </c>
      <c r="S47" s="2">
        <f t="shared" si="13"/>
        <v>44326221167703.656</v>
      </c>
      <c r="T47" s="2"/>
      <c r="U47" s="2"/>
      <c r="V47" s="2"/>
      <c r="W47" s="2"/>
      <c r="X47" s="2"/>
      <c r="Y47" s="2"/>
      <c r="Z47" s="2"/>
      <c r="AA47" s="2"/>
    </row>
    <row r="48" spans="6:27" x14ac:dyDescent="0.3">
      <c r="G48" t="s">
        <v>6</v>
      </c>
      <c r="H48">
        <v>19.8</v>
      </c>
      <c r="I48">
        <v>3.09</v>
      </c>
      <c r="J48">
        <v>2.94</v>
      </c>
      <c r="K48">
        <v>20.12</v>
      </c>
      <c r="L48">
        <v>11.78</v>
      </c>
      <c r="M48">
        <f t="shared" si="14"/>
        <v>3000</v>
      </c>
      <c r="N48" s="1">
        <f t="shared" si="9"/>
        <v>8.3400000000000016</v>
      </c>
      <c r="O48">
        <f t="shared" si="10"/>
        <v>3.0149999999999997</v>
      </c>
      <c r="P48" s="2">
        <f>FiberLength!D32*PureWaterPermeability!$C$2*PI()</f>
        <v>3.9364155949480104E-4</v>
      </c>
      <c r="Q48" s="2">
        <f t="shared" si="11"/>
        <v>25.469735606683116</v>
      </c>
      <c r="R48" s="2">
        <f t="shared" si="12"/>
        <v>8.4476735013874364</v>
      </c>
      <c r="S48" s="2">
        <f t="shared" si="13"/>
        <v>42547207828139.18</v>
      </c>
      <c r="T48" s="2"/>
      <c r="U48" s="2"/>
      <c r="V48" s="2"/>
      <c r="W48" s="2"/>
      <c r="X48" s="2"/>
      <c r="Y48" s="2"/>
      <c r="Z48" s="2"/>
      <c r="AA48" s="2"/>
    </row>
    <row r="49" spans="5:27" x14ac:dyDescent="0.3">
      <c r="G49" t="s">
        <v>7</v>
      </c>
      <c r="H49">
        <v>19.8</v>
      </c>
      <c r="I49">
        <v>3.09</v>
      </c>
      <c r="J49">
        <v>2.94</v>
      </c>
      <c r="K49">
        <v>20.27</v>
      </c>
      <c r="L49">
        <v>11.8</v>
      </c>
      <c r="M49">
        <f t="shared" si="14"/>
        <v>3000</v>
      </c>
      <c r="N49" s="1">
        <f t="shared" si="9"/>
        <v>8.4699999999999989</v>
      </c>
      <c r="O49">
        <f t="shared" si="10"/>
        <v>3.0149999999999997</v>
      </c>
      <c r="P49" s="2">
        <f>FiberLength!D33*PureWaterPermeability!$C$2*PI()</f>
        <v>3.9144244463728818E-4</v>
      </c>
      <c r="Q49" s="2">
        <f t="shared" si="11"/>
        <v>26.012064670978134</v>
      </c>
      <c r="R49" s="2">
        <f t="shared" si="12"/>
        <v>8.6275504713028646</v>
      </c>
      <c r="S49" s="2">
        <f t="shared" si="13"/>
        <v>41660135321528.633</v>
      </c>
      <c r="T49" s="2"/>
      <c r="U49" s="2"/>
      <c r="V49" s="2"/>
      <c r="W49" s="2"/>
      <c r="X49" s="2"/>
      <c r="Y49" s="2"/>
      <c r="Z49" s="2"/>
      <c r="AA49" s="2"/>
    </row>
    <row r="50" spans="5:27" x14ac:dyDescent="0.3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5:27" x14ac:dyDescent="0.3">
      <c r="E51" t="s">
        <v>3</v>
      </c>
      <c r="F51">
        <v>2</v>
      </c>
      <c r="G51" t="s">
        <v>4</v>
      </c>
      <c r="H51">
        <v>20.2</v>
      </c>
      <c r="I51">
        <v>4.05</v>
      </c>
      <c r="J51">
        <v>3.92</v>
      </c>
      <c r="K51">
        <v>31.45</v>
      </c>
      <c r="L51">
        <v>11.8</v>
      </c>
      <c r="M51">
        <f>37*60</f>
        <v>2220</v>
      </c>
      <c r="N51" s="1">
        <f t="shared" ref="N51" si="15">K51-L51</f>
        <v>19.649999999999999</v>
      </c>
      <c r="O51">
        <f>(I51+J51)/2</f>
        <v>3.9849999999999999</v>
      </c>
      <c r="P51" s="2">
        <f>FiberLength!D2*PureWaterPermeability!$C$2*PI()</f>
        <v>3.9144244463728818E-4</v>
      </c>
      <c r="Q51" s="2">
        <f>N51/P51/M51*60*60/$C$4</f>
        <v>81.54967784305822</v>
      </c>
      <c r="R51" s="2">
        <f>Q51/O51</f>
        <v>20.464160060993279</v>
      </c>
      <c r="S51" s="2">
        <f>(O51*10^5)/$C$5/(Q51/1000/60/60)</f>
        <v>17563629245301.648</v>
      </c>
      <c r="T51" s="2">
        <f>AVERAGE(R51:R54)</f>
        <v>20.021318278673494</v>
      </c>
      <c r="U51" s="2">
        <f>AVERAGE(S51:S54)</f>
        <v>17970158022874.242</v>
      </c>
      <c r="V51" s="2">
        <f>_xlfn.STDEV.S(R51:R54)</f>
        <v>0.72150084919972524</v>
      </c>
      <c r="W51" s="2">
        <f>_xlfn.STDEV.S(S51:S54)</f>
        <v>667818323397.33386</v>
      </c>
      <c r="X51" s="2">
        <f>_xlfn.CONFIDENCE.T(0.05,V51,4)</f>
        <v>1.148068855897362</v>
      </c>
      <c r="Y51" s="2">
        <f>_xlfn.CONFIDENCE.T(0.05,W51,4)</f>
        <v>1062647977948.3032</v>
      </c>
      <c r="Z51" s="2">
        <f>_xlfn.STDEV.S(Q51:Q54)</f>
        <v>2.875180884060903</v>
      </c>
      <c r="AA51" s="2">
        <f>Z51/AVERAGE(Q51:Q54)</f>
        <v>3.6036630513399323E-2</v>
      </c>
    </row>
    <row r="52" spans="5:27" x14ac:dyDescent="0.3">
      <c r="G52" t="s">
        <v>5</v>
      </c>
      <c r="H52">
        <v>20.2</v>
      </c>
      <c r="I52">
        <v>4.05</v>
      </c>
      <c r="J52">
        <v>3.92</v>
      </c>
      <c r="K52">
        <v>30.07</v>
      </c>
      <c r="L52">
        <v>11.75</v>
      </c>
      <c r="M52">
        <f t="shared" ref="M52:M66" si="16">37*60</f>
        <v>2220</v>
      </c>
      <c r="N52" s="1">
        <f t="shared" ref="N52:N82" si="17">K52-L52</f>
        <v>18.32</v>
      </c>
      <c r="O52">
        <f t="shared" ref="O52:O82" si="18">(I52+J52)/2</f>
        <v>3.9849999999999999</v>
      </c>
      <c r="P52" s="2">
        <f>FiberLength!D3*PureWaterPermeability!$C$2*PI()</f>
        <v>3.9364155949480104E-4</v>
      </c>
      <c r="Q52" s="2">
        <f t="shared" ref="Q52:Q82" si="19">N52/P52/M52*60*60/$C$4</f>
        <v>75.605281663496413</v>
      </c>
      <c r="R52" s="2">
        <f t="shared" ref="R52:R82" si="20">Q52/O52</f>
        <v>18.972467167753177</v>
      </c>
      <c r="S52" s="2">
        <f t="shared" ref="S52:S82" si="21">(O52*10^5)/$C$5/(Q52/1000/60/60)</f>
        <v>18944553544343.309</v>
      </c>
      <c r="T52" s="2"/>
      <c r="U52" s="2"/>
      <c r="V52" s="2"/>
      <c r="W52" s="2"/>
      <c r="X52" s="2"/>
      <c r="Y52" s="2"/>
      <c r="Z52" s="2"/>
      <c r="AA52" s="2"/>
    </row>
    <row r="53" spans="5:27" x14ac:dyDescent="0.3">
      <c r="G53" t="s">
        <v>6</v>
      </c>
      <c r="H53">
        <v>20.2</v>
      </c>
      <c r="I53">
        <v>4.05</v>
      </c>
      <c r="J53">
        <v>3.92</v>
      </c>
      <c r="K53">
        <v>31.49</v>
      </c>
      <c r="L53">
        <v>11.78</v>
      </c>
      <c r="M53">
        <f t="shared" si="16"/>
        <v>2220</v>
      </c>
      <c r="N53" s="1">
        <f t="shared" si="17"/>
        <v>19.71</v>
      </c>
      <c r="O53">
        <f t="shared" si="18"/>
        <v>3.9849999999999999</v>
      </c>
      <c r="P53" s="2">
        <f>FiberLength!D4*PureWaterPermeability!$C$2*PI()</f>
        <v>3.9144244463728818E-4</v>
      </c>
      <c r="Q53" s="2">
        <f t="shared" si="19"/>
        <v>81.798684492960689</v>
      </c>
      <c r="R53" s="2">
        <f t="shared" si="20"/>
        <v>20.526646045912344</v>
      </c>
      <c r="S53" s="2">
        <f t="shared" si="21"/>
        <v>17510163098436.193</v>
      </c>
      <c r="T53" s="2"/>
      <c r="U53" s="2"/>
      <c r="V53" s="2"/>
      <c r="W53" s="2"/>
      <c r="X53" s="2"/>
      <c r="Y53" s="2"/>
      <c r="Z53" s="2"/>
      <c r="AA53" s="2"/>
    </row>
    <row r="54" spans="5:27" x14ac:dyDescent="0.3">
      <c r="G54" t="s">
        <v>7</v>
      </c>
      <c r="H54">
        <v>20.2</v>
      </c>
      <c r="I54">
        <v>4.05</v>
      </c>
      <c r="J54">
        <v>3.92</v>
      </c>
      <c r="K54">
        <v>31.19</v>
      </c>
      <c r="L54">
        <v>11.76</v>
      </c>
      <c r="M54">
        <f t="shared" si="16"/>
        <v>2220</v>
      </c>
      <c r="N54" s="1">
        <f t="shared" si="17"/>
        <v>19.43</v>
      </c>
      <c r="O54">
        <f t="shared" si="18"/>
        <v>3.9849999999999999</v>
      </c>
      <c r="P54" s="2">
        <f>FiberLength!D5*PureWaterPermeability!$C$2*PI()</f>
        <v>3.9364155949480104E-4</v>
      </c>
      <c r="Q54" s="2">
        <f t="shared" si="19"/>
        <v>80.186169362540141</v>
      </c>
      <c r="R54" s="2">
        <f t="shared" si="20"/>
        <v>20.121999840035169</v>
      </c>
      <c r="S54" s="2">
        <f t="shared" si="21"/>
        <v>17862286203415.82</v>
      </c>
      <c r="T54" s="2"/>
      <c r="U54" s="2"/>
      <c r="V54" s="2"/>
      <c r="W54" s="2"/>
      <c r="X54" s="2"/>
      <c r="Y54" s="2"/>
      <c r="Z54" s="2"/>
      <c r="AA54" s="2"/>
    </row>
    <row r="55" spans="5:27" x14ac:dyDescent="0.3">
      <c r="F55">
        <v>3</v>
      </c>
      <c r="G55" t="s">
        <v>4</v>
      </c>
      <c r="H55">
        <v>20.2</v>
      </c>
      <c r="I55">
        <v>4.05</v>
      </c>
      <c r="J55">
        <v>3.92</v>
      </c>
      <c r="K55">
        <v>24.45</v>
      </c>
      <c r="L55">
        <v>11.83</v>
      </c>
      <c r="M55">
        <f t="shared" si="16"/>
        <v>2220</v>
      </c>
      <c r="N55" s="1">
        <f t="shared" si="17"/>
        <v>12.62</v>
      </c>
      <c r="O55">
        <f t="shared" si="18"/>
        <v>3.9849999999999999</v>
      </c>
      <c r="P55" s="2">
        <f>FiberLength!D6*PureWaterPermeability!$C$2*PI()</f>
        <v>3.9144244463728818E-4</v>
      </c>
      <c r="Q55" s="2">
        <f t="shared" si="19"/>
        <v>52.374398696152404</v>
      </c>
      <c r="R55" s="2">
        <f t="shared" si="20"/>
        <v>13.142885494643012</v>
      </c>
      <c r="S55" s="2">
        <f t="shared" si="21"/>
        <v>27347489276559.219</v>
      </c>
      <c r="T55" s="2">
        <f>AVERAGE(R55:R58)</f>
        <v>13.656529747963177</v>
      </c>
      <c r="U55" s="2">
        <f>AVERAGE(S55:S58)</f>
        <v>26333323634522.332</v>
      </c>
      <c r="V55" s="2">
        <f>_xlfn.STDEV.S(R55:R58)</f>
        <v>0.36582084154918343</v>
      </c>
      <c r="W55" s="2">
        <f>_xlfn.STDEV.S(S55:S58)</f>
        <v>717753762237.88599</v>
      </c>
      <c r="X55" s="2">
        <f>_xlfn.CONFIDENCE.T(0.05,V55,4)</f>
        <v>0.58210259279198795</v>
      </c>
      <c r="Y55" s="2">
        <f>_xlfn.CONFIDENCE.T(0.05,W55,4)</f>
        <v>1142106404368.7209</v>
      </c>
      <c r="Z55" s="2">
        <f>_xlfn.STDEV.S(Q55:Q58)</f>
        <v>1.4577960535734944</v>
      </c>
      <c r="AA55" s="2">
        <f>Z55/AVERAGE(Q55:Q58)</f>
        <v>2.6787247441374624E-2</v>
      </c>
    </row>
    <row r="56" spans="5:27" x14ac:dyDescent="0.3">
      <c r="G56" t="s">
        <v>5</v>
      </c>
      <c r="H56">
        <v>20.2</v>
      </c>
      <c r="I56">
        <v>4.05</v>
      </c>
      <c r="J56">
        <v>3.92</v>
      </c>
      <c r="K56">
        <v>25.11</v>
      </c>
      <c r="L56">
        <v>11.74</v>
      </c>
      <c r="M56">
        <f t="shared" si="16"/>
        <v>2220</v>
      </c>
      <c r="N56" s="1">
        <f t="shared" si="17"/>
        <v>13.37</v>
      </c>
      <c r="O56">
        <f t="shared" si="18"/>
        <v>3.9849999999999999</v>
      </c>
      <c r="P56" s="2">
        <f>FiberLength!D7*PureWaterPermeability!$C$2*PI()</f>
        <v>3.8924332977977537E-4</v>
      </c>
      <c r="Q56" s="2">
        <f t="shared" si="19"/>
        <v>55.80046759292722</v>
      </c>
      <c r="R56" s="2">
        <f t="shared" si="20"/>
        <v>14.002626748538827</v>
      </c>
      <c r="S56" s="2">
        <f t="shared" si="21"/>
        <v>25668392551083.422</v>
      </c>
      <c r="T56" s="2"/>
      <c r="U56" s="2"/>
      <c r="V56" s="2"/>
      <c r="W56" s="2"/>
      <c r="X56" s="2"/>
      <c r="Y56" s="2"/>
      <c r="Z56" s="2"/>
      <c r="AA56" s="2"/>
    </row>
    <row r="57" spans="5:27" x14ac:dyDescent="0.3">
      <c r="G57" t="s">
        <v>6</v>
      </c>
      <c r="H57">
        <v>20.2</v>
      </c>
      <c r="I57">
        <v>4.05</v>
      </c>
      <c r="J57">
        <v>3.92</v>
      </c>
      <c r="K57">
        <v>24.63</v>
      </c>
      <c r="L57">
        <v>11.7</v>
      </c>
      <c r="M57">
        <f t="shared" si="16"/>
        <v>2220</v>
      </c>
      <c r="N57" s="1">
        <f t="shared" si="17"/>
        <v>12.93</v>
      </c>
      <c r="O57">
        <f t="shared" si="18"/>
        <v>3.9849999999999999</v>
      </c>
      <c r="P57" s="2">
        <f>FiberLength!D8*PureWaterPermeability!$C$2*PI()</f>
        <v>3.8484510006474965E-4</v>
      </c>
      <c r="Q57" s="2">
        <f t="shared" si="19"/>
        <v>54.580834763478649</v>
      </c>
      <c r="R57" s="2">
        <f t="shared" si="20"/>
        <v>13.696570831487742</v>
      </c>
      <c r="S57" s="2">
        <f t="shared" si="21"/>
        <v>26241964105460.273</v>
      </c>
      <c r="T57" s="2"/>
      <c r="U57" s="2"/>
      <c r="V57" s="2"/>
      <c r="W57" s="2"/>
      <c r="X57" s="2"/>
      <c r="Y57" s="2"/>
      <c r="Z57" s="2"/>
      <c r="AA57" s="2"/>
    </row>
    <row r="58" spans="5:27" x14ac:dyDescent="0.3">
      <c r="G58" t="s">
        <v>7</v>
      </c>
      <c r="H58">
        <v>20.2</v>
      </c>
      <c r="I58">
        <v>4.05</v>
      </c>
      <c r="J58">
        <v>3.92</v>
      </c>
      <c r="K58">
        <v>25.01</v>
      </c>
      <c r="L58">
        <v>11.7</v>
      </c>
      <c r="M58">
        <f t="shared" si="16"/>
        <v>2220</v>
      </c>
      <c r="N58" s="1">
        <f t="shared" si="17"/>
        <v>13.310000000000002</v>
      </c>
      <c r="O58">
        <f t="shared" si="18"/>
        <v>3.9849999999999999</v>
      </c>
      <c r="P58" s="2">
        <f>FiberLength!D9*PureWaterPermeability!$C$2*PI()</f>
        <v>3.9364155949480104E-4</v>
      </c>
      <c r="Q58" s="2">
        <f t="shared" si="19"/>
        <v>54.929383129974759</v>
      </c>
      <c r="R58" s="2">
        <f t="shared" si="20"/>
        <v>13.784035917183127</v>
      </c>
      <c r="S58" s="2">
        <f t="shared" si="21"/>
        <v>26075448604986.426</v>
      </c>
      <c r="T58" s="2"/>
      <c r="U58" s="2"/>
      <c r="V58" s="2"/>
      <c r="W58" s="2"/>
      <c r="X58" s="2"/>
      <c r="Y58" s="2"/>
      <c r="Z58" s="2"/>
      <c r="AA58" s="2"/>
    </row>
    <row r="59" spans="5:27" x14ac:dyDescent="0.3">
      <c r="F59">
        <v>4</v>
      </c>
      <c r="G59" t="s">
        <v>4</v>
      </c>
      <c r="H59">
        <v>20.2</v>
      </c>
      <c r="I59">
        <v>4.05</v>
      </c>
      <c r="J59">
        <v>3.92</v>
      </c>
      <c r="K59">
        <v>23.58</v>
      </c>
      <c r="L59">
        <v>11.77</v>
      </c>
      <c r="M59">
        <f t="shared" si="16"/>
        <v>2220</v>
      </c>
      <c r="N59" s="1">
        <f t="shared" si="17"/>
        <v>11.809999999999999</v>
      </c>
      <c r="O59">
        <f t="shared" si="18"/>
        <v>3.9849999999999999</v>
      </c>
      <c r="P59" s="2">
        <f>FiberLength!D10*PureWaterPermeability!$C$2*PI()</f>
        <v>3.9144244463728818E-4</v>
      </c>
      <c r="Q59" s="2">
        <f t="shared" si="19"/>
        <v>49.012808922469091</v>
      </c>
      <c r="R59" s="2">
        <f t="shared" si="20"/>
        <v>12.299324698235656</v>
      </c>
      <c r="S59" s="2">
        <f t="shared" si="21"/>
        <v>29223142647771.156</v>
      </c>
      <c r="T59" s="2">
        <f>AVERAGE(R59:R62)</f>
        <v>12.006065287635527</v>
      </c>
      <c r="U59" s="2">
        <f>AVERAGE(S59:S62)</f>
        <v>29976005163737.625</v>
      </c>
      <c r="V59" s="2">
        <f>_xlfn.STDEV.S(R59:R62)</f>
        <v>0.49070758019024274</v>
      </c>
      <c r="W59" s="2">
        <f>_xlfn.STDEV.S(S59:S62)</f>
        <v>1274302511918.9119</v>
      </c>
      <c r="X59" s="2">
        <f>_xlfn.CONFIDENCE.T(0.05,V59,4)</f>
        <v>0.78082526277557374</v>
      </c>
      <c r="Y59" s="2">
        <f>_xlfn.CONFIDENCE.T(0.05,W59,4)</f>
        <v>2027699660435.0454</v>
      </c>
      <c r="Z59" s="2">
        <f>_xlfn.STDEV.S(Q59:Q62)</f>
        <v>1.9554697070581202</v>
      </c>
      <c r="AA59" s="2">
        <f>Z59/AVERAGE(Q59:Q62)</f>
        <v>4.0871640161377412E-2</v>
      </c>
    </row>
    <row r="60" spans="5:27" x14ac:dyDescent="0.3">
      <c r="G60" t="s">
        <v>5</v>
      </c>
      <c r="H60">
        <v>20.2</v>
      </c>
      <c r="I60">
        <v>4.05</v>
      </c>
      <c r="J60">
        <v>3.92</v>
      </c>
      <c r="K60">
        <v>24.37</v>
      </c>
      <c r="L60">
        <v>12.56</v>
      </c>
      <c r="M60">
        <f t="shared" si="16"/>
        <v>2220</v>
      </c>
      <c r="N60" s="1">
        <f t="shared" si="17"/>
        <v>11.81</v>
      </c>
      <c r="O60">
        <f t="shared" si="18"/>
        <v>3.9849999999999999</v>
      </c>
      <c r="P60" s="2">
        <f>FiberLength!D11*PureWaterPermeability!$C$2*PI()</f>
        <v>3.9144244463728818E-4</v>
      </c>
      <c r="Q60" s="2">
        <f t="shared" si="19"/>
        <v>49.012808922469091</v>
      </c>
      <c r="R60" s="2">
        <f t="shared" si="20"/>
        <v>12.299324698235656</v>
      </c>
      <c r="S60" s="2">
        <f t="shared" si="21"/>
        <v>29223142647771.156</v>
      </c>
      <c r="T60" s="2"/>
      <c r="U60" s="2"/>
      <c r="V60" s="2"/>
      <c r="W60" s="2"/>
      <c r="X60" s="2"/>
      <c r="Y60" s="2"/>
      <c r="Z60" s="2"/>
      <c r="AA60" s="2"/>
    </row>
    <row r="61" spans="5:27" x14ac:dyDescent="0.3">
      <c r="G61" t="s">
        <v>6</v>
      </c>
      <c r="H61">
        <v>20.2</v>
      </c>
      <c r="I61">
        <v>4.05</v>
      </c>
      <c r="J61">
        <v>3.92</v>
      </c>
      <c r="K61">
        <v>22.64</v>
      </c>
      <c r="L61">
        <v>11.75</v>
      </c>
      <c r="M61">
        <f t="shared" si="16"/>
        <v>2220</v>
      </c>
      <c r="N61" s="1">
        <f t="shared" si="17"/>
        <v>10.89</v>
      </c>
      <c r="O61">
        <f t="shared" si="18"/>
        <v>3.9849999999999999</v>
      </c>
      <c r="P61" s="2">
        <f>FiberLength!D12*PureWaterPermeability!$C$2*PI()</f>
        <v>3.9364155949480104E-4</v>
      </c>
      <c r="Q61" s="2">
        <f t="shared" si="19"/>
        <v>44.942222560888439</v>
      </c>
      <c r="R61" s="2">
        <f t="shared" si="20"/>
        <v>11.277847568604377</v>
      </c>
      <c r="S61" s="2">
        <f t="shared" si="21"/>
        <v>31869992739427.852</v>
      </c>
      <c r="T61" s="2"/>
      <c r="U61" s="2"/>
      <c r="V61" s="2"/>
      <c r="W61" s="2"/>
      <c r="X61" s="2"/>
      <c r="Y61" s="2"/>
      <c r="Z61" s="2"/>
      <c r="AA61" s="2"/>
    </row>
    <row r="62" spans="5:27" x14ac:dyDescent="0.3">
      <c r="G62" t="s">
        <v>7</v>
      </c>
      <c r="H62">
        <v>20.2</v>
      </c>
      <c r="I62">
        <v>4.05</v>
      </c>
      <c r="J62">
        <v>3.92</v>
      </c>
      <c r="K62">
        <v>23.45</v>
      </c>
      <c r="L62">
        <v>11.72</v>
      </c>
      <c r="M62">
        <f t="shared" si="16"/>
        <v>2220</v>
      </c>
      <c r="N62" s="1">
        <f t="shared" si="17"/>
        <v>11.729999999999999</v>
      </c>
      <c r="O62">
        <f t="shared" si="18"/>
        <v>3.9849999999999999</v>
      </c>
      <c r="P62" s="2">
        <f>FiberLength!D13*PureWaterPermeability!$C$2*PI()</f>
        <v>3.9364155949480104E-4</v>
      </c>
      <c r="Q62" s="2">
        <f t="shared" si="19"/>
        <v>48.408840279083684</v>
      </c>
      <c r="R62" s="2">
        <f t="shared" si="20"/>
        <v>12.14776418546642</v>
      </c>
      <c r="S62" s="2">
        <f t="shared" si="21"/>
        <v>29587742619980.336</v>
      </c>
      <c r="T62" s="2"/>
      <c r="U62" s="2"/>
      <c r="V62" s="2"/>
      <c r="W62" s="2"/>
      <c r="X62" s="2"/>
      <c r="Y62" s="2"/>
      <c r="Z62" s="2"/>
      <c r="AA62" s="2"/>
    </row>
    <row r="63" spans="5:27" x14ac:dyDescent="0.3">
      <c r="F63">
        <v>6</v>
      </c>
      <c r="G63" t="s">
        <v>4</v>
      </c>
      <c r="H63">
        <v>20.2</v>
      </c>
      <c r="I63">
        <v>4.05</v>
      </c>
      <c r="J63">
        <v>3.92</v>
      </c>
      <c r="K63">
        <v>22.03</v>
      </c>
      <c r="L63">
        <v>11.72</v>
      </c>
      <c r="M63">
        <f t="shared" si="16"/>
        <v>2220</v>
      </c>
      <c r="N63" s="1">
        <f t="shared" si="17"/>
        <v>10.31</v>
      </c>
      <c r="O63">
        <f t="shared" si="18"/>
        <v>3.9849999999999999</v>
      </c>
      <c r="P63" s="2">
        <f>FiberLength!D14*PureWaterPermeability!$C$2*PI()</f>
        <v>3.9144244463728818E-4</v>
      </c>
      <c r="Q63" s="2">
        <f t="shared" si="19"/>
        <v>42.787642674907403</v>
      </c>
      <c r="R63" s="2">
        <f t="shared" si="20"/>
        <v>10.737175075259072</v>
      </c>
      <c r="S63" s="2">
        <f t="shared" si="21"/>
        <v>33474812286147.164</v>
      </c>
      <c r="T63" s="2">
        <f>AVERAGE(R63:R66)</f>
        <v>10.857696227735644</v>
      </c>
      <c r="U63" s="2">
        <f>AVERAGE(S63:S66)</f>
        <v>33119015387310.355</v>
      </c>
      <c r="V63" s="2">
        <f>_xlfn.STDEV.S(R63:R66)</f>
        <v>0.27347452663557215</v>
      </c>
      <c r="W63" s="2">
        <f>_xlfn.STDEV.S(S63:S66)</f>
        <v>835224794338.40735</v>
      </c>
      <c r="X63" s="2">
        <f>_xlfn.CONFIDENCE.T(0.05,V63,4)</f>
        <v>0.43515899844029393</v>
      </c>
      <c r="Y63" s="2">
        <f>_xlfn.CONFIDENCE.T(0.05,W63,4)</f>
        <v>1329029030411.8052</v>
      </c>
      <c r="Z63" s="2">
        <f>_xlfn.STDEV.S(Q63:Q66)</f>
        <v>1.0897959886427557</v>
      </c>
      <c r="AA63" s="2">
        <f>Z63/AVERAGE(Q63:Q66)</f>
        <v>2.5187159494938736E-2</v>
      </c>
    </row>
    <row r="64" spans="5:27" x14ac:dyDescent="0.3">
      <c r="G64" t="s">
        <v>5</v>
      </c>
      <c r="H64">
        <v>20.2</v>
      </c>
      <c r="I64">
        <v>4.05</v>
      </c>
      <c r="J64">
        <v>3.92</v>
      </c>
      <c r="K64">
        <v>21.9</v>
      </c>
      <c r="L64">
        <v>11.72</v>
      </c>
      <c r="M64">
        <f t="shared" si="16"/>
        <v>2220</v>
      </c>
      <c r="N64" s="1">
        <f t="shared" si="17"/>
        <v>10.179999999999998</v>
      </c>
      <c r="O64">
        <f t="shared" si="18"/>
        <v>3.9849999999999999</v>
      </c>
      <c r="P64" s="2">
        <f>FiberLength!D15*PureWaterPermeability!$C$2*PI()</f>
        <v>3.9364155949480104E-4</v>
      </c>
      <c r="Q64" s="2">
        <f t="shared" si="19"/>
        <v>42.012105203842438</v>
      </c>
      <c r="R64" s="2">
        <f t="shared" si="20"/>
        <v>10.54256090435193</v>
      </c>
      <c r="S64" s="2">
        <f t="shared" si="21"/>
        <v>34092752547384.031</v>
      </c>
      <c r="T64" s="2"/>
      <c r="U64" s="2"/>
      <c r="V64" s="2"/>
      <c r="W64" s="2"/>
      <c r="X64" s="2"/>
      <c r="Y64" s="2"/>
      <c r="Z64" s="2"/>
      <c r="AA64" s="2"/>
    </row>
    <row r="65" spans="6:27" x14ac:dyDescent="0.3">
      <c r="G65" t="s">
        <v>6</v>
      </c>
      <c r="H65">
        <v>20.2</v>
      </c>
      <c r="I65">
        <v>4.05</v>
      </c>
      <c r="J65">
        <v>3.92</v>
      </c>
      <c r="K65">
        <v>22.33</v>
      </c>
      <c r="L65">
        <v>11.78</v>
      </c>
      <c r="M65">
        <f t="shared" si="16"/>
        <v>2220</v>
      </c>
      <c r="N65" s="1">
        <f t="shared" si="17"/>
        <v>10.549999999999999</v>
      </c>
      <c r="O65">
        <f t="shared" si="18"/>
        <v>3.9849999999999999</v>
      </c>
      <c r="P65" s="2">
        <f>FiberLength!D16*PureWaterPermeability!$C$2*PI()</f>
        <v>3.9144244463728818E-4</v>
      </c>
      <c r="Q65" s="2">
        <f t="shared" si="19"/>
        <v>43.783669274517266</v>
      </c>
      <c r="R65" s="2">
        <f t="shared" si="20"/>
        <v>10.987119014935324</v>
      </c>
      <c r="S65" s="2">
        <f t="shared" si="21"/>
        <v>32713299968737.188</v>
      </c>
      <c r="T65" s="2"/>
      <c r="U65" s="2"/>
      <c r="V65" s="2"/>
      <c r="W65" s="2"/>
      <c r="X65" s="2"/>
      <c r="Y65" s="2"/>
      <c r="Z65" s="2"/>
      <c r="AA65" s="2"/>
    </row>
    <row r="66" spans="6:27" x14ac:dyDescent="0.3">
      <c r="G66" t="s">
        <v>7</v>
      </c>
      <c r="H66">
        <v>20.2</v>
      </c>
      <c r="I66">
        <v>4.05</v>
      </c>
      <c r="J66">
        <v>3.92</v>
      </c>
      <c r="K66">
        <v>22.58</v>
      </c>
      <c r="L66">
        <v>11.8</v>
      </c>
      <c r="M66">
        <f t="shared" si="16"/>
        <v>2220</v>
      </c>
      <c r="N66" s="1">
        <f t="shared" si="17"/>
        <v>10.779999999999998</v>
      </c>
      <c r="O66">
        <f t="shared" si="18"/>
        <v>3.9849999999999999</v>
      </c>
      <c r="P66" s="2">
        <f>FiberLength!D17*PureWaterPermeability!$C$2*PI()</f>
        <v>3.9364155949480104E-4</v>
      </c>
      <c r="Q66" s="2">
        <f t="shared" si="19"/>
        <v>44.488260716839036</v>
      </c>
      <c r="R66" s="2">
        <f t="shared" si="20"/>
        <v>11.163929916396246</v>
      </c>
      <c r="S66" s="2">
        <f t="shared" si="21"/>
        <v>32195196746973.051</v>
      </c>
      <c r="T66" s="2"/>
      <c r="U66" s="2"/>
      <c r="V66" s="2"/>
      <c r="W66" s="2"/>
      <c r="X66" s="2"/>
      <c r="Y66" s="2"/>
      <c r="Z66" s="2"/>
      <c r="AA66" s="2"/>
    </row>
    <row r="67" spans="6:27" x14ac:dyDescent="0.3">
      <c r="F67">
        <v>7</v>
      </c>
      <c r="G67" t="s">
        <v>4</v>
      </c>
      <c r="H67">
        <v>21.1</v>
      </c>
      <c r="I67">
        <v>4.0999999999999996</v>
      </c>
      <c r="J67">
        <v>3.96</v>
      </c>
      <c r="K67">
        <v>31.69</v>
      </c>
      <c r="L67">
        <v>11.8</v>
      </c>
      <c r="M67">
        <f>78*60</f>
        <v>4680</v>
      </c>
      <c r="N67" s="1">
        <f t="shared" si="17"/>
        <v>19.89</v>
      </c>
      <c r="O67">
        <f t="shared" si="18"/>
        <v>4.0299999999999994</v>
      </c>
      <c r="P67" s="2">
        <f>FiberLength!D18*PureWaterPermeability!$C$2*PI()</f>
        <v>3.9364155949480104E-4</v>
      </c>
      <c r="Q67" s="2">
        <f t="shared" si="19"/>
        <v>38.937545441871656</v>
      </c>
      <c r="R67" s="2">
        <f t="shared" si="20"/>
        <v>9.6619219458738623</v>
      </c>
      <c r="S67" s="2">
        <f t="shared" si="21"/>
        <v>37200147355908.672</v>
      </c>
      <c r="T67" s="2">
        <f>AVERAGE(R67:R70)</f>
        <v>10.31493171251555</v>
      </c>
      <c r="U67" s="2">
        <f>AVERAGE(S67:S70)</f>
        <v>34915910723953.676</v>
      </c>
      <c r="V67" s="2">
        <f>_xlfn.STDEV.S(R67:R70)</f>
        <v>0.53490549463260706</v>
      </c>
      <c r="W67" s="2">
        <f>_xlfn.STDEV.S(S67:S70)</f>
        <v>1821906690117.2576</v>
      </c>
      <c r="X67" s="2">
        <f>_xlfn.CONFIDENCE.T(0.05,V67,4)</f>
        <v>0.85115400753474757</v>
      </c>
      <c r="Y67" s="2">
        <f>_xlfn.CONFIDENCE.T(0.05,W67,4)</f>
        <v>2899060107267.6689</v>
      </c>
      <c r="Z67" s="2">
        <f>_xlfn.STDEV.S(Q67:Q70)</f>
        <v>2.1556691433694075</v>
      </c>
      <c r="AA67" s="2">
        <f>Z67/AVERAGE(Q67:Q70)</f>
        <v>5.185739562226898E-2</v>
      </c>
    </row>
    <row r="68" spans="6:27" x14ac:dyDescent="0.3">
      <c r="G68" t="s">
        <v>5</v>
      </c>
      <c r="H68">
        <v>21.1</v>
      </c>
      <c r="I68">
        <v>4.0999999999999996</v>
      </c>
      <c r="J68">
        <v>3.96</v>
      </c>
      <c r="K68">
        <v>32.6</v>
      </c>
      <c r="L68">
        <v>11.75</v>
      </c>
      <c r="M68">
        <f t="shared" ref="M68:M82" si="22">78*60</f>
        <v>4680</v>
      </c>
      <c r="N68" s="1">
        <f t="shared" si="17"/>
        <v>20.85</v>
      </c>
      <c r="O68">
        <f t="shared" si="18"/>
        <v>4.0299999999999994</v>
      </c>
      <c r="P68" s="2">
        <f>FiberLength!D19*PureWaterPermeability!$C$2*PI()</f>
        <v>3.9144244463728818E-4</v>
      </c>
      <c r="Q68" s="2">
        <f t="shared" si="19"/>
        <v>41.046192322063867</v>
      </c>
      <c r="R68" s="2">
        <f t="shared" si="20"/>
        <v>10.185159385127513</v>
      </c>
      <c r="S68" s="2">
        <f t="shared" si="21"/>
        <v>35289081548653.227</v>
      </c>
      <c r="T68" s="2"/>
      <c r="U68" s="2"/>
      <c r="V68" s="2"/>
      <c r="W68" s="2"/>
      <c r="X68" s="2"/>
      <c r="Y68" s="2"/>
      <c r="Z68" s="2"/>
      <c r="AA68" s="2"/>
    </row>
    <row r="69" spans="6:27" x14ac:dyDescent="0.3">
      <c r="G69" t="s">
        <v>6</v>
      </c>
      <c r="H69">
        <v>21.1</v>
      </c>
      <c r="I69">
        <v>4.0999999999999996</v>
      </c>
      <c r="J69">
        <v>3.96</v>
      </c>
      <c r="K69">
        <v>34.299999999999997</v>
      </c>
      <c r="L69">
        <v>11.78</v>
      </c>
      <c r="M69">
        <f t="shared" si="22"/>
        <v>4680</v>
      </c>
      <c r="N69" s="1">
        <f t="shared" si="17"/>
        <v>22.519999999999996</v>
      </c>
      <c r="O69">
        <f t="shared" si="18"/>
        <v>4.0299999999999994</v>
      </c>
      <c r="P69" s="2">
        <f>FiberLength!D20*PureWaterPermeability!$C$2*PI()</f>
        <v>3.9364155949480104E-4</v>
      </c>
      <c r="Q69" s="2">
        <f t="shared" si="19"/>
        <v>44.086149992506265</v>
      </c>
      <c r="R69" s="2">
        <f t="shared" si="20"/>
        <v>10.93949131327699</v>
      </c>
      <c r="S69" s="2">
        <f t="shared" si="21"/>
        <v>32855725173580.086</v>
      </c>
      <c r="T69" s="2"/>
      <c r="U69" s="2"/>
      <c r="V69" s="2"/>
      <c r="W69" s="2"/>
      <c r="X69" s="2"/>
      <c r="Y69" s="2"/>
      <c r="Z69" s="2"/>
      <c r="AA69" s="2"/>
    </row>
    <row r="70" spans="6:27" x14ac:dyDescent="0.3">
      <c r="G70" t="s">
        <v>7</v>
      </c>
      <c r="H70">
        <v>21.1</v>
      </c>
      <c r="I70">
        <v>4.0999999999999996</v>
      </c>
      <c r="J70">
        <v>3.96</v>
      </c>
      <c r="K70">
        <v>33.32</v>
      </c>
      <c r="L70">
        <v>11.76</v>
      </c>
      <c r="M70">
        <f t="shared" si="22"/>
        <v>4680</v>
      </c>
      <c r="N70" s="1">
        <f t="shared" si="17"/>
        <v>21.560000000000002</v>
      </c>
      <c r="O70">
        <f t="shared" si="18"/>
        <v>4.0299999999999994</v>
      </c>
      <c r="P70" s="2">
        <f>FiberLength!D21*PureWaterPermeability!$C$2*PI()</f>
        <v>3.9364155949480104E-4</v>
      </c>
      <c r="Q70" s="2">
        <f t="shared" si="19"/>
        <v>42.206811449308852</v>
      </c>
      <c r="R70" s="2">
        <f t="shared" si="20"/>
        <v>10.473154205783835</v>
      </c>
      <c r="S70" s="2">
        <f t="shared" si="21"/>
        <v>34318688817672.699</v>
      </c>
      <c r="T70" s="2"/>
      <c r="U70" s="2"/>
      <c r="V70" s="2"/>
      <c r="W70" s="2"/>
      <c r="X70" s="2"/>
      <c r="Y70" s="2"/>
      <c r="Z70" s="2"/>
      <c r="AA70" s="2"/>
    </row>
    <row r="71" spans="6:27" x14ac:dyDescent="0.3">
      <c r="F71">
        <v>8</v>
      </c>
      <c r="G71" t="s">
        <v>4</v>
      </c>
      <c r="H71">
        <v>21.1</v>
      </c>
      <c r="I71">
        <v>4.0999999999999996</v>
      </c>
      <c r="J71">
        <v>3.96</v>
      </c>
      <c r="K71">
        <v>30.81</v>
      </c>
      <c r="L71">
        <v>11.83</v>
      </c>
      <c r="M71">
        <f t="shared" si="22"/>
        <v>4680</v>
      </c>
      <c r="N71" s="1">
        <f t="shared" si="17"/>
        <v>18.979999999999997</v>
      </c>
      <c r="O71">
        <f t="shared" si="18"/>
        <v>4.0299999999999994</v>
      </c>
      <c r="P71" s="2">
        <f>FiberLength!D22*PureWaterPermeability!$C$2*PI()</f>
        <v>3.9364155949480104E-4</v>
      </c>
      <c r="Q71" s="2">
        <f t="shared" si="19"/>
        <v>37.156089114465757</v>
      </c>
      <c r="R71" s="2">
        <f t="shared" si="20"/>
        <v>9.2198732293959704</v>
      </c>
      <c r="S71" s="2">
        <f t="shared" si="21"/>
        <v>38983716064753.609</v>
      </c>
      <c r="T71" s="2">
        <f>AVERAGE(R71:R74)</f>
        <v>9.3706868414836517</v>
      </c>
      <c r="U71" s="2">
        <f>AVERAGE(S71:S74)</f>
        <v>38363295406734.188</v>
      </c>
      <c r="V71" s="2">
        <f>_xlfn.STDEV.S(R71:R74)</f>
        <v>0.14657972239128536</v>
      </c>
      <c r="W71" s="2">
        <f>_xlfn.STDEV.S(S71:S74)</f>
        <v>595914669358.16833</v>
      </c>
      <c r="X71" s="2">
        <f>_xlfn.CONFIDENCE.T(0.05,V71,4)</f>
        <v>0.23324104797682893</v>
      </c>
      <c r="Y71" s="2">
        <f>_xlfn.CONFIDENCE.T(0.05,W71,4)</f>
        <v>948233218881.63293</v>
      </c>
      <c r="Z71" s="2">
        <f>_xlfn.STDEV.S(Q71:Q74)</f>
        <v>0.59071628123687925</v>
      </c>
      <c r="AA71" s="2">
        <f>Z71/AVERAGE(Q71:Q74)</f>
        <v>1.5642366975959828E-2</v>
      </c>
    </row>
    <row r="72" spans="6:27" x14ac:dyDescent="0.3">
      <c r="G72" t="s">
        <v>5</v>
      </c>
      <c r="H72">
        <v>21.1</v>
      </c>
      <c r="I72">
        <v>4.0999999999999996</v>
      </c>
      <c r="J72">
        <v>3.96</v>
      </c>
      <c r="K72">
        <v>30.4</v>
      </c>
      <c r="L72">
        <v>11.74</v>
      </c>
      <c r="M72">
        <f t="shared" si="22"/>
        <v>4680</v>
      </c>
      <c r="N72" s="1">
        <f t="shared" si="17"/>
        <v>18.659999999999997</v>
      </c>
      <c r="O72">
        <f t="shared" si="18"/>
        <v>4.0299999999999994</v>
      </c>
      <c r="P72" s="2">
        <f>FiberLength!D23*PureWaterPermeability!$C$2*PI()</f>
        <v>3.8264598520723679E-4</v>
      </c>
      <c r="Q72" s="2">
        <f t="shared" si="19"/>
        <v>37.57934531654363</v>
      </c>
      <c r="R72" s="2">
        <f t="shared" si="20"/>
        <v>9.3248995822688929</v>
      </c>
      <c r="S72" s="2">
        <f t="shared" si="21"/>
        <v>38544642433601.609</v>
      </c>
      <c r="T72" s="2"/>
      <c r="U72" s="2"/>
      <c r="V72" s="2"/>
      <c r="W72" s="2"/>
      <c r="X72" s="2"/>
      <c r="Y72" s="2"/>
      <c r="Z72" s="2"/>
      <c r="AA72" s="2"/>
    </row>
    <row r="73" spans="6:27" x14ac:dyDescent="0.3">
      <c r="G73" t="s">
        <v>6</v>
      </c>
      <c r="H73">
        <v>21.1</v>
      </c>
      <c r="I73">
        <v>4.0999999999999996</v>
      </c>
      <c r="J73">
        <v>3.96</v>
      </c>
      <c r="K73">
        <v>30.77</v>
      </c>
      <c r="L73">
        <v>11.7</v>
      </c>
      <c r="M73">
        <f t="shared" si="22"/>
        <v>4680</v>
      </c>
      <c r="N73" s="1">
        <f t="shared" si="17"/>
        <v>19.07</v>
      </c>
      <c r="O73">
        <f t="shared" si="18"/>
        <v>4.0299999999999994</v>
      </c>
      <c r="P73" s="2">
        <f>FiberLength!D24*PureWaterPermeability!$C$2*PI()</f>
        <v>3.8924332977977537E-4</v>
      </c>
      <c r="Q73" s="2">
        <f t="shared" si="19"/>
        <v>37.754110742471205</v>
      </c>
      <c r="R73" s="2">
        <f t="shared" si="20"/>
        <v>9.3682656929208967</v>
      </c>
      <c r="S73" s="2">
        <f t="shared" si="21"/>
        <v>38366217601983.039</v>
      </c>
      <c r="T73" s="2"/>
      <c r="U73" s="2"/>
      <c r="V73" s="2"/>
      <c r="W73" s="2"/>
      <c r="X73" s="2"/>
      <c r="Y73" s="2"/>
      <c r="Z73" s="2"/>
      <c r="AA73" s="2"/>
    </row>
    <row r="74" spans="6:27" x14ac:dyDescent="0.3">
      <c r="G74" t="s">
        <v>7</v>
      </c>
      <c r="H74">
        <v>21.1</v>
      </c>
      <c r="I74">
        <v>4.0999999999999996</v>
      </c>
      <c r="J74">
        <v>3.96</v>
      </c>
      <c r="K74">
        <v>31.07</v>
      </c>
      <c r="L74">
        <v>11.7</v>
      </c>
      <c r="M74">
        <f t="shared" si="22"/>
        <v>4680</v>
      </c>
      <c r="N74" s="1">
        <f t="shared" si="17"/>
        <v>19.37</v>
      </c>
      <c r="O74">
        <f t="shared" si="18"/>
        <v>4.0299999999999994</v>
      </c>
      <c r="P74" s="2">
        <f>FiberLength!D25*PureWaterPermeability!$C$2*PI()</f>
        <v>3.8704421492226246E-4</v>
      </c>
      <c r="Q74" s="2">
        <f t="shared" si="19"/>
        <v>38.565926711235853</v>
      </c>
      <c r="R74" s="2">
        <f t="shared" si="20"/>
        <v>9.5697088613488486</v>
      </c>
      <c r="S74" s="2">
        <f t="shared" si="21"/>
        <v>37558605526598.5</v>
      </c>
      <c r="T74" s="2"/>
      <c r="U74" s="2"/>
      <c r="V74" s="2"/>
      <c r="W74" s="2"/>
      <c r="X74" s="2"/>
      <c r="Y74" s="2"/>
      <c r="Z74" s="2"/>
      <c r="AA74" s="2"/>
    </row>
    <row r="75" spans="6:27" x14ac:dyDescent="0.3">
      <c r="F75">
        <v>9</v>
      </c>
      <c r="G75" t="s">
        <v>4</v>
      </c>
      <c r="H75">
        <v>21.1</v>
      </c>
      <c r="I75">
        <v>4.0999999999999996</v>
      </c>
      <c r="J75">
        <v>3.96</v>
      </c>
      <c r="K75">
        <v>30.86</v>
      </c>
      <c r="L75">
        <v>11.77</v>
      </c>
      <c r="M75">
        <f t="shared" si="22"/>
        <v>4680</v>
      </c>
      <c r="N75" s="1">
        <f t="shared" si="17"/>
        <v>19.09</v>
      </c>
      <c r="O75">
        <f t="shared" si="18"/>
        <v>4.0299999999999994</v>
      </c>
      <c r="P75" s="2">
        <f>FiberLength!D26*PureWaterPermeability!$C$2*PI()</f>
        <v>3.9144244463728818E-4</v>
      </c>
      <c r="Q75" s="2">
        <f t="shared" si="19"/>
        <v>37.581381843079086</v>
      </c>
      <c r="R75" s="2">
        <f t="shared" si="20"/>
        <v>9.3254049238409653</v>
      </c>
      <c r="S75" s="2">
        <f t="shared" si="21"/>
        <v>38542553708193.82</v>
      </c>
      <c r="T75" s="2">
        <f>AVERAGE(R75:R78)</f>
        <v>9.356768332126693</v>
      </c>
      <c r="U75" s="2">
        <f>AVERAGE(S75:S78)</f>
        <v>38428266389181.719</v>
      </c>
      <c r="V75" s="2">
        <f>_xlfn.STDEV.S(R75:R78)</f>
        <v>0.21167158065305841</v>
      </c>
      <c r="W75" s="2">
        <f>_xlfn.STDEV.S(S75:S78)</f>
        <v>878597577146.99255</v>
      </c>
      <c r="X75" s="2">
        <f>_xlfn.CONFIDENCE.T(0.05,V75,4)</f>
        <v>0.33681671989144418</v>
      </c>
      <c r="Y75" s="2">
        <f>_xlfn.CONFIDENCE.T(0.05,W75,4)</f>
        <v>1398044806611.3325</v>
      </c>
      <c r="Z75" s="2">
        <f>_xlfn.STDEV.S(Q75:Q78)</f>
        <v>0.85303647003182614</v>
      </c>
      <c r="AA75" s="2">
        <f>Z75/AVERAGE(Q75:Q78)</f>
        <v>2.2622295769179093E-2</v>
      </c>
    </row>
    <row r="76" spans="6:27" x14ac:dyDescent="0.3">
      <c r="G76" t="s">
        <v>5</v>
      </c>
      <c r="H76">
        <v>21.1</v>
      </c>
      <c r="I76">
        <v>4.0999999999999996</v>
      </c>
      <c r="J76">
        <v>3.96</v>
      </c>
      <c r="K76">
        <v>32.24</v>
      </c>
      <c r="L76">
        <v>12.56</v>
      </c>
      <c r="M76">
        <f t="shared" si="22"/>
        <v>4680</v>
      </c>
      <c r="N76" s="1">
        <f t="shared" si="17"/>
        <v>19.68</v>
      </c>
      <c r="O76">
        <f t="shared" si="18"/>
        <v>4.0299999999999994</v>
      </c>
      <c r="P76" s="2">
        <f>FiberLength!D27*PureWaterPermeability!$C$2*PI()</f>
        <v>3.9364155949480104E-4</v>
      </c>
      <c r="Q76" s="2">
        <f t="shared" si="19"/>
        <v>38.526440135547219</v>
      </c>
      <c r="R76" s="2">
        <f t="shared" si="20"/>
        <v>9.5599107036097326</v>
      </c>
      <c r="S76" s="2">
        <f t="shared" si="21"/>
        <v>37597100147816.227</v>
      </c>
      <c r="T76" s="2"/>
      <c r="U76" s="2"/>
      <c r="V76" s="2"/>
      <c r="W76" s="2"/>
      <c r="X76" s="2"/>
      <c r="Y76" s="2"/>
      <c r="Z76" s="2"/>
      <c r="AA76" s="2"/>
    </row>
    <row r="77" spans="6:27" x14ac:dyDescent="0.3">
      <c r="G77" t="s">
        <v>6</v>
      </c>
      <c r="H77">
        <v>21.1</v>
      </c>
      <c r="I77">
        <v>4.0999999999999996</v>
      </c>
      <c r="J77">
        <v>3.96</v>
      </c>
      <c r="K77">
        <v>30.43</v>
      </c>
      <c r="L77">
        <v>11.75</v>
      </c>
      <c r="M77">
        <f t="shared" si="22"/>
        <v>4680</v>
      </c>
      <c r="N77" s="1">
        <f t="shared" si="17"/>
        <v>18.68</v>
      </c>
      <c r="O77">
        <f t="shared" si="18"/>
        <v>4.0299999999999994</v>
      </c>
      <c r="P77" s="2">
        <f>FiberLength!D28*PureWaterPermeability!$C$2*PI()</f>
        <v>3.9364155949480104E-4</v>
      </c>
      <c r="Q77" s="2">
        <f t="shared" si="19"/>
        <v>36.56879581971657</v>
      </c>
      <c r="R77" s="2">
        <f t="shared" si="20"/>
        <v>9.0741428833043614</v>
      </c>
      <c r="S77" s="2">
        <f t="shared" si="21"/>
        <v>39609792875215.391</v>
      </c>
      <c r="T77" s="2"/>
      <c r="U77" s="2"/>
      <c r="V77" s="2"/>
      <c r="W77" s="2"/>
      <c r="X77" s="2"/>
      <c r="Y77" s="2"/>
      <c r="Z77" s="2"/>
      <c r="AA77" s="2"/>
    </row>
    <row r="78" spans="6:27" x14ac:dyDescent="0.3">
      <c r="G78" t="s">
        <v>7</v>
      </c>
      <c r="H78">
        <v>21.1</v>
      </c>
      <c r="I78">
        <v>4.0999999999999996</v>
      </c>
      <c r="J78">
        <v>3.96</v>
      </c>
      <c r="K78">
        <v>31.21</v>
      </c>
      <c r="L78">
        <v>11.72</v>
      </c>
      <c r="M78">
        <f t="shared" si="22"/>
        <v>4680</v>
      </c>
      <c r="N78" s="1">
        <f t="shared" si="17"/>
        <v>19.490000000000002</v>
      </c>
      <c r="O78">
        <f t="shared" si="18"/>
        <v>4.0299999999999994</v>
      </c>
      <c r="P78" s="2">
        <f>FiberLength!D29*PureWaterPermeability!$C$2*PI()</f>
        <v>3.9364155949480104E-4</v>
      </c>
      <c r="Q78" s="2">
        <f t="shared" si="19"/>
        <v>38.154487715539396</v>
      </c>
      <c r="R78" s="2">
        <f t="shared" si="20"/>
        <v>9.4676148177517128</v>
      </c>
      <c r="S78" s="2">
        <f t="shared" si="21"/>
        <v>37963618825501.453</v>
      </c>
      <c r="T78" s="2"/>
      <c r="U78" s="2"/>
      <c r="V78" s="2"/>
      <c r="W78" s="2"/>
      <c r="X78" s="2"/>
      <c r="Y78" s="2"/>
      <c r="Z78" s="2"/>
      <c r="AA78" s="2"/>
    </row>
    <row r="79" spans="6:27" x14ac:dyDescent="0.3">
      <c r="F79">
        <v>10</v>
      </c>
      <c r="G79" t="s">
        <v>4</v>
      </c>
      <c r="H79">
        <v>21.1</v>
      </c>
      <c r="I79">
        <v>4.0999999999999996</v>
      </c>
      <c r="J79">
        <v>3.96</v>
      </c>
      <c r="K79">
        <v>28.59</v>
      </c>
      <c r="L79">
        <v>11.72</v>
      </c>
      <c r="M79">
        <f t="shared" si="22"/>
        <v>4680</v>
      </c>
      <c r="N79" s="1">
        <f t="shared" si="17"/>
        <v>16.869999999999997</v>
      </c>
      <c r="O79">
        <f t="shared" si="18"/>
        <v>4.0299999999999994</v>
      </c>
      <c r="P79" s="2">
        <f>FiberLength!D30*PureWaterPermeability!$C$2*PI()</f>
        <v>3.9364155949480104E-4</v>
      </c>
      <c r="Q79" s="2">
        <f t="shared" si="19"/>
        <v>33.025459608063088</v>
      </c>
      <c r="R79" s="2">
        <f t="shared" si="20"/>
        <v>8.1949031285516352</v>
      </c>
      <c r="S79" s="2">
        <f t="shared" si="21"/>
        <v>43859569111382.539</v>
      </c>
      <c r="T79" s="2">
        <f>AVERAGE(R79:R82)</f>
        <v>8.6837192783810604</v>
      </c>
      <c r="U79" s="2">
        <f>AVERAGE(S79:S82)</f>
        <v>41449198751464.445</v>
      </c>
      <c r="V79" s="2">
        <f>_xlfn.STDEV.S(R79:R82)</f>
        <v>0.37354608476671564</v>
      </c>
      <c r="W79" s="2">
        <f>_xlfn.STDEV.S(S79:S82)</f>
        <v>1814982404396.8389</v>
      </c>
      <c r="X79" s="2">
        <f>_xlfn.CONFIDENCE.T(0.05,V79,4)</f>
        <v>0.59439517865951474</v>
      </c>
      <c r="Y79" s="2">
        <f>_xlfn.CONFIDENCE.T(0.05,W79,4)</f>
        <v>2888042023513.8315</v>
      </c>
      <c r="Z79" s="2">
        <f>_xlfn.STDEV.S(Q79:Q82)</f>
        <v>1.5053907216098625</v>
      </c>
      <c r="AA79" s="2">
        <f>Z79/AVERAGE(Q79:Q82)</f>
        <v>4.301683101349138E-2</v>
      </c>
    </row>
    <row r="80" spans="6:27" x14ac:dyDescent="0.3">
      <c r="G80" t="s">
        <v>5</v>
      </c>
      <c r="H80">
        <v>21.1</v>
      </c>
      <c r="I80">
        <v>4.0999999999999996</v>
      </c>
      <c r="J80">
        <v>3.96</v>
      </c>
      <c r="K80">
        <v>29.54</v>
      </c>
      <c r="L80">
        <v>11.72</v>
      </c>
      <c r="M80">
        <f t="shared" si="22"/>
        <v>4680</v>
      </c>
      <c r="N80" s="1">
        <f t="shared" si="17"/>
        <v>17.82</v>
      </c>
      <c r="O80">
        <f t="shared" si="18"/>
        <v>4.0299999999999994</v>
      </c>
      <c r="P80" s="2">
        <f>FiberLength!D31*PureWaterPermeability!$C$2*PI()</f>
        <v>3.9584067435231396E-4</v>
      </c>
      <c r="Q80" s="2">
        <f t="shared" si="19"/>
        <v>34.691414920834973</v>
      </c>
      <c r="R80" s="2">
        <f t="shared" si="20"/>
        <v>8.6082915436315091</v>
      </c>
      <c r="S80" s="2">
        <f t="shared" si="21"/>
        <v>41753339591954.375</v>
      </c>
      <c r="T80" s="2"/>
      <c r="U80" s="2"/>
      <c r="V80" s="2"/>
      <c r="W80" s="2"/>
      <c r="X80" s="2"/>
      <c r="Y80" s="2"/>
      <c r="Z80" s="2"/>
      <c r="AA80" s="2"/>
    </row>
    <row r="81" spans="5:27" x14ac:dyDescent="0.3">
      <c r="G81" t="s">
        <v>6</v>
      </c>
      <c r="H81">
        <v>21.1</v>
      </c>
      <c r="I81">
        <v>4.0999999999999996</v>
      </c>
      <c r="J81">
        <v>3.96</v>
      </c>
      <c r="K81">
        <v>30.06</v>
      </c>
      <c r="L81">
        <v>11.78</v>
      </c>
      <c r="M81">
        <f t="shared" si="22"/>
        <v>4680</v>
      </c>
      <c r="N81" s="1">
        <f t="shared" si="17"/>
        <v>18.28</v>
      </c>
      <c r="O81">
        <f t="shared" si="18"/>
        <v>4.0299999999999994</v>
      </c>
      <c r="P81" s="2">
        <f>FiberLength!D32*PureWaterPermeability!$C$2*PI()</f>
        <v>3.9364155949480104E-4</v>
      </c>
      <c r="Q81" s="2">
        <f t="shared" si="19"/>
        <v>35.78573809338431</v>
      </c>
      <c r="R81" s="2">
        <f t="shared" si="20"/>
        <v>8.8798357551822118</v>
      </c>
      <c r="S81" s="2">
        <f t="shared" si="21"/>
        <v>40476527949071.305</v>
      </c>
      <c r="T81" s="2"/>
      <c r="U81" s="2"/>
      <c r="V81" s="2"/>
      <c r="W81" s="2"/>
      <c r="X81" s="2"/>
      <c r="Y81" s="2"/>
      <c r="Z81" s="2"/>
      <c r="AA81" s="2"/>
    </row>
    <row r="82" spans="5:27" x14ac:dyDescent="0.3">
      <c r="G82" t="s">
        <v>7</v>
      </c>
      <c r="H82">
        <v>21.1</v>
      </c>
      <c r="I82">
        <v>4.0999999999999996</v>
      </c>
      <c r="J82">
        <v>3.96</v>
      </c>
      <c r="K82">
        <v>30.33</v>
      </c>
      <c r="L82">
        <v>11.8</v>
      </c>
      <c r="M82">
        <f t="shared" si="22"/>
        <v>4680</v>
      </c>
      <c r="N82" s="1">
        <f t="shared" si="17"/>
        <v>18.529999999999998</v>
      </c>
      <c r="O82">
        <f t="shared" si="18"/>
        <v>4.0299999999999994</v>
      </c>
      <c r="P82" s="2">
        <f>FiberLength!D33*PureWaterPermeability!$C$2*PI()</f>
        <v>3.9144244463728818E-4</v>
      </c>
      <c r="Q82" s="2">
        <f t="shared" si="19"/>
        <v>36.478942145220287</v>
      </c>
      <c r="R82" s="2">
        <f t="shared" si="20"/>
        <v>9.051846686158882</v>
      </c>
      <c r="S82" s="2">
        <f t="shared" si="21"/>
        <v>39707358353449.555</v>
      </c>
      <c r="T82" s="2"/>
      <c r="U82" s="2"/>
      <c r="V82" s="2"/>
      <c r="W82" s="2"/>
      <c r="X82" s="2"/>
      <c r="Y82" s="2"/>
      <c r="Z82" s="2"/>
      <c r="AA82" s="2"/>
    </row>
    <row r="83" spans="5:27" x14ac:dyDescent="0.3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5:27" x14ac:dyDescent="0.3">
      <c r="E84" t="s">
        <v>3</v>
      </c>
      <c r="F84">
        <v>2</v>
      </c>
      <c r="G84" t="s">
        <v>4</v>
      </c>
      <c r="H84">
        <v>20.7</v>
      </c>
      <c r="I84">
        <v>2.0699999999999998</v>
      </c>
      <c r="J84">
        <v>1.92</v>
      </c>
      <c r="K84">
        <v>24.46</v>
      </c>
      <c r="L84">
        <v>11.8</v>
      </c>
      <c r="M84">
        <f>49*60</f>
        <v>2940</v>
      </c>
      <c r="N84" s="1">
        <f t="shared" ref="N84" si="23">K84-L84</f>
        <v>12.66</v>
      </c>
      <c r="O84">
        <f t="shared" ref="O84" si="24">(I84+J84)/2</f>
        <v>1.9949999999999999</v>
      </c>
      <c r="P84" s="2">
        <f>FiberLength!D2*PureWaterPermeability!$C$2*PI()</f>
        <v>3.9144244463728818E-4</v>
      </c>
      <c r="Q84" s="2">
        <f t="shared" ref="Q84" si="25">N84/P84/M84*60*60/$C$4</f>
        <v>39.673365628338097</v>
      </c>
      <c r="R84" s="2">
        <f t="shared" ref="R84" si="26">Q84/O84</f>
        <v>19.886398811197044</v>
      </c>
      <c r="S84" s="2">
        <f t="shared" ref="S84" si="27">(O84*10^5)/$C$5/(Q84/1000/60/60)</f>
        <v>18073906871736.941</v>
      </c>
      <c r="T84" s="2">
        <f>AVERAGE(R84:R87)</f>
        <v>19.64408669139236</v>
      </c>
      <c r="U84" s="2">
        <f>AVERAGE(S84:S87)</f>
        <v>18319592368866.914</v>
      </c>
      <c r="V84" s="2">
        <f>_xlfn.STDEV.S(R84:R87)</f>
        <v>0.78802236086843847</v>
      </c>
      <c r="W84" s="2">
        <f>_xlfn.STDEV.S(S84:S87)</f>
        <v>756115329157.4425</v>
      </c>
      <c r="X84" s="2">
        <f>_xlfn.CONFIDENCE.T(0.05,V84,4)</f>
        <v>1.2539194254133539</v>
      </c>
      <c r="Y84" s="2">
        <f>_xlfn.CONFIDENCE.T(0.05,W84,4)</f>
        <v>1203148217822.7393</v>
      </c>
      <c r="Z84" s="2">
        <f>_xlfn.STDEV.S(Q84:Q87)</f>
        <v>1.5721046099325346</v>
      </c>
      <c r="AA84" s="2">
        <f>Z84/AVERAGE(Q84:Q87)</f>
        <v>4.011499100203695E-2</v>
      </c>
    </row>
    <row r="85" spans="5:27" x14ac:dyDescent="0.3">
      <c r="G85" t="s">
        <v>5</v>
      </c>
      <c r="H85">
        <v>20.7</v>
      </c>
      <c r="I85">
        <v>2.0699999999999998</v>
      </c>
      <c r="J85">
        <v>1.92</v>
      </c>
      <c r="K85">
        <v>23.61</v>
      </c>
      <c r="L85">
        <v>11.75</v>
      </c>
      <c r="M85">
        <f t="shared" ref="M85:M99" si="28">49*60</f>
        <v>2940</v>
      </c>
      <c r="N85" s="1">
        <f t="shared" ref="N85:N115" si="29">K85-L85</f>
        <v>11.86</v>
      </c>
      <c r="O85">
        <f t="shared" ref="O85:O115" si="30">(I85+J85)/2</f>
        <v>1.9949999999999999</v>
      </c>
      <c r="P85" s="2">
        <f>FiberLength!D3*PureWaterPermeability!$C$2*PI()</f>
        <v>3.9364155949480104E-4</v>
      </c>
      <c r="Q85" s="2">
        <f t="shared" ref="Q85:Q115" si="31">N85/P85/M85*60*60/$C$4</f>
        <v>36.958726605890192</v>
      </c>
      <c r="R85" s="2">
        <f t="shared" ref="R85:R115" si="32">Q85/O85</f>
        <v>18.525677496686814</v>
      </c>
      <c r="S85" s="2">
        <f t="shared" ref="S85:S115" si="33">(O85*10^5)/$C$5/(Q85/1000/60/60)</f>
        <v>19401445382608.879</v>
      </c>
      <c r="T85" s="2"/>
      <c r="U85" s="2"/>
      <c r="V85" s="2"/>
      <c r="W85" s="2"/>
      <c r="X85" s="2"/>
      <c r="Y85" s="2"/>
      <c r="Z85" s="2"/>
      <c r="AA85" s="2"/>
    </row>
    <row r="86" spans="5:27" x14ac:dyDescent="0.3">
      <c r="G86" t="s">
        <v>6</v>
      </c>
      <c r="H86">
        <v>20.7</v>
      </c>
      <c r="I86">
        <v>2.0699999999999998</v>
      </c>
      <c r="J86">
        <v>1.92</v>
      </c>
      <c r="K86">
        <v>24.75</v>
      </c>
      <c r="L86">
        <v>11.78</v>
      </c>
      <c r="M86">
        <f t="shared" si="28"/>
        <v>2940</v>
      </c>
      <c r="N86" s="1">
        <f t="shared" si="29"/>
        <v>12.97</v>
      </c>
      <c r="O86">
        <f t="shared" si="30"/>
        <v>1.9949999999999999</v>
      </c>
      <c r="P86" s="2">
        <f>FiberLength!D4*PureWaterPermeability!$C$2*PI()</f>
        <v>3.9144244463728818E-4</v>
      </c>
      <c r="Q86" s="2">
        <f t="shared" si="31"/>
        <v>40.644830347515409</v>
      </c>
      <c r="R86" s="2">
        <f t="shared" si="32"/>
        <v>20.373348545120507</v>
      </c>
      <c r="S86" s="2">
        <f t="shared" si="33"/>
        <v>17641916807724.723</v>
      </c>
      <c r="T86" s="2"/>
      <c r="U86" s="2"/>
      <c r="V86" s="2"/>
      <c r="W86" s="2"/>
      <c r="X86" s="2"/>
      <c r="Y86" s="2"/>
      <c r="Z86" s="2"/>
      <c r="AA86" s="2"/>
    </row>
    <row r="87" spans="5:27" x14ac:dyDescent="0.3">
      <c r="G87" t="s">
        <v>7</v>
      </c>
      <c r="H87">
        <v>20.7</v>
      </c>
      <c r="I87">
        <v>2.0699999999999998</v>
      </c>
      <c r="J87">
        <v>1.92</v>
      </c>
      <c r="K87">
        <v>24.43</v>
      </c>
      <c r="L87">
        <v>11.76</v>
      </c>
      <c r="M87">
        <f t="shared" si="28"/>
        <v>2940</v>
      </c>
      <c r="N87" s="1">
        <f t="shared" si="29"/>
        <v>12.67</v>
      </c>
      <c r="O87">
        <f t="shared" si="30"/>
        <v>1.9949999999999999</v>
      </c>
      <c r="P87" s="2">
        <f>FiberLength!D5*PureWaterPermeability!$C$2*PI()</f>
        <v>3.9364155949480104E-4</v>
      </c>
      <c r="Q87" s="2">
        <f t="shared" si="31"/>
        <v>39.48288921556734</v>
      </c>
      <c r="R87" s="2">
        <f t="shared" si="32"/>
        <v>19.790921912565082</v>
      </c>
      <c r="S87" s="2">
        <f t="shared" si="33"/>
        <v>18161100413397.102</v>
      </c>
      <c r="T87" s="2"/>
      <c r="U87" s="2"/>
      <c r="V87" s="2"/>
      <c r="W87" s="2"/>
      <c r="X87" s="2"/>
      <c r="Y87" s="2"/>
      <c r="Z87" s="2"/>
      <c r="AA87" s="2"/>
    </row>
    <row r="88" spans="5:27" x14ac:dyDescent="0.3">
      <c r="F88">
        <v>3</v>
      </c>
      <c r="G88" t="s">
        <v>4</v>
      </c>
      <c r="H88">
        <v>20.7</v>
      </c>
      <c r="I88">
        <v>2.0699999999999998</v>
      </c>
      <c r="J88">
        <v>1.92</v>
      </c>
      <c r="K88">
        <v>19.739999999999998</v>
      </c>
      <c r="L88">
        <v>11.83</v>
      </c>
      <c r="M88">
        <f t="shared" si="28"/>
        <v>2940</v>
      </c>
      <c r="N88" s="1">
        <f t="shared" si="29"/>
        <v>7.9099999999999984</v>
      </c>
      <c r="O88">
        <f t="shared" si="30"/>
        <v>1.9949999999999999</v>
      </c>
      <c r="P88" s="2">
        <f>FiberLength!D6*PureWaterPermeability!$C$2*PI()</f>
        <v>3.9144244463728818E-4</v>
      </c>
      <c r="Q88" s="2">
        <f t="shared" si="31"/>
        <v>24.788019124814713</v>
      </c>
      <c r="R88" s="2">
        <f t="shared" si="32"/>
        <v>12.425072243014895</v>
      </c>
      <c r="S88" s="2">
        <f t="shared" si="33"/>
        <v>28927390770694.023</v>
      </c>
      <c r="T88" s="2">
        <f>AVERAGE(R88:R91)</f>
        <v>12.986799337165287</v>
      </c>
      <c r="U88" s="2">
        <f>AVERAGE(S88:S91)</f>
        <v>27695490716889.855</v>
      </c>
      <c r="V88" s="2">
        <f>_xlfn.STDEV.S(R88:R91)</f>
        <v>0.39147085669725257</v>
      </c>
      <c r="W88" s="2">
        <f>_xlfn.STDEV.S(S88:S91)</f>
        <v>854527013778.56116</v>
      </c>
      <c r="X88" s="2">
        <f>_xlfn.CONFIDENCE.T(0.05,V88,4)</f>
        <v>0.62291749076120984</v>
      </c>
      <c r="Y88" s="2">
        <f>_xlfn.CONFIDENCE.T(0.05,W88,4)</f>
        <v>1359743168882.3516</v>
      </c>
      <c r="Z88" s="2">
        <f>_xlfn.STDEV.S(Q88:Q91)</f>
        <v>0.78098435911101949</v>
      </c>
      <c r="AA88" s="2">
        <f>Z88/AVERAGE(Q88:Q91)</f>
        <v>3.0143751861704038E-2</v>
      </c>
    </row>
    <row r="89" spans="5:27" x14ac:dyDescent="0.3">
      <c r="G89" t="s">
        <v>5</v>
      </c>
      <c r="H89">
        <v>20.7</v>
      </c>
      <c r="I89">
        <v>2.0699999999999998</v>
      </c>
      <c r="J89">
        <v>1.92</v>
      </c>
      <c r="K89">
        <v>20.170000000000002</v>
      </c>
      <c r="L89">
        <v>11.74</v>
      </c>
      <c r="M89">
        <f t="shared" si="28"/>
        <v>2940</v>
      </c>
      <c r="N89" s="1">
        <f t="shared" si="29"/>
        <v>8.4300000000000015</v>
      </c>
      <c r="O89">
        <f t="shared" si="30"/>
        <v>1.9949999999999999</v>
      </c>
      <c r="P89" s="2">
        <f>FiberLength!D7*PureWaterPermeability!$C$2*PI()</f>
        <v>3.8924332977977537E-4</v>
      </c>
      <c r="Q89" s="2">
        <f t="shared" si="31"/>
        <v>26.566824671301774</v>
      </c>
      <c r="R89" s="2">
        <f t="shared" si="32"/>
        <v>13.316704095890614</v>
      </c>
      <c r="S89" s="2">
        <f t="shared" si="33"/>
        <v>26990531406244.133</v>
      </c>
      <c r="T89" s="2"/>
      <c r="U89" s="2"/>
      <c r="V89" s="2"/>
      <c r="W89" s="2"/>
      <c r="X89" s="2"/>
      <c r="Y89" s="2"/>
      <c r="Z89" s="2"/>
      <c r="AA89" s="2"/>
    </row>
    <row r="90" spans="5:27" x14ac:dyDescent="0.3">
      <c r="G90" t="s">
        <v>6</v>
      </c>
      <c r="H90">
        <v>20.7</v>
      </c>
      <c r="I90">
        <v>2.0699999999999998</v>
      </c>
      <c r="J90">
        <v>1.92</v>
      </c>
      <c r="K90">
        <v>19.86</v>
      </c>
      <c r="L90">
        <v>11.7</v>
      </c>
      <c r="M90">
        <f t="shared" si="28"/>
        <v>2940</v>
      </c>
      <c r="N90" s="1">
        <f t="shared" si="29"/>
        <v>8.16</v>
      </c>
      <c r="O90">
        <f t="shared" si="30"/>
        <v>1.9949999999999999</v>
      </c>
      <c r="P90" s="2">
        <f>FiberLength!D8*PureWaterPermeability!$C$2*PI()</f>
        <v>3.8484510006474965E-4</v>
      </c>
      <c r="Q90" s="2">
        <f t="shared" si="31"/>
        <v>26.009826273007675</v>
      </c>
      <c r="R90" s="2">
        <f t="shared" si="32"/>
        <v>13.037506903763246</v>
      </c>
      <c r="S90" s="2">
        <f t="shared" si="33"/>
        <v>27568531528374.367</v>
      </c>
      <c r="T90" s="2"/>
      <c r="U90" s="2"/>
      <c r="V90" s="2"/>
      <c r="W90" s="2"/>
      <c r="X90" s="2"/>
      <c r="Y90" s="2"/>
      <c r="Z90" s="2"/>
      <c r="AA90" s="2"/>
    </row>
    <row r="91" spans="5:27" x14ac:dyDescent="0.3">
      <c r="G91" t="s">
        <v>7</v>
      </c>
      <c r="H91">
        <v>20.7</v>
      </c>
      <c r="I91">
        <v>2.0699999999999998</v>
      </c>
      <c r="J91">
        <v>1.92</v>
      </c>
      <c r="K91">
        <v>20.13</v>
      </c>
      <c r="L91">
        <v>11.7</v>
      </c>
      <c r="M91">
        <f t="shared" si="28"/>
        <v>2940</v>
      </c>
      <c r="N91" s="1">
        <f t="shared" si="29"/>
        <v>8.43</v>
      </c>
      <c r="O91">
        <f t="shared" si="30"/>
        <v>1.9949999999999999</v>
      </c>
      <c r="P91" s="2">
        <f>FiberLength!D9*PureWaterPermeability!$C$2*PI()</f>
        <v>3.9364155949480104E-4</v>
      </c>
      <c r="Q91" s="2">
        <f t="shared" si="31"/>
        <v>26.269988641454827</v>
      </c>
      <c r="R91" s="2">
        <f t="shared" si="32"/>
        <v>13.167914105992395</v>
      </c>
      <c r="S91" s="2">
        <f t="shared" si="33"/>
        <v>27295509162246.895</v>
      </c>
      <c r="T91" s="2"/>
      <c r="U91" s="2"/>
      <c r="V91" s="2"/>
      <c r="W91" s="2"/>
      <c r="X91" s="2"/>
      <c r="Y91" s="2"/>
      <c r="Z91" s="2"/>
      <c r="AA91" s="2"/>
    </row>
    <row r="92" spans="5:27" x14ac:dyDescent="0.3">
      <c r="F92">
        <v>4</v>
      </c>
      <c r="G92" t="s">
        <v>4</v>
      </c>
      <c r="H92">
        <v>20.7</v>
      </c>
      <c r="I92">
        <v>2.0699999999999998</v>
      </c>
      <c r="J92">
        <v>1.92</v>
      </c>
      <c r="K92">
        <v>19.13</v>
      </c>
      <c r="L92">
        <v>11.77</v>
      </c>
      <c r="M92">
        <f t="shared" si="28"/>
        <v>2940</v>
      </c>
      <c r="N92" s="1">
        <f t="shared" si="29"/>
        <v>7.3599999999999994</v>
      </c>
      <c r="O92">
        <f t="shared" si="30"/>
        <v>1.9949999999999999</v>
      </c>
      <c r="P92" s="2">
        <f>FiberLength!D10*PureWaterPermeability!$C$2*PI()</f>
        <v>3.9144244463728818E-4</v>
      </c>
      <c r="Q92" s="2">
        <f t="shared" si="31"/>
        <v>23.064452687564643</v>
      </c>
      <c r="R92" s="2">
        <f t="shared" si="32"/>
        <v>11.56112916669907</v>
      </c>
      <c r="S92" s="2">
        <f t="shared" si="33"/>
        <v>31089084374482.293</v>
      </c>
      <c r="T92" s="2">
        <f>AVERAGE(R92:R95)</f>
        <v>11.302363077690812</v>
      </c>
      <c r="U92" s="2">
        <f>AVERAGE(S92:S95)</f>
        <v>31828575844987.902</v>
      </c>
      <c r="V92" s="2">
        <f>_xlfn.STDEV.S(R92:R95)</f>
        <v>0.38031334948632944</v>
      </c>
      <c r="W92" s="2">
        <f>_xlfn.STDEV.S(S92:S95)</f>
        <v>1098193579334.0414</v>
      </c>
      <c r="X92" s="2">
        <f>_xlfn.CONFIDENCE.T(0.05,V92,4)</f>
        <v>0.60516340696142057</v>
      </c>
      <c r="Y92" s="2">
        <f>_xlfn.CONFIDENCE.T(0.05,W92,4)</f>
        <v>1747471049518.9558</v>
      </c>
      <c r="Z92" s="2">
        <f>_xlfn.STDEV.S(Q92:Q95)</f>
        <v>0.75872513222522697</v>
      </c>
      <c r="AA92" s="2">
        <f>Z92/AVERAGE(Q92:Q95)</f>
        <v>3.3649011881153552E-2</v>
      </c>
    </row>
    <row r="93" spans="5:27" x14ac:dyDescent="0.3">
      <c r="G93" t="s">
        <v>5</v>
      </c>
      <c r="H93">
        <v>20.7</v>
      </c>
      <c r="I93">
        <v>2.0699999999999998</v>
      </c>
      <c r="J93">
        <v>1.92</v>
      </c>
      <c r="K93">
        <v>19.93</v>
      </c>
      <c r="L93">
        <v>12.56</v>
      </c>
      <c r="M93">
        <f t="shared" si="28"/>
        <v>2940</v>
      </c>
      <c r="N93" s="1">
        <f t="shared" si="29"/>
        <v>7.3699999999999992</v>
      </c>
      <c r="O93">
        <f t="shared" si="30"/>
        <v>1.9949999999999999</v>
      </c>
      <c r="P93" s="2">
        <f>FiberLength!D11*PureWaterPermeability!$C$2*PI()</f>
        <v>3.9144244463728818E-4</v>
      </c>
      <c r="Q93" s="2">
        <f t="shared" si="31"/>
        <v>23.095790259151002</v>
      </c>
      <c r="R93" s="2">
        <f t="shared" si="32"/>
        <v>11.576837222632081</v>
      </c>
      <c r="S93" s="2">
        <f t="shared" si="33"/>
        <v>31046901084964.688</v>
      </c>
      <c r="T93" s="2"/>
      <c r="U93" s="2"/>
      <c r="V93" s="2"/>
      <c r="W93" s="2"/>
      <c r="X93" s="2"/>
      <c r="Y93" s="2"/>
      <c r="Z93" s="2"/>
      <c r="AA93" s="2"/>
    </row>
    <row r="94" spans="5:27" x14ac:dyDescent="0.3">
      <c r="G94" t="s">
        <v>6</v>
      </c>
      <c r="H94">
        <v>20.7</v>
      </c>
      <c r="I94">
        <v>2.0699999999999998</v>
      </c>
      <c r="J94">
        <v>1.92</v>
      </c>
      <c r="K94">
        <v>18.64</v>
      </c>
      <c r="L94">
        <v>11.75</v>
      </c>
      <c r="M94">
        <f t="shared" si="28"/>
        <v>2940</v>
      </c>
      <c r="N94" s="1">
        <f t="shared" si="29"/>
        <v>6.8900000000000006</v>
      </c>
      <c r="O94">
        <f t="shared" si="30"/>
        <v>1.9949999999999999</v>
      </c>
      <c r="P94" s="2">
        <f>FiberLength!D12*PureWaterPermeability!$C$2*PI()</f>
        <v>3.9364155949480104E-4</v>
      </c>
      <c r="Q94" s="2">
        <f t="shared" si="31"/>
        <v>21.470963432932837</v>
      </c>
      <c r="R94" s="2">
        <f t="shared" si="32"/>
        <v>10.76238768568062</v>
      </c>
      <c r="S94" s="2">
        <f t="shared" si="33"/>
        <v>33396392197059.684</v>
      </c>
      <c r="T94" s="2"/>
      <c r="U94" s="2"/>
      <c r="V94" s="2"/>
      <c r="W94" s="2"/>
      <c r="X94" s="2"/>
      <c r="Y94" s="2"/>
      <c r="Z94" s="2"/>
      <c r="AA94" s="2"/>
    </row>
    <row r="95" spans="5:27" x14ac:dyDescent="0.3">
      <c r="G95" t="s">
        <v>7</v>
      </c>
      <c r="H95">
        <v>20.7</v>
      </c>
      <c r="I95">
        <v>2.0699999999999998</v>
      </c>
      <c r="J95">
        <v>1.92</v>
      </c>
      <c r="K95">
        <v>18.96</v>
      </c>
      <c r="L95">
        <v>11.72</v>
      </c>
      <c r="M95">
        <f t="shared" si="28"/>
        <v>2940</v>
      </c>
      <c r="N95" s="1">
        <f t="shared" si="29"/>
        <v>7.24</v>
      </c>
      <c r="O95">
        <f t="shared" si="30"/>
        <v>1.9949999999999999</v>
      </c>
      <c r="P95" s="2">
        <f>FiberLength!D13*PureWaterPermeability!$C$2*PI()</f>
        <v>3.9364155949480104E-4</v>
      </c>
      <c r="Q95" s="2">
        <f t="shared" si="31"/>
        <v>22.561650980324192</v>
      </c>
      <c r="R95" s="2">
        <f t="shared" si="32"/>
        <v>11.309098235751476</v>
      </c>
      <c r="S95" s="2">
        <f t="shared" si="33"/>
        <v>31781925723444.934</v>
      </c>
      <c r="T95" s="2"/>
      <c r="U95" s="2"/>
      <c r="V95" s="2"/>
      <c r="W95" s="2"/>
      <c r="X95" s="2"/>
      <c r="Y95" s="2"/>
      <c r="Z95" s="2"/>
      <c r="AA95" s="2"/>
    </row>
    <row r="96" spans="5:27" x14ac:dyDescent="0.3">
      <c r="F96">
        <v>6</v>
      </c>
      <c r="G96" t="s">
        <v>4</v>
      </c>
      <c r="H96">
        <v>20.7</v>
      </c>
      <c r="I96">
        <v>2.0699999999999998</v>
      </c>
      <c r="J96">
        <v>1.92</v>
      </c>
      <c r="K96">
        <v>18.12</v>
      </c>
      <c r="L96">
        <v>11.72</v>
      </c>
      <c r="M96">
        <f t="shared" si="28"/>
        <v>2940</v>
      </c>
      <c r="N96" s="1">
        <f t="shared" si="29"/>
        <v>6.4</v>
      </c>
      <c r="O96">
        <f t="shared" si="30"/>
        <v>1.9949999999999999</v>
      </c>
      <c r="P96" s="2">
        <f>FiberLength!D14*PureWaterPermeability!$C$2*PI()</f>
        <v>3.9144244463728818E-4</v>
      </c>
      <c r="Q96" s="2">
        <f t="shared" si="31"/>
        <v>20.056045815273606</v>
      </c>
      <c r="R96" s="2">
        <f t="shared" si="32"/>
        <v>10.053155797129628</v>
      </c>
      <c r="S96" s="2">
        <f t="shared" si="33"/>
        <v>35752447030654.625</v>
      </c>
      <c r="T96" s="2">
        <f>AVERAGE(R96:R99)</f>
        <v>10.111380909484685</v>
      </c>
      <c r="U96" s="2">
        <f>AVERAGE(S96:S99)</f>
        <v>35559716641174.734</v>
      </c>
      <c r="V96" s="2">
        <f>_xlfn.STDEV.S(R96:R99)</f>
        <v>0.223678514878316</v>
      </c>
      <c r="W96" s="2">
        <f>_xlfn.STDEV.S(S96:S99)</f>
        <v>792406790455.43591</v>
      </c>
      <c r="X96" s="2">
        <f>_xlfn.CONFIDENCE.T(0.05,V96,4)</f>
        <v>0.35592243162292198</v>
      </c>
      <c r="Y96" s="2">
        <f>_xlfn.CONFIDENCE.T(0.05,W96,4)</f>
        <v>1260896031283.3123</v>
      </c>
      <c r="Z96" s="2">
        <f>_xlfn.STDEV.S(Q96:Q99)</f>
        <v>0.44623863718224016</v>
      </c>
      <c r="AA96" s="2">
        <f>Z96/AVERAGE(Q96:Q99)</f>
        <v>2.2121460647229776E-2</v>
      </c>
    </row>
    <row r="97" spans="6:27" x14ac:dyDescent="0.3">
      <c r="G97" t="s">
        <v>5</v>
      </c>
      <c r="H97">
        <v>20.7</v>
      </c>
      <c r="I97">
        <v>2.0699999999999998</v>
      </c>
      <c r="J97">
        <v>1.92</v>
      </c>
      <c r="K97">
        <v>18.010000000000002</v>
      </c>
      <c r="L97">
        <v>11.72</v>
      </c>
      <c r="M97">
        <f t="shared" si="28"/>
        <v>2940</v>
      </c>
      <c r="N97" s="1">
        <f t="shared" si="29"/>
        <v>6.2900000000000009</v>
      </c>
      <c r="O97">
        <f t="shared" si="30"/>
        <v>1.9949999999999999</v>
      </c>
      <c r="P97" s="2">
        <f>FiberLength!D15*PureWaterPermeability!$C$2*PI()</f>
        <v>3.9364155949480104E-4</v>
      </c>
      <c r="Q97" s="2">
        <f t="shared" si="31"/>
        <v>19.601213351690497</v>
      </c>
      <c r="R97" s="2">
        <f t="shared" si="32"/>
        <v>9.8251695998448607</v>
      </c>
      <c r="S97" s="2">
        <f t="shared" si="33"/>
        <v>36582057589466.023</v>
      </c>
      <c r="T97" s="2"/>
      <c r="U97" s="2"/>
      <c r="V97" s="2"/>
      <c r="W97" s="2"/>
      <c r="X97" s="2"/>
      <c r="Y97" s="2"/>
      <c r="Z97" s="2"/>
      <c r="AA97" s="2"/>
    </row>
    <row r="98" spans="6:27" x14ac:dyDescent="0.3">
      <c r="G98" t="s">
        <v>6</v>
      </c>
      <c r="H98">
        <v>20.7</v>
      </c>
      <c r="I98">
        <v>2.0699999999999998</v>
      </c>
      <c r="J98">
        <v>1.92</v>
      </c>
      <c r="K98">
        <v>18.36</v>
      </c>
      <c r="L98">
        <v>11.78</v>
      </c>
      <c r="M98">
        <f t="shared" si="28"/>
        <v>2940</v>
      </c>
      <c r="N98" s="1">
        <f t="shared" si="29"/>
        <v>6.58</v>
      </c>
      <c r="O98">
        <f t="shared" si="30"/>
        <v>1.9949999999999999</v>
      </c>
      <c r="P98" s="2">
        <f>FiberLength!D16*PureWaterPermeability!$C$2*PI()</f>
        <v>3.9144244463728818E-4</v>
      </c>
      <c r="Q98" s="2">
        <f t="shared" si="31"/>
        <v>20.620122103828173</v>
      </c>
      <c r="R98" s="2">
        <f t="shared" si="32"/>
        <v>10.335900803923897</v>
      </c>
      <c r="S98" s="2">
        <f t="shared" si="33"/>
        <v>34774416564770.465</v>
      </c>
      <c r="T98" s="2"/>
      <c r="U98" s="2"/>
      <c r="V98" s="2"/>
      <c r="W98" s="2"/>
      <c r="X98" s="2"/>
      <c r="Y98" s="2"/>
      <c r="Z98" s="2"/>
      <c r="AA98" s="2"/>
    </row>
    <row r="99" spans="6:27" x14ac:dyDescent="0.3">
      <c r="G99" t="s">
        <v>7</v>
      </c>
      <c r="H99">
        <v>20.7</v>
      </c>
      <c r="I99">
        <v>2.0699999999999998</v>
      </c>
      <c r="J99">
        <v>1.92</v>
      </c>
      <c r="K99">
        <v>18.350000000000001</v>
      </c>
      <c r="L99">
        <v>11.8</v>
      </c>
      <c r="M99">
        <f t="shared" si="28"/>
        <v>2940</v>
      </c>
      <c r="N99" s="1">
        <f t="shared" si="29"/>
        <v>6.5500000000000007</v>
      </c>
      <c r="O99">
        <f t="shared" si="30"/>
        <v>1.9949999999999999</v>
      </c>
      <c r="P99" s="2">
        <f>FiberLength!D17*PureWaterPermeability!$C$2*PI()</f>
        <v>3.9364155949480104E-4</v>
      </c>
      <c r="Q99" s="2">
        <f t="shared" si="31"/>
        <v>20.411438386895508</v>
      </c>
      <c r="R99" s="2">
        <f t="shared" si="32"/>
        <v>10.231297437040356</v>
      </c>
      <c r="S99" s="2">
        <f t="shared" si="33"/>
        <v>35129945379807.828</v>
      </c>
      <c r="T99" s="2"/>
      <c r="U99" s="2"/>
      <c r="V99" s="2"/>
      <c r="W99" s="2"/>
      <c r="X99" s="2"/>
      <c r="Y99" s="2"/>
      <c r="Z99" s="2"/>
      <c r="AA99" s="2"/>
    </row>
    <row r="100" spans="6:27" x14ac:dyDescent="0.3">
      <c r="F100">
        <v>7</v>
      </c>
      <c r="G100" t="s">
        <v>4</v>
      </c>
      <c r="H100">
        <v>20.2</v>
      </c>
      <c r="I100">
        <v>2.08</v>
      </c>
      <c r="J100">
        <v>1.96</v>
      </c>
      <c r="K100">
        <v>27.33</v>
      </c>
      <c r="L100">
        <v>11.8</v>
      </c>
      <c r="M100">
        <f>130*60</f>
        <v>7800</v>
      </c>
      <c r="N100" s="1">
        <f t="shared" si="29"/>
        <v>15.529999999999998</v>
      </c>
      <c r="O100">
        <f t="shared" si="30"/>
        <v>2.02</v>
      </c>
      <c r="P100" s="2">
        <f>FiberLength!D18*PureWaterPermeability!$C$2*PI()</f>
        <v>3.9364155949480104E-4</v>
      </c>
      <c r="Q100" s="2">
        <f t="shared" si="31"/>
        <v>18.241329734910007</v>
      </c>
      <c r="R100" s="2">
        <f t="shared" si="32"/>
        <v>9.0303612549059444</v>
      </c>
      <c r="S100" s="2">
        <f t="shared" si="33"/>
        <v>39801831840617.656</v>
      </c>
      <c r="T100" s="2">
        <f>AVERAGE(R100:R103)</f>
        <v>9.6425878908064</v>
      </c>
      <c r="U100" s="2">
        <f>AVERAGE(S100:S103)</f>
        <v>37350682234647.305</v>
      </c>
      <c r="V100" s="2">
        <f>_xlfn.STDEV.S(R100:R103)</f>
        <v>0.50070920547265119</v>
      </c>
      <c r="W100" s="2">
        <f>_xlfn.STDEV.S(S100:S103)</f>
        <v>1951694831828.3132</v>
      </c>
      <c r="X100" s="2">
        <f>_xlfn.CONFIDENCE.T(0.05,V100,4)</f>
        <v>0.79674008048899014</v>
      </c>
      <c r="Y100" s="2">
        <f>_xlfn.CONFIDENCE.T(0.05,W100,4)</f>
        <v>3105582003296.6626</v>
      </c>
      <c r="Z100" s="2">
        <f>_xlfn.STDEV.S(Q100:Q103)</f>
        <v>1.0114325950547556</v>
      </c>
      <c r="AA100" s="2">
        <f>Z100/AVERAGE(Q100:Q103)</f>
        <v>5.1926849010113359E-2</v>
      </c>
    </row>
    <row r="101" spans="6:27" x14ac:dyDescent="0.3">
      <c r="G101" t="s">
        <v>5</v>
      </c>
      <c r="H101">
        <v>20.2</v>
      </c>
      <c r="I101">
        <v>2.08</v>
      </c>
      <c r="J101">
        <v>1.96</v>
      </c>
      <c r="K101">
        <v>28.04</v>
      </c>
      <c r="L101">
        <v>11.75</v>
      </c>
      <c r="M101">
        <f t="shared" ref="M101:M115" si="34">130*60</f>
        <v>7800</v>
      </c>
      <c r="N101" s="1">
        <f t="shared" si="29"/>
        <v>16.29</v>
      </c>
      <c r="O101">
        <f t="shared" si="30"/>
        <v>2.02</v>
      </c>
      <c r="P101" s="2">
        <f>FiberLength!D19*PureWaterPermeability!$C$2*PI()</f>
        <v>3.9144244463728818E-4</v>
      </c>
      <c r="Q101" s="2">
        <f t="shared" si="31"/>
        <v>19.241510012271085</v>
      </c>
      <c r="R101" s="2">
        <f t="shared" si="32"/>
        <v>9.525500006074795</v>
      </c>
      <c r="S101" s="2">
        <f t="shared" si="33"/>
        <v>37732918996228.625</v>
      </c>
      <c r="T101" s="2"/>
      <c r="U101" s="2"/>
      <c r="V101" s="2"/>
      <c r="W101" s="2"/>
      <c r="X101" s="2"/>
      <c r="Y101" s="2"/>
      <c r="Z101" s="2"/>
      <c r="AA101" s="2"/>
    </row>
    <row r="102" spans="6:27" x14ac:dyDescent="0.3">
      <c r="G102" t="s">
        <v>6</v>
      </c>
      <c r="H102">
        <v>20.2</v>
      </c>
      <c r="I102">
        <v>2.08</v>
      </c>
      <c r="J102">
        <v>1.96</v>
      </c>
      <c r="K102">
        <v>29.37</v>
      </c>
      <c r="L102">
        <v>11.78</v>
      </c>
      <c r="M102">
        <f t="shared" si="34"/>
        <v>7800</v>
      </c>
      <c r="N102" s="1">
        <f t="shared" si="29"/>
        <v>17.590000000000003</v>
      </c>
      <c r="O102">
        <f t="shared" si="30"/>
        <v>2.02</v>
      </c>
      <c r="P102" s="2">
        <f>FiberLength!D20*PureWaterPermeability!$C$2*PI()</f>
        <v>3.9364155949480104E-4</v>
      </c>
      <c r="Q102" s="2">
        <f t="shared" si="31"/>
        <v>20.660978109276702</v>
      </c>
      <c r="R102" s="2">
        <f t="shared" si="32"/>
        <v>10.228206984790447</v>
      </c>
      <c r="S102" s="2">
        <f t="shared" si="33"/>
        <v>35140559891119.5</v>
      </c>
      <c r="T102" s="2"/>
      <c r="U102" s="2"/>
      <c r="V102" s="2"/>
      <c r="W102" s="2"/>
      <c r="X102" s="2"/>
      <c r="Y102" s="2"/>
      <c r="Z102" s="2"/>
      <c r="AA102" s="2"/>
    </row>
    <row r="103" spans="6:27" x14ac:dyDescent="0.3">
      <c r="G103" t="s">
        <v>7</v>
      </c>
      <c r="H103">
        <v>20.2</v>
      </c>
      <c r="I103">
        <v>2.08</v>
      </c>
      <c r="J103">
        <v>1.96</v>
      </c>
      <c r="K103">
        <v>28.59</v>
      </c>
      <c r="L103">
        <v>11.76</v>
      </c>
      <c r="M103">
        <f t="shared" si="34"/>
        <v>7800</v>
      </c>
      <c r="N103" s="1">
        <f t="shared" si="29"/>
        <v>16.829999999999998</v>
      </c>
      <c r="O103">
        <f t="shared" si="30"/>
        <v>2.02</v>
      </c>
      <c r="P103" s="2">
        <f>FiberLength!D21*PureWaterPermeability!$C$2*PI()</f>
        <v>3.9364155949480104E-4</v>
      </c>
      <c r="Q103" s="2">
        <f t="shared" si="31"/>
        <v>19.768292301257915</v>
      </c>
      <c r="R103" s="2">
        <f t="shared" si="32"/>
        <v>9.7862833174544139</v>
      </c>
      <c r="S103" s="2">
        <f t="shared" si="33"/>
        <v>36727418210623.438</v>
      </c>
      <c r="T103" s="2"/>
      <c r="U103" s="2"/>
      <c r="V103" s="2"/>
      <c r="W103" s="2"/>
      <c r="X103" s="2"/>
      <c r="Y103" s="2"/>
      <c r="Z103" s="2"/>
      <c r="AA103" s="2"/>
    </row>
    <row r="104" spans="6:27" x14ac:dyDescent="0.3">
      <c r="F104">
        <v>8</v>
      </c>
      <c r="G104" t="s">
        <v>4</v>
      </c>
      <c r="H104">
        <v>20.2</v>
      </c>
      <c r="I104">
        <v>2.08</v>
      </c>
      <c r="J104">
        <v>1.96</v>
      </c>
      <c r="K104">
        <v>26.64</v>
      </c>
      <c r="L104">
        <v>11.83</v>
      </c>
      <c r="M104">
        <f t="shared" si="34"/>
        <v>7800</v>
      </c>
      <c r="N104" s="1">
        <f t="shared" si="29"/>
        <v>14.81</v>
      </c>
      <c r="O104">
        <f t="shared" si="30"/>
        <v>2.02</v>
      </c>
      <c r="P104" s="2">
        <f>FiberLength!D22*PureWaterPermeability!$C$2*PI()</f>
        <v>3.9364155949480104E-4</v>
      </c>
      <c r="Q104" s="2">
        <f t="shared" si="31"/>
        <v>17.395627390471169</v>
      </c>
      <c r="R104" s="2">
        <f t="shared" si="32"/>
        <v>8.6116967279560246</v>
      </c>
      <c r="S104" s="2">
        <f t="shared" si="33"/>
        <v>41736829742389.75</v>
      </c>
      <c r="T104" s="2">
        <f>AVERAGE(R104:R107)</f>
        <v>8.7826912134283415</v>
      </c>
      <c r="U104" s="2">
        <f>AVERAGE(S104:S107)</f>
        <v>40936440931465.883</v>
      </c>
      <c r="V104" s="2">
        <f>_xlfn.STDEV.S(R104:R107)</f>
        <v>0.17567256018894151</v>
      </c>
      <c r="W104" s="2">
        <f>_xlfn.STDEV.S(S104:S107)</f>
        <v>813694243949.62756</v>
      </c>
      <c r="X104" s="2">
        <f>_xlfn.CONFIDENCE.T(0.05,V104,4)</f>
        <v>0.27953424505651348</v>
      </c>
      <c r="Y104" s="2">
        <f>_xlfn.CONFIDENCE.T(0.05,W104,4)</f>
        <v>1294769120144.0566</v>
      </c>
      <c r="Z104" s="2">
        <f>_xlfn.STDEV.S(Q104:Q107)</f>
        <v>0.35485857158166184</v>
      </c>
      <c r="AA104" s="2">
        <f>Z104/AVERAGE(Q104:Q107)</f>
        <v>2.0002133277821042E-2</v>
      </c>
    </row>
    <row r="105" spans="6:27" x14ac:dyDescent="0.3">
      <c r="G105" t="s">
        <v>5</v>
      </c>
      <c r="H105">
        <v>20.2</v>
      </c>
      <c r="I105">
        <v>2.08</v>
      </c>
      <c r="J105">
        <v>1.96</v>
      </c>
      <c r="K105">
        <v>26.25</v>
      </c>
      <c r="L105">
        <v>11.74</v>
      </c>
      <c r="M105">
        <f t="shared" si="34"/>
        <v>7800</v>
      </c>
      <c r="N105" s="1">
        <f t="shared" si="29"/>
        <v>14.51</v>
      </c>
      <c r="O105">
        <f t="shared" si="30"/>
        <v>2.02</v>
      </c>
      <c r="P105" s="2">
        <f>FiberLength!D23*PureWaterPermeability!$C$2*PI()</f>
        <v>3.8264598520723679E-4</v>
      </c>
      <c r="Q105" s="2">
        <f t="shared" si="31"/>
        <v>17.533000017461355</v>
      </c>
      <c r="R105" s="2">
        <f t="shared" si="32"/>
        <v>8.6797029789412647</v>
      </c>
      <c r="S105" s="2">
        <f t="shared" si="33"/>
        <v>41409817939603.906</v>
      </c>
      <c r="T105" s="2"/>
      <c r="U105" s="2"/>
      <c r="V105" s="2"/>
      <c r="W105" s="2"/>
      <c r="X105" s="2"/>
      <c r="Y105" s="2"/>
      <c r="Z105" s="2"/>
      <c r="AA105" s="2"/>
    </row>
    <row r="106" spans="6:27" x14ac:dyDescent="0.3">
      <c r="G106" t="s">
        <v>6</v>
      </c>
      <c r="H106">
        <v>20.2</v>
      </c>
      <c r="I106">
        <v>2.08</v>
      </c>
      <c r="J106">
        <v>1.96</v>
      </c>
      <c r="K106">
        <v>26.72</v>
      </c>
      <c r="L106">
        <v>11.7</v>
      </c>
      <c r="M106">
        <f t="shared" si="34"/>
        <v>7800</v>
      </c>
      <c r="N106" s="1">
        <f t="shared" si="29"/>
        <v>15.02</v>
      </c>
      <c r="O106">
        <f t="shared" si="30"/>
        <v>2.02</v>
      </c>
      <c r="P106" s="2">
        <f>FiberLength!D24*PureWaterPermeability!$C$2*PI()</f>
        <v>3.8924332977977537E-4</v>
      </c>
      <c r="Q106" s="2">
        <f t="shared" si="31"/>
        <v>17.841638490359223</v>
      </c>
      <c r="R106" s="2">
        <f t="shared" si="32"/>
        <v>8.8324943021580307</v>
      </c>
      <c r="S106" s="2">
        <f t="shared" si="33"/>
        <v>40693478855681.539</v>
      </c>
      <c r="T106" s="2"/>
      <c r="U106" s="2"/>
      <c r="V106" s="2"/>
      <c r="W106" s="2"/>
      <c r="X106" s="2"/>
      <c r="Y106" s="2"/>
      <c r="Z106" s="2"/>
      <c r="AA106" s="2"/>
    </row>
    <row r="107" spans="6:27" x14ac:dyDescent="0.3">
      <c r="G107" t="s">
        <v>7</v>
      </c>
      <c r="H107">
        <v>20.2</v>
      </c>
      <c r="I107">
        <v>2.08</v>
      </c>
      <c r="J107">
        <v>1.96</v>
      </c>
      <c r="K107">
        <v>26.93</v>
      </c>
      <c r="L107">
        <v>11.7</v>
      </c>
      <c r="M107">
        <f t="shared" si="34"/>
        <v>7800</v>
      </c>
      <c r="N107" s="1">
        <f t="shared" si="29"/>
        <v>15.23</v>
      </c>
      <c r="O107">
        <f t="shared" si="30"/>
        <v>2.02</v>
      </c>
      <c r="P107" s="2">
        <f>FiberLength!D25*PureWaterPermeability!$C$2*PI()</f>
        <v>3.8704421492226246E-4</v>
      </c>
      <c r="Q107" s="2">
        <f t="shared" si="31"/>
        <v>18.193879106209256</v>
      </c>
      <c r="R107" s="2">
        <f t="shared" si="32"/>
        <v>9.0068708446580477</v>
      </c>
      <c r="S107" s="2">
        <f t="shared" si="33"/>
        <v>39905637188188.336</v>
      </c>
      <c r="T107" s="2"/>
      <c r="U107" s="2"/>
      <c r="V107" s="2"/>
      <c r="W107" s="2"/>
      <c r="X107" s="2"/>
      <c r="Y107" s="2"/>
      <c r="Z107" s="2"/>
      <c r="AA107" s="2"/>
    </row>
    <row r="108" spans="6:27" x14ac:dyDescent="0.3">
      <c r="F108">
        <v>9</v>
      </c>
      <c r="G108" t="s">
        <v>4</v>
      </c>
      <c r="H108">
        <v>20.2</v>
      </c>
      <c r="I108">
        <v>2.08</v>
      </c>
      <c r="J108">
        <v>1.96</v>
      </c>
      <c r="K108">
        <v>26.86</v>
      </c>
      <c r="L108">
        <v>11.77</v>
      </c>
      <c r="M108">
        <f t="shared" si="34"/>
        <v>7800</v>
      </c>
      <c r="N108" s="1">
        <f t="shared" si="29"/>
        <v>15.09</v>
      </c>
      <c r="O108">
        <f t="shared" si="30"/>
        <v>2.02</v>
      </c>
      <c r="P108" s="2">
        <f>FiberLength!D26*PureWaterPermeability!$C$2*PI()</f>
        <v>3.9144244463728818E-4</v>
      </c>
      <c r="Q108" s="2">
        <f t="shared" si="31"/>
        <v>17.8240875435955</v>
      </c>
      <c r="R108" s="2">
        <f t="shared" si="32"/>
        <v>8.8238057146512379</v>
      </c>
      <c r="S108" s="2">
        <f t="shared" si="33"/>
        <v>40733548737479.406</v>
      </c>
      <c r="T108" s="2">
        <f>AVERAGE(R108:R111)</f>
        <v>8.7737511951897034</v>
      </c>
      <c r="U108" s="2">
        <f>AVERAGE(S108:S111)</f>
        <v>40977464020217.461</v>
      </c>
      <c r="V108" s="2">
        <f>_xlfn.STDEV.S(R108:R111)</f>
        <v>0.16842145483485146</v>
      </c>
      <c r="W108" s="2">
        <f>_xlfn.STDEV.S(S108:S111)</f>
        <v>800813455462.44031</v>
      </c>
      <c r="X108" s="2">
        <f>_xlfn.CONFIDENCE.T(0.05,V108,4)</f>
        <v>0.26799611833484005</v>
      </c>
      <c r="Y108" s="2">
        <f>_xlfn.CONFIDENCE.T(0.05,W108,4)</f>
        <v>1274272911278.9617</v>
      </c>
      <c r="Z108" s="2">
        <f>_xlfn.STDEV.S(Q108:Q111)</f>
        <v>0.34021133876640108</v>
      </c>
      <c r="AA108" s="2">
        <f>Z108/AVERAGE(Q108:Q111)</f>
        <v>1.9196060053217692E-2</v>
      </c>
    </row>
    <row r="109" spans="6:27" x14ac:dyDescent="0.3">
      <c r="G109" t="s">
        <v>5</v>
      </c>
      <c r="H109">
        <v>20.2</v>
      </c>
      <c r="I109">
        <v>2.08</v>
      </c>
      <c r="J109">
        <v>1.96</v>
      </c>
      <c r="K109">
        <v>27.85</v>
      </c>
      <c r="L109">
        <v>12.56</v>
      </c>
      <c r="M109">
        <f t="shared" si="34"/>
        <v>7800</v>
      </c>
      <c r="N109" s="1">
        <f t="shared" si="29"/>
        <v>15.290000000000001</v>
      </c>
      <c r="O109">
        <f t="shared" si="30"/>
        <v>2.02</v>
      </c>
      <c r="P109" s="2">
        <f>FiberLength!D27*PureWaterPermeability!$C$2*PI()</f>
        <v>3.9364155949480104E-4</v>
      </c>
      <c r="Q109" s="2">
        <f t="shared" si="31"/>
        <v>17.959428953430397</v>
      </c>
      <c r="R109" s="2">
        <f t="shared" si="32"/>
        <v>8.8908064125893045</v>
      </c>
      <c r="S109" s="2">
        <f t="shared" si="33"/>
        <v>40426582634714.992</v>
      </c>
      <c r="T109" s="2"/>
      <c r="U109" s="2"/>
      <c r="V109" s="2"/>
      <c r="W109" s="2"/>
      <c r="X109" s="2"/>
      <c r="Y109" s="2"/>
      <c r="Z109" s="2"/>
      <c r="AA109" s="2"/>
    </row>
    <row r="110" spans="6:27" x14ac:dyDescent="0.3">
      <c r="G110" t="s">
        <v>6</v>
      </c>
      <c r="H110">
        <v>20.2</v>
      </c>
      <c r="I110">
        <v>2.08</v>
      </c>
      <c r="J110">
        <v>1.96</v>
      </c>
      <c r="K110">
        <v>26.41</v>
      </c>
      <c r="L110">
        <v>11.75</v>
      </c>
      <c r="M110">
        <f t="shared" si="34"/>
        <v>7800</v>
      </c>
      <c r="N110" s="1">
        <f t="shared" si="29"/>
        <v>14.66</v>
      </c>
      <c r="O110">
        <f t="shared" si="30"/>
        <v>2.02</v>
      </c>
      <c r="P110" s="2">
        <f>FiberLength!D28*PureWaterPermeability!$C$2*PI()</f>
        <v>3.9364155949480104E-4</v>
      </c>
      <c r="Q110" s="2">
        <f t="shared" si="31"/>
        <v>17.219439402046412</v>
      </c>
      <c r="R110" s="2">
        <f t="shared" si="32"/>
        <v>8.5244749515081253</v>
      </c>
      <c r="S110" s="2">
        <f t="shared" si="33"/>
        <v>42163877795688.414</v>
      </c>
      <c r="T110" s="2"/>
      <c r="U110" s="2"/>
      <c r="V110" s="2"/>
      <c r="W110" s="2"/>
      <c r="X110" s="2"/>
      <c r="Y110" s="2"/>
      <c r="Z110" s="2"/>
      <c r="AA110" s="2"/>
    </row>
    <row r="111" spans="6:27" x14ac:dyDescent="0.3">
      <c r="G111" t="s">
        <v>7</v>
      </c>
      <c r="H111">
        <v>20.2</v>
      </c>
      <c r="I111">
        <v>2.08</v>
      </c>
      <c r="J111">
        <v>1.96</v>
      </c>
      <c r="K111">
        <v>26.95</v>
      </c>
      <c r="L111">
        <v>11.72</v>
      </c>
      <c r="M111">
        <f t="shared" si="34"/>
        <v>7800</v>
      </c>
      <c r="N111" s="1">
        <f t="shared" si="29"/>
        <v>15.229999999999999</v>
      </c>
      <c r="O111">
        <f t="shared" si="30"/>
        <v>2.02</v>
      </c>
      <c r="P111" s="2">
        <f>FiberLength!D29*PureWaterPermeability!$C$2*PI()</f>
        <v>3.9364155949480104E-4</v>
      </c>
      <c r="Q111" s="2">
        <f t="shared" si="31"/>
        <v>17.888953758060488</v>
      </c>
      <c r="R111" s="2">
        <f t="shared" si="32"/>
        <v>8.8559177020101423</v>
      </c>
      <c r="S111" s="2">
        <f t="shared" si="33"/>
        <v>40585846912987.023</v>
      </c>
      <c r="T111" s="2"/>
      <c r="U111" s="2"/>
      <c r="V111" s="2"/>
      <c r="W111" s="2"/>
      <c r="X111" s="2"/>
      <c r="Y111" s="2"/>
      <c r="Z111" s="2"/>
      <c r="AA111" s="2"/>
    </row>
    <row r="112" spans="6:27" x14ac:dyDescent="0.3">
      <c r="F112">
        <v>10</v>
      </c>
      <c r="G112" t="s">
        <v>4</v>
      </c>
      <c r="H112">
        <v>20.2</v>
      </c>
      <c r="I112">
        <v>2.08</v>
      </c>
      <c r="J112">
        <v>1.96</v>
      </c>
      <c r="K112">
        <v>25.15</v>
      </c>
      <c r="L112">
        <v>11.72</v>
      </c>
      <c r="M112">
        <f t="shared" si="34"/>
        <v>7800</v>
      </c>
      <c r="N112" s="1">
        <f t="shared" si="29"/>
        <v>13.429999999999998</v>
      </c>
      <c r="O112">
        <f t="shared" si="30"/>
        <v>2.02</v>
      </c>
      <c r="P112" s="2">
        <f>FiberLength!D30*PureWaterPermeability!$C$2*PI()</f>
        <v>3.9364155949480104E-4</v>
      </c>
      <c r="Q112" s="2">
        <f t="shared" si="31"/>
        <v>15.774697896963387</v>
      </c>
      <c r="R112" s="2">
        <f t="shared" si="32"/>
        <v>7.80925638463534</v>
      </c>
      <c r="S112" s="2">
        <f t="shared" si="33"/>
        <v>46025498770274.93</v>
      </c>
      <c r="T112" s="2">
        <f>AVERAGE(R112:R115)</f>
        <v>8.168870897801181</v>
      </c>
      <c r="U112" s="2">
        <f>AVERAGE(S112:S115)</f>
        <v>44041036149638.422</v>
      </c>
      <c r="V112" s="2">
        <f>_xlfn.STDEV.S(R112:R115)</f>
        <v>0.28909605605129829</v>
      </c>
      <c r="W112" s="2">
        <f>_xlfn.STDEV.S(S112:S115)</f>
        <v>1571415839316.6426</v>
      </c>
      <c r="X112" s="2">
        <f>_xlfn.CONFIDENCE.T(0.05,V112,4)</f>
        <v>0.46001633772627315</v>
      </c>
      <c r="Y112" s="2">
        <f>_xlfn.CONFIDENCE.T(0.05,W112,4)</f>
        <v>2500473265948.7739</v>
      </c>
      <c r="Z112" s="2">
        <f>_xlfn.STDEV.S(Q112:Q115)</f>
        <v>0.58397403322362296</v>
      </c>
      <c r="AA112" s="2">
        <f>Z112/AVERAGE(Q112:Q115)</f>
        <v>3.5389965108778336E-2</v>
      </c>
    </row>
    <row r="113" spans="5:27" x14ac:dyDescent="0.3">
      <c r="G113" t="s">
        <v>5</v>
      </c>
      <c r="H113">
        <v>20.2</v>
      </c>
      <c r="I113">
        <v>2.08</v>
      </c>
      <c r="J113">
        <v>1.96</v>
      </c>
      <c r="K113">
        <v>25.7</v>
      </c>
      <c r="L113">
        <v>11.72</v>
      </c>
      <c r="M113">
        <f t="shared" si="34"/>
        <v>7800</v>
      </c>
      <c r="N113" s="1">
        <f t="shared" si="29"/>
        <v>13.979999999999999</v>
      </c>
      <c r="O113">
        <f t="shared" si="30"/>
        <v>2.02</v>
      </c>
      <c r="P113" s="2">
        <f>FiberLength!D31*PureWaterPermeability!$C$2*PI()</f>
        <v>3.9584067435231396E-4</v>
      </c>
      <c r="Q113" s="2">
        <f t="shared" si="31"/>
        <v>16.329494296069793</v>
      </c>
      <c r="R113" s="2">
        <f t="shared" si="32"/>
        <v>8.0839080673612838</v>
      </c>
      <c r="S113" s="2">
        <f t="shared" si="33"/>
        <v>44461777290487.852</v>
      </c>
      <c r="T113" s="2"/>
      <c r="U113" s="2"/>
      <c r="V113" s="2"/>
      <c r="W113" s="2"/>
      <c r="X113" s="2"/>
      <c r="Y113" s="2"/>
      <c r="Z113" s="2"/>
      <c r="AA113" s="2"/>
    </row>
    <row r="114" spans="5:27" x14ac:dyDescent="0.3">
      <c r="G114" t="s">
        <v>6</v>
      </c>
      <c r="H114">
        <v>20.2</v>
      </c>
      <c r="I114">
        <v>2.08</v>
      </c>
      <c r="J114">
        <v>1.96</v>
      </c>
      <c r="K114">
        <v>26.06</v>
      </c>
      <c r="L114">
        <v>11.78</v>
      </c>
      <c r="M114">
        <f t="shared" si="34"/>
        <v>7800</v>
      </c>
      <c r="N114" s="1">
        <f t="shared" si="29"/>
        <v>14.28</v>
      </c>
      <c r="O114">
        <f t="shared" si="30"/>
        <v>2.02</v>
      </c>
      <c r="P114" s="2">
        <f>FiberLength!D32*PureWaterPermeability!$C$2*PI()</f>
        <v>3.9364155949480104E-4</v>
      </c>
      <c r="Q114" s="2">
        <f t="shared" si="31"/>
        <v>16.77309649803702</v>
      </c>
      <c r="R114" s="2">
        <f t="shared" si="32"/>
        <v>8.3035131178401098</v>
      </c>
      <c r="S114" s="2">
        <f t="shared" si="33"/>
        <v>43285885748234.758</v>
      </c>
      <c r="T114" s="2"/>
      <c r="U114" s="2"/>
      <c r="V114" s="2"/>
      <c r="W114" s="2"/>
      <c r="X114" s="2"/>
      <c r="Y114" s="2"/>
      <c r="Z114" s="2"/>
      <c r="AA114" s="2"/>
    </row>
    <row r="115" spans="5:27" x14ac:dyDescent="0.3">
      <c r="G115" t="s">
        <v>7</v>
      </c>
      <c r="H115">
        <v>20.2</v>
      </c>
      <c r="I115">
        <v>2.08</v>
      </c>
      <c r="J115">
        <v>1.96</v>
      </c>
      <c r="K115">
        <v>26.3</v>
      </c>
      <c r="L115">
        <v>11.8</v>
      </c>
      <c r="M115">
        <f t="shared" si="34"/>
        <v>7800</v>
      </c>
      <c r="N115" s="1">
        <f t="shared" si="29"/>
        <v>14.5</v>
      </c>
      <c r="O115">
        <f t="shared" si="30"/>
        <v>2.02</v>
      </c>
      <c r="P115" s="2">
        <f>FiberLength!D33*PureWaterPermeability!$C$2*PI()</f>
        <v>3.9144244463728818E-4</v>
      </c>
      <c r="Q115" s="2">
        <f t="shared" si="31"/>
        <v>17.127188163163336</v>
      </c>
      <c r="R115" s="2">
        <f t="shared" si="32"/>
        <v>8.478806021367987</v>
      </c>
      <c r="S115" s="2">
        <f t="shared" si="33"/>
        <v>42390982789556.156</v>
      </c>
      <c r="T115" s="2"/>
      <c r="U115" s="2"/>
      <c r="V115" s="2"/>
      <c r="W115" s="2"/>
      <c r="X115" s="2"/>
      <c r="Y115" s="2"/>
      <c r="Z115" s="2"/>
      <c r="AA115" s="2"/>
    </row>
    <row r="116" spans="5:27" x14ac:dyDescent="0.3"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5:27" x14ac:dyDescent="0.3">
      <c r="E117" t="s">
        <v>8</v>
      </c>
      <c r="F117">
        <v>3</v>
      </c>
      <c r="G117" t="s">
        <v>4</v>
      </c>
      <c r="H117">
        <v>20.399999999999999</v>
      </c>
      <c r="I117">
        <v>2.08</v>
      </c>
      <c r="J117">
        <v>1.93</v>
      </c>
      <c r="K117">
        <v>16.52</v>
      </c>
      <c r="L117">
        <v>11.8</v>
      </c>
      <c r="M117">
        <f>104*60</f>
        <v>6240</v>
      </c>
      <c r="N117" s="1">
        <f t="shared" ref="N117" si="35">K117-L117</f>
        <v>4.7199999999999989</v>
      </c>
      <c r="O117">
        <f t="shared" ref="O117" si="36">(I117+J117)/2</f>
        <v>2.0049999999999999</v>
      </c>
      <c r="P117" s="2">
        <f>FiberLength!D34*PureWaterPermeability!$C$2*PI()</f>
        <v>3.9584067435231396E-4</v>
      </c>
      <c r="Q117" s="2">
        <f t="shared" ref="Q117" si="37">N117/P117/M117*60*60/$C$4</f>
        <v>6.8915605398291673</v>
      </c>
      <c r="R117" s="2">
        <f t="shared" ref="R117" si="38">Q117/O117</f>
        <v>3.4371873016604328</v>
      </c>
      <c r="S117" s="2">
        <f t="shared" ref="S117" si="39">(O117*10^5)/$C$5/(Q117/1000/60/60)</f>
        <v>104569489115174.17</v>
      </c>
      <c r="T117" s="2">
        <f>AVERAGE(R117:R120)</f>
        <v>3.7918476037039222</v>
      </c>
      <c r="U117" s="2">
        <f>AVERAGE(S117:S120)</f>
        <v>95221189953543</v>
      </c>
      <c r="V117" s="2">
        <f>_xlfn.STDEV.S(R117:R120)</f>
        <v>0.29315142667806476</v>
      </c>
      <c r="W117" s="2">
        <f>_xlfn.STDEV.S(S117:S120)</f>
        <v>7466301136173.4961</v>
      </c>
      <c r="X117" s="2">
        <f>_xlfn.CONFIDENCE.T(0.05,V117,4)</f>
        <v>0.46646933736012769</v>
      </c>
      <c r="Y117" s="2">
        <f>_xlfn.CONFIDENCE.T(0.05,W117,4)</f>
        <v>11880551232475.451</v>
      </c>
      <c r="Z117" s="2">
        <f>_xlfn.STDEV.S(Q117:Q120)</f>
        <v>0.58776861048952012</v>
      </c>
      <c r="AA117" s="2">
        <f>Z117/AVERAGE(Q117:Q120)</f>
        <v>7.7310972727836186E-2</v>
      </c>
    </row>
    <row r="118" spans="5:27" x14ac:dyDescent="0.3">
      <c r="G118" t="s">
        <v>5</v>
      </c>
      <c r="H118">
        <v>20.399999999999999</v>
      </c>
      <c r="I118">
        <v>2.08</v>
      </c>
      <c r="J118">
        <v>1.93</v>
      </c>
      <c r="K118">
        <v>17.399999999999999</v>
      </c>
      <c r="L118">
        <v>11.75</v>
      </c>
      <c r="M118">
        <f t="shared" ref="M118:M132" si="40">104*60</f>
        <v>6240</v>
      </c>
      <c r="N118" s="1">
        <f t="shared" ref="N118:N148" si="41">K118-L118</f>
        <v>5.6499999999999986</v>
      </c>
      <c r="O118">
        <f t="shared" ref="O118:O148" si="42">(I118+J118)/2</f>
        <v>2.0049999999999999</v>
      </c>
      <c r="P118" s="2">
        <f>FiberLength!D35*PureWaterPermeability!$C$2*PI()</f>
        <v>3.9584067435231396E-4</v>
      </c>
      <c r="Q118" s="2">
        <f t="shared" ref="Q118:Q148" si="43">N118/P118/M118*60*60/$C$4</f>
        <v>8.2494315783972016</v>
      </c>
      <c r="R118" s="2">
        <f t="shared" ref="R118:R148" si="44">Q118/O118</f>
        <v>4.1144297149113225</v>
      </c>
      <c r="S118" s="2">
        <f t="shared" ref="S118:S148" si="45">(O118*10^5)/$C$5/(Q118/1000/60/60)</f>
        <v>87357166128074.719</v>
      </c>
      <c r="T118" s="2"/>
      <c r="U118" s="2"/>
      <c r="V118" s="2"/>
      <c r="W118" s="2"/>
      <c r="X118" s="2"/>
      <c r="Y118" s="2"/>
      <c r="Z118" s="2"/>
      <c r="AA118" s="2"/>
    </row>
    <row r="119" spans="5:27" x14ac:dyDescent="0.3">
      <c r="G119" t="s">
        <v>6</v>
      </c>
      <c r="H119">
        <v>20.399999999999999</v>
      </c>
      <c r="I119">
        <v>2.08</v>
      </c>
      <c r="J119">
        <v>1.93</v>
      </c>
      <c r="K119">
        <v>17.14</v>
      </c>
      <c r="L119">
        <v>11.78</v>
      </c>
      <c r="M119">
        <f t="shared" si="40"/>
        <v>6240</v>
      </c>
      <c r="N119" s="1">
        <f t="shared" si="41"/>
        <v>5.3600000000000012</v>
      </c>
      <c r="O119">
        <f t="shared" si="42"/>
        <v>2.0049999999999999</v>
      </c>
      <c r="P119" s="2">
        <f>FiberLength!D36*PureWaterPermeability!$C$2*PI()</f>
        <v>3.9364155949480104E-4</v>
      </c>
      <c r="Q119" s="2">
        <f t="shared" si="43"/>
        <v>7.8697301496392207</v>
      </c>
      <c r="R119" s="2">
        <f t="shared" si="44"/>
        <v>3.9250524437103347</v>
      </c>
      <c r="S119" s="2">
        <f t="shared" si="45"/>
        <v>91572004522831.984</v>
      </c>
      <c r="T119" s="2"/>
      <c r="U119" s="2"/>
      <c r="V119" s="2"/>
      <c r="W119" s="2"/>
      <c r="X119" s="2"/>
      <c r="Y119" s="2"/>
      <c r="Z119" s="2"/>
      <c r="AA119" s="2"/>
    </row>
    <row r="120" spans="5:27" x14ac:dyDescent="0.3">
      <c r="G120" t="s">
        <v>7</v>
      </c>
      <c r="H120">
        <v>20.399999999999999</v>
      </c>
      <c r="I120">
        <v>2.08</v>
      </c>
      <c r="J120">
        <v>1.93</v>
      </c>
      <c r="K120">
        <v>16.8</v>
      </c>
      <c r="L120">
        <v>11.76</v>
      </c>
      <c r="M120">
        <f t="shared" si="40"/>
        <v>6240</v>
      </c>
      <c r="N120" s="1">
        <f t="shared" si="41"/>
        <v>5.0400000000000009</v>
      </c>
      <c r="O120">
        <f t="shared" si="42"/>
        <v>2.0049999999999999</v>
      </c>
      <c r="P120" s="2">
        <f>FiberLength!D37*PureWaterPermeability!$C$2*PI()</f>
        <v>3.9364155949480104E-4</v>
      </c>
      <c r="Q120" s="2">
        <f t="shared" si="43"/>
        <v>7.3998955138398648</v>
      </c>
      <c r="R120" s="2">
        <f t="shared" si="44"/>
        <v>3.6907209545335986</v>
      </c>
      <c r="S120" s="2">
        <f t="shared" si="45"/>
        <v>97386100048091.156</v>
      </c>
      <c r="T120" s="2"/>
      <c r="U120" s="2"/>
      <c r="V120" s="2"/>
      <c r="W120" s="2"/>
      <c r="X120" s="2"/>
      <c r="Y120" s="2"/>
      <c r="Z120" s="2"/>
      <c r="AA120" s="2"/>
    </row>
    <row r="121" spans="5:27" x14ac:dyDescent="0.3">
      <c r="F121">
        <v>5</v>
      </c>
      <c r="G121" t="s">
        <v>4</v>
      </c>
      <c r="H121">
        <v>20.399999999999999</v>
      </c>
      <c r="I121">
        <v>2.08</v>
      </c>
      <c r="J121">
        <v>1.93</v>
      </c>
      <c r="K121">
        <v>15.17</v>
      </c>
      <c r="L121">
        <v>11.83</v>
      </c>
      <c r="M121">
        <f t="shared" si="40"/>
        <v>6240</v>
      </c>
      <c r="N121" s="1">
        <f t="shared" si="41"/>
        <v>3.34</v>
      </c>
      <c r="O121">
        <f t="shared" si="42"/>
        <v>2.0049999999999999</v>
      </c>
      <c r="P121" s="2">
        <f>FiberLength!D38*PureWaterPermeability!$C$2*PI()</f>
        <v>3.8264598520723679E-4</v>
      </c>
      <c r="Q121" s="2">
        <f t="shared" si="43"/>
        <v>5.0448156494073846</v>
      </c>
      <c r="R121" s="2">
        <f t="shared" si="44"/>
        <v>2.5161175308765014</v>
      </c>
      <c r="S121" s="2">
        <f t="shared" si="45"/>
        <v>142849018663523.31</v>
      </c>
      <c r="T121" s="2">
        <f>AVERAGE(R121:R124)</f>
        <v>2.528982400223692</v>
      </c>
      <c r="U121" s="2">
        <f>AVERAGE(S121:S124)</f>
        <v>142293784985089.72</v>
      </c>
      <c r="V121" s="2">
        <f>_xlfn.STDEV.S(R121:R124)</f>
        <v>0.10092635212226132</v>
      </c>
      <c r="W121" s="2">
        <f>_xlfn.STDEV.S(S121:S124)</f>
        <v>5730653920360.7881</v>
      </c>
      <c r="X121" s="2">
        <f>_xlfn.CONFIDENCE.T(0.05,V121,4)</f>
        <v>0.16059634820862659</v>
      </c>
      <c r="Y121" s="2">
        <f>_xlfn.CONFIDENCE.T(0.05,W121,4)</f>
        <v>9118749197855.8965</v>
      </c>
      <c r="Z121" s="2">
        <f>_xlfn.STDEV.S(Q121:Q124)</f>
        <v>0.20235733600513384</v>
      </c>
      <c r="AA121" s="2">
        <f>Z121/AVERAGE(Q121:Q124)</f>
        <v>3.9907890269752055E-2</v>
      </c>
    </row>
    <row r="122" spans="5:27" x14ac:dyDescent="0.3">
      <c r="G122" t="s">
        <v>5</v>
      </c>
      <c r="H122">
        <v>20.399999999999999</v>
      </c>
      <c r="I122">
        <v>2.08</v>
      </c>
      <c r="J122">
        <v>1.93</v>
      </c>
      <c r="K122">
        <v>14.89</v>
      </c>
      <c r="L122">
        <v>11.74</v>
      </c>
      <c r="M122">
        <f t="shared" si="40"/>
        <v>6240</v>
      </c>
      <c r="N122" s="1">
        <f t="shared" si="41"/>
        <v>3.1500000000000004</v>
      </c>
      <c r="O122">
        <f t="shared" si="42"/>
        <v>2.0049999999999999</v>
      </c>
      <c r="P122" s="2">
        <f>FiberLength!D39*PureWaterPermeability!$C$2*PI()</f>
        <v>3.7824775549221107E-4</v>
      </c>
      <c r="Q122" s="2">
        <f t="shared" si="43"/>
        <v>4.8131587826211328</v>
      </c>
      <c r="R122" s="2">
        <f t="shared" si="44"/>
        <v>2.4005779464444554</v>
      </c>
      <c r="S122" s="2">
        <f t="shared" si="45"/>
        <v>149724328118629.56</v>
      </c>
      <c r="T122" s="2"/>
      <c r="U122" s="2"/>
      <c r="V122" s="2"/>
      <c r="W122" s="2"/>
      <c r="X122" s="2"/>
      <c r="Y122" s="2"/>
      <c r="Z122" s="2"/>
      <c r="AA122" s="2"/>
    </row>
    <row r="123" spans="5:27" x14ac:dyDescent="0.3">
      <c r="G123" t="s">
        <v>6</v>
      </c>
      <c r="H123">
        <v>20.399999999999999</v>
      </c>
      <c r="I123">
        <v>2.08</v>
      </c>
      <c r="J123">
        <v>1.93</v>
      </c>
      <c r="K123">
        <v>15.25</v>
      </c>
      <c r="L123">
        <v>11.7</v>
      </c>
      <c r="M123">
        <f t="shared" si="40"/>
        <v>6240</v>
      </c>
      <c r="N123" s="1">
        <f t="shared" si="41"/>
        <v>3.5500000000000007</v>
      </c>
      <c r="O123">
        <f t="shared" si="42"/>
        <v>2.0049999999999999</v>
      </c>
      <c r="P123" s="2">
        <f>FiberLength!D40*PureWaterPermeability!$C$2*PI()</f>
        <v>3.8704421492226246E-4</v>
      </c>
      <c r="Q123" s="2">
        <f t="shared" si="43"/>
        <v>5.3010727861985281</v>
      </c>
      <c r="R123" s="2">
        <f t="shared" si="44"/>
        <v>2.6439265766576203</v>
      </c>
      <c r="S123" s="2">
        <f t="shared" si="45"/>
        <v>135943608760183.77</v>
      </c>
      <c r="T123" s="2"/>
      <c r="U123" s="2"/>
      <c r="V123" s="2"/>
      <c r="W123" s="2"/>
      <c r="X123" s="2"/>
      <c r="Y123" s="2"/>
      <c r="Z123" s="2"/>
      <c r="AA123" s="2"/>
    </row>
    <row r="124" spans="5:27" x14ac:dyDescent="0.3">
      <c r="G124" t="s">
        <v>7</v>
      </c>
      <c r="H124">
        <v>20.399999999999999</v>
      </c>
      <c r="I124">
        <v>2.08</v>
      </c>
      <c r="J124">
        <v>1.93</v>
      </c>
      <c r="K124">
        <v>15.17</v>
      </c>
      <c r="L124">
        <v>11.7</v>
      </c>
      <c r="M124">
        <f t="shared" si="40"/>
        <v>6240</v>
      </c>
      <c r="N124" s="1">
        <f t="shared" si="41"/>
        <v>3.4700000000000006</v>
      </c>
      <c r="O124">
        <f t="shared" si="42"/>
        <v>2.0049999999999999</v>
      </c>
      <c r="P124" s="2">
        <f>FiberLength!D41*PureWaterPermeability!$C$2*PI()</f>
        <v>3.9144244463728818E-4</v>
      </c>
      <c r="Q124" s="2">
        <f t="shared" si="43"/>
        <v>5.1233916315669639</v>
      </c>
      <c r="R124" s="2">
        <f t="shared" si="44"/>
        <v>2.5553075469161914</v>
      </c>
      <c r="S124" s="2">
        <f t="shared" si="45"/>
        <v>140658184398022.22</v>
      </c>
      <c r="T124" s="2"/>
      <c r="U124" s="2"/>
      <c r="V124" s="2"/>
      <c r="W124" s="2"/>
      <c r="X124" s="2"/>
      <c r="Y124" s="2"/>
      <c r="Z124" s="2"/>
      <c r="AA124" s="2"/>
    </row>
    <row r="125" spans="5:27" x14ac:dyDescent="0.3">
      <c r="F125">
        <v>7</v>
      </c>
      <c r="G125" t="s">
        <v>4</v>
      </c>
      <c r="H125">
        <v>20.399999999999999</v>
      </c>
      <c r="I125">
        <v>2.08</v>
      </c>
      <c r="J125">
        <v>1.93</v>
      </c>
      <c r="K125">
        <v>14.01</v>
      </c>
      <c r="L125">
        <v>11.77</v>
      </c>
      <c r="M125">
        <f t="shared" si="40"/>
        <v>6240</v>
      </c>
      <c r="N125" s="1">
        <f t="shared" si="41"/>
        <v>2.2400000000000002</v>
      </c>
      <c r="O125">
        <f t="shared" si="42"/>
        <v>2.0049999999999999</v>
      </c>
      <c r="P125" s="2">
        <f>FiberLength!D42*PureWaterPermeability!$C$2*PI()</f>
        <v>3.8924332977977537E-4</v>
      </c>
      <c r="Q125" s="2">
        <f t="shared" si="43"/>
        <v>3.3260045121841442</v>
      </c>
      <c r="R125" s="2">
        <f t="shared" si="44"/>
        <v>1.6588551182963314</v>
      </c>
      <c r="S125" s="2">
        <f t="shared" si="45"/>
        <v>216670471196381.63</v>
      </c>
      <c r="T125" s="2">
        <f>AVERAGE(R125:R128)</f>
        <v>1.5996397467465535</v>
      </c>
      <c r="U125" s="2">
        <f>AVERAGE(S125:S128)</f>
        <v>224800540426137.81</v>
      </c>
      <c r="V125" s="2">
        <f>_xlfn.STDEV.S(R125:R128)</f>
        <v>4.1139600194765605E-2</v>
      </c>
      <c r="W125" s="2">
        <f>_xlfn.STDEV.S(S125:S128)</f>
        <v>5670937692916.2051</v>
      </c>
      <c r="X125" s="2">
        <f>_xlfn.CONFIDENCE.T(0.05,V125,4)</f>
        <v>6.5462284320340375E-2</v>
      </c>
      <c r="Y125" s="2">
        <f>_xlfn.CONFIDENCE.T(0.05,W125,4)</f>
        <v>9023727354157.6484</v>
      </c>
      <c r="Z125" s="2">
        <f>_xlfn.STDEV.S(Q125:Q128)</f>
        <v>8.2484898390505018E-2</v>
      </c>
      <c r="AA125" s="2">
        <f>Z125/AVERAGE(Q125:Q128)</f>
        <v>2.571804075163665E-2</v>
      </c>
    </row>
    <row r="126" spans="5:27" x14ac:dyDescent="0.3">
      <c r="G126" t="s">
        <v>5</v>
      </c>
      <c r="H126">
        <v>20.399999999999999</v>
      </c>
      <c r="I126">
        <v>2.08</v>
      </c>
      <c r="J126">
        <v>1.93</v>
      </c>
      <c r="K126">
        <v>14.67</v>
      </c>
      <c r="L126">
        <v>12.56</v>
      </c>
      <c r="M126">
        <f t="shared" si="40"/>
        <v>6240</v>
      </c>
      <c r="N126" s="1">
        <f t="shared" si="41"/>
        <v>2.1099999999999994</v>
      </c>
      <c r="O126">
        <f t="shared" si="42"/>
        <v>2.0049999999999999</v>
      </c>
      <c r="P126" s="2">
        <f>FiberLength!D43*PureWaterPermeability!$C$2*PI()</f>
        <v>3.8484510006474965E-4</v>
      </c>
      <c r="Q126" s="2">
        <f t="shared" si="43"/>
        <v>3.1687829213403367</v>
      </c>
      <c r="R126" s="2">
        <f t="shared" si="44"/>
        <v>1.5804403597707415</v>
      </c>
      <c r="S126" s="2">
        <f t="shared" si="45"/>
        <v>227420742520099.66</v>
      </c>
      <c r="T126" s="2"/>
      <c r="U126" s="2"/>
      <c r="V126" s="2"/>
      <c r="W126" s="2"/>
      <c r="X126" s="2"/>
      <c r="Y126" s="2"/>
      <c r="Z126" s="2"/>
      <c r="AA126" s="2"/>
    </row>
    <row r="127" spans="5:27" x14ac:dyDescent="0.3">
      <c r="G127" t="s">
        <v>6</v>
      </c>
      <c r="H127">
        <v>20.399999999999999</v>
      </c>
      <c r="I127">
        <v>2.08</v>
      </c>
      <c r="J127">
        <v>1.93</v>
      </c>
      <c r="K127">
        <v>13.84</v>
      </c>
      <c r="L127">
        <v>11.75</v>
      </c>
      <c r="M127">
        <f t="shared" si="40"/>
        <v>6240</v>
      </c>
      <c r="N127" s="1">
        <f t="shared" si="41"/>
        <v>2.09</v>
      </c>
      <c r="O127">
        <f t="shared" si="42"/>
        <v>2.0049999999999999</v>
      </c>
      <c r="P127" s="2">
        <f>FiberLength!D44*PureWaterPermeability!$C$2*PI()</f>
        <v>3.8484510006474965E-4</v>
      </c>
      <c r="Q127" s="2">
        <f t="shared" si="43"/>
        <v>3.1387470642660213</v>
      </c>
      <c r="R127" s="2">
        <f t="shared" si="44"/>
        <v>1.5654598824269434</v>
      </c>
      <c r="S127" s="2">
        <f t="shared" si="45"/>
        <v>229597017568138.84</v>
      </c>
      <c r="T127" s="2"/>
      <c r="U127" s="2"/>
      <c r="V127" s="2"/>
      <c r="W127" s="2"/>
      <c r="X127" s="2"/>
      <c r="Y127" s="2"/>
      <c r="Z127" s="2"/>
      <c r="AA127" s="2"/>
    </row>
    <row r="128" spans="5:27" x14ac:dyDescent="0.3">
      <c r="G128" t="s">
        <v>7</v>
      </c>
      <c r="H128">
        <v>20.399999999999999</v>
      </c>
      <c r="I128">
        <v>2.08</v>
      </c>
      <c r="J128">
        <v>1.93</v>
      </c>
      <c r="K128">
        <v>13.86</v>
      </c>
      <c r="L128">
        <v>11.72</v>
      </c>
      <c r="M128">
        <f t="shared" si="40"/>
        <v>6240</v>
      </c>
      <c r="N128" s="1">
        <f t="shared" si="41"/>
        <v>2.1399999999999988</v>
      </c>
      <c r="O128">
        <f t="shared" si="42"/>
        <v>2.0049999999999999</v>
      </c>
      <c r="P128" s="2">
        <f>FiberLength!D45*PureWaterPermeability!$C$2*PI()</f>
        <v>3.8704421492226246E-4</v>
      </c>
      <c r="Q128" s="2">
        <f t="shared" si="43"/>
        <v>3.1955762711168565</v>
      </c>
      <c r="R128" s="2">
        <f t="shared" si="44"/>
        <v>1.5938036264921978</v>
      </c>
      <c r="S128" s="2">
        <f t="shared" si="45"/>
        <v>225513930419931.19</v>
      </c>
      <c r="T128" s="2"/>
      <c r="U128" s="2"/>
      <c r="V128" s="2"/>
      <c r="W128" s="2"/>
      <c r="X128" s="2"/>
      <c r="Y128" s="2"/>
      <c r="Z128" s="2"/>
      <c r="AA128" s="2"/>
    </row>
    <row r="129" spans="6:27" x14ac:dyDescent="0.3">
      <c r="F129">
        <v>9</v>
      </c>
      <c r="G129" t="s">
        <v>4</v>
      </c>
      <c r="H129">
        <v>20.399999999999999</v>
      </c>
      <c r="I129">
        <v>2.08</v>
      </c>
      <c r="J129">
        <v>1.93</v>
      </c>
      <c r="K129">
        <v>13.31</v>
      </c>
      <c r="L129">
        <v>11.72</v>
      </c>
      <c r="M129">
        <f t="shared" si="40"/>
        <v>6240</v>
      </c>
      <c r="N129" s="1">
        <f t="shared" si="41"/>
        <v>1.5899999999999999</v>
      </c>
      <c r="O129">
        <f t="shared" si="42"/>
        <v>2.0049999999999999</v>
      </c>
      <c r="P129" s="2">
        <f>FiberLength!D46*PureWaterPermeability!$C$2*PI()</f>
        <v>3.8924332977977537E-4</v>
      </c>
      <c r="Q129" s="2">
        <f t="shared" si="43"/>
        <v>2.3608692742735666</v>
      </c>
      <c r="R129" s="2">
        <f t="shared" si="44"/>
        <v>1.177490909862128</v>
      </c>
      <c r="S129" s="2">
        <f t="shared" si="45"/>
        <v>305246449987355.25</v>
      </c>
      <c r="T129" s="2">
        <f>AVERAGE(R129:R132)</f>
        <v>1.1648148868696904</v>
      </c>
      <c r="U129" s="2">
        <f>AVERAGE(S129:S132)</f>
        <v>309028579678370.5</v>
      </c>
      <c r="V129" s="2">
        <f>_xlfn.STDEV.S(R129:R132)</f>
        <v>5.0878120215458345E-2</v>
      </c>
      <c r="W129" s="2">
        <f>_xlfn.STDEV.S(S129:S132)</f>
        <v>14052732798217.914</v>
      </c>
      <c r="X129" s="2">
        <f>_xlfn.CONFIDENCE.T(0.05,V129,4)</f>
        <v>8.0958442849732901E-2</v>
      </c>
      <c r="Y129" s="2">
        <f>_xlfn.CONFIDENCE.T(0.05,W129,4)</f>
        <v>22361033786413.898</v>
      </c>
      <c r="Z129" s="2">
        <f>_xlfn.STDEV.S(Q129:Q132)</f>
        <v>0.10201063103199393</v>
      </c>
      <c r="AA129" s="2">
        <f>Z129/AVERAGE(Q129:Q132)</f>
        <v>4.3679146608597674E-2</v>
      </c>
    </row>
    <row r="130" spans="6:27" x14ac:dyDescent="0.3">
      <c r="G130" t="s">
        <v>5</v>
      </c>
      <c r="H130">
        <v>20.399999999999999</v>
      </c>
      <c r="I130">
        <v>2.08</v>
      </c>
      <c r="J130">
        <v>1.93</v>
      </c>
      <c r="K130">
        <v>13.31</v>
      </c>
      <c r="L130">
        <v>11.72</v>
      </c>
      <c r="M130">
        <f t="shared" si="40"/>
        <v>6240</v>
      </c>
      <c r="N130" s="1">
        <f t="shared" si="41"/>
        <v>1.5899999999999999</v>
      </c>
      <c r="O130">
        <f t="shared" si="42"/>
        <v>2.0049999999999999</v>
      </c>
      <c r="P130" s="2">
        <f>FiberLength!D47*PureWaterPermeability!$C$2*PI()</f>
        <v>3.8484510006474965E-4</v>
      </c>
      <c r="Q130" s="2">
        <f t="shared" si="43"/>
        <v>2.3878506374081216</v>
      </c>
      <c r="R130" s="2">
        <f t="shared" si="44"/>
        <v>1.190947948831981</v>
      </c>
      <c r="S130" s="2">
        <f t="shared" si="45"/>
        <v>301797337558119.63</v>
      </c>
      <c r="T130" s="2"/>
      <c r="U130" s="2"/>
      <c r="V130" s="2"/>
      <c r="W130" s="2"/>
      <c r="X130" s="2"/>
      <c r="Y130" s="2"/>
      <c r="Z130" s="2"/>
      <c r="AA130" s="2"/>
    </row>
    <row r="131" spans="6:27" x14ac:dyDescent="0.3">
      <c r="G131" t="s">
        <v>6</v>
      </c>
      <c r="H131">
        <v>20.399999999999999</v>
      </c>
      <c r="I131">
        <v>2.08</v>
      </c>
      <c r="J131">
        <v>1.93</v>
      </c>
      <c r="K131">
        <v>13.42</v>
      </c>
      <c r="L131">
        <v>11.78</v>
      </c>
      <c r="M131">
        <f t="shared" si="40"/>
        <v>6240</v>
      </c>
      <c r="N131" s="1">
        <f t="shared" si="41"/>
        <v>1.6400000000000006</v>
      </c>
      <c r="O131">
        <f t="shared" si="42"/>
        <v>2.0049999999999999</v>
      </c>
      <c r="P131" s="2">
        <f>FiberLength!D48*PureWaterPermeability!$C$2*PI()</f>
        <v>3.9364155949480104E-4</v>
      </c>
      <c r="Q131" s="2">
        <f t="shared" si="43"/>
        <v>2.4079025084717021</v>
      </c>
      <c r="R131" s="2">
        <f t="shared" si="44"/>
        <v>1.2009488820307741</v>
      </c>
      <c r="S131" s="2">
        <f t="shared" si="45"/>
        <v>299284112342914.25</v>
      </c>
      <c r="T131" s="2"/>
      <c r="U131" s="2"/>
      <c r="V131" s="2"/>
      <c r="W131" s="2"/>
      <c r="X131" s="2"/>
      <c r="Y131" s="2"/>
      <c r="Z131" s="2"/>
      <c r="AA131" s="2"/>
    </row>
    <row r="132" spans="6:27" x14ac:dyDescent="0.3">
      <c r="G132" t="s">
        <v>7</v>
      </c>
      <c r="H132">
        <v>20.399999999999999</v>
      </c>
      <c r="I132">
        <v>2.08</v>
      </c>
      <c r="J132">
        <v>1.93</v>
      </c>
      <c r="K132">
        <v>13.28</v>
      </c>
      <c r="L132">
        <v>11.8</v>
      </c>
      <c r="M132">
        <f t="shared" si="40"/>
        <v>6240</v>
      </c>
      <c r="N132" s="1">
        <f t="shared" si="41"/>
        <v>1.4799999999999986</v>
      </c>
      <c r="O132">
        <f t="shared" si="42"/>
        <v>2.0049999999999999</v>
      </c>
      <c r="P132" s="2">
        <f>FiberLength!D49*PureWaterPermeability!$C$2*PI()</f>
        <v>3.9144244463728818E-4</v>
      </c>
      <c r="Q132" s="2">
        <f t="shared" si="43"/>
        <v>2.1851929725415271</v>
      </c>
      <c r="R132" s="2">
        <f t="shared" si="44"/>
        <v>1.0898718067538788</v>
      </c>
      <c r="S132" s="2">
        <f t="shared" si="45"/>
        <v>329786418825093</v>
      </c>
      <c r="T132" s="2"/>
      <c r="U132" s="2"/>
      <c r="V132" s="2"/>
      <c r="W132" s="2"/>
      <c r="X132" s="2"/>
      <c r="Y132" s="2"/>
      <c r="Z132" s="2"/>
      <c r="AA132" s="2"/>
    </row>
    <row r="133" spans="6:27" x14ac:dyDescent="0.3">
      <c r="F133">
        <v>10</v>
      </c>
      <c r="G133" t="s">
        <v>4</v>
      </c>
      <c r="H133">
        <v>19.7</v>
      </c>
      <c r="I133">
        <v>2.09</v>
      </c>
      <c r="J133">
        <v>1.96</v>
      </c>
      <c r="K133">
        <f>24.55+0.36</f>
        <v>24.91</v>
      </c>
      <c r="L133">
        <v>11.8</v>
      </c>
      <c r="M133">
        <f>1115*60</f>
        <v>66900</v>
      </c>
      <c r="N133" s="1">
        <f t="shared" si="41"/>
        <v>13.11</v>
      </c>
      <c r="O133">
        <f t="shared" si="42"/>
        <v>2.0249999999999999</v>
      </c>
      <c r="P133" s="2">
        <f>FiberLength!D50*PureWaterPermeability!$C$2*PI()</f>
        <v>3.9364155949480104E-4</v>
      </c>
      <c r="Q133" s="2">
        <f t="shared" si="43"/>
        <v>1.795379304468258</v>
      </c>
      <c r="R133" s="2">
        <f t="shared" si="44"/>
        <v>0.88660706393494226</v>
      </c>
      <c r="S133" s="2">
        <f t="shared" si="45"/>
        <v>405393702293093.19</v>
      </c>
      <c r="T133" s="2">
        <f>AVERAGE(R133:R136)</f>
        <v>0.90036019069785722</v>
      </c>
      <c r="U133" s="2">
        <f>AVERAGE(S133:S136)</f>
        <v>399715891950125.31</v>
      </c>
      <c r="V133" s="2">
        <f>_xlfn.STDEV.S(R133:R136)</f>
        <v>3.8045336847536131E-2</v>
      </c>
      <c r="W133" s="2">
        <f>_xlfn.STDEV.S(S133:S136)</f>
        <v>16239714859998.043</v>
      </c>
      <c r="X133" s="2">
        <f>_xlfn.CONFIDENCE.T(0.05,V133,4)</f>
        <v>6.0538620841857758E-2</v>
      </c>
      <c r="Y133" s="2">
        <f>_xlfn.CONFIDENCE.T(0.05,W133,4)</f>
        <v>25841010277530.859</v>
      </c>
      <c r="Z133" s="2">
        <f>_xlfn.STDEV.S(Q133:Q136)</f>
        <v>7.7041807116260685E-2</v>
      </c>
      <c r="AA133" s="2">
        <f>Z133/AVERAGE(Q133:Q136)</f>
        <v>4.2255685269744887E-2</v>
      </c>
    </row>
    <row r="134" spans="6:27" x14ac:dyDescent="0.3">
      <c r="G134" t="s">
        <v>5</v>
      </c>
      <c r="H134">
        <v>19.7</v>
      </c>
      <c r="I134">
        <v>2.09</v>
      </c>
      <c r="J134">
        <v>1.96</v>
      </c>
      <c r="K134">
        <f>24.37+0.36</f>
        <v>24.73</v>
      </c>
      <c r="L134">
        <v>11.75</v>
      </c>
      <c r="M134">
        <f t="shared" ref="M134:M148" si="46">1115*60</f>
        <v>66900</v>
      </c>
      <c r="N134" s="1">
        <f t="shared" si="41"/>
        <v>12.98</v>
      </c>
      <c r="O134">
        <f t="shared" si="42"/>
        <v>2.0249999999999999</v>
      </c>
      <c r="P134" s="2">
        <f>FiberLength!D51*PureWaterPermeability!$C$2*PI()</f>
        <v>3.9144244463728818E-4</v>
      </c>
      <c r="Q134" s="2">
        <f t="shared" si="43"/>
        <v>1.7875625363551453</v>
      </c>
      <c r="R134" s="2">
        <f t="shared" si="44"/>
        <v>0.88274693153340511</v>
      </c>
      <c r="S134" s="2">
        <f t="shared" si="45"/>
        <v>407166433876404.88</v>
      </c>
      <c r="T134" s="2"/>
      <c r="U134" s="2"/>
      <c r="V134" s="2"/>
      <c r="W134" s="2"/>
      <c r="X134" s="2"/>
      <c r="Y134" s="2"/>
      <c r="Z134" s="2"/>
      <c r="AA134" s="2"/>
    </row>
    <row r="135" spans="6:27" x14ac:dyDescent="0.3">
      <c r="G135" t="s">
        <v>6</v>
      </c>
      <c r="H135">
        <v>19.7</v>
      </c>
      <c r="I135">
        <v>2.09</v>
      </c>
      <c r="J135">
        <v>1.96</v>
      </c>
      <c r="K135">
        <f>24.36+0.36</f>
        <v>24.72</v>
      </c>
      <c r="L135">
        <v>11.78</v>
      </c>
      <c r="M135">
        <f t="shared" si="46"/>
        <v>66900</v>
      </c>
      <c r="N135" s="1">
        <f t="shared" si="41"/>
        <v>12.94</v>
      </c>
      <c r="O135">
        <f t="shared" si="42"/>
        <v>2.0249999999999999</v>
      </c>
      <c r="P135" s="2">
        <f>FiberLength!D52*PureWaterPermeability!$C$2*PI()</f>
        <v>3.9364155949480104E-4</v>
      </c>
      <c r="Q135" s="2">
        <f t="shared" si="43"/>
        <v>1.7720982608557787</v>
      </c>
      <c r="R135" s="2">
        <f t="shared" si="44"/>
        <v>0.87511025227445871</v>
      </c>
      <c r="S135" s="2">
        <f t="shared" si="45"/>
        <v>410719585553512.56</v>
      </c>
      <c r="T135" s="2"/>
      <c r="U135" s="2"/>
      <c r="V135" s="2"/>
      <c r="W135" s="2"/>
      <c r="X135" s="2"/>
      <c r="Y135" s="2"/>
      <c r="Z135" s="2"/>
      <c r="AA135" s="2"/>
    </row>
    <row r="136" spans="6:27" x14ac:dyDescent="0.3">
      <c r="G136" t="s">
        <v>7</v>
      </c>
      <c r="H136">
        <v>19.7</v>
      </c>
      <c r="I136">
        <v>2.09</v>
      </c>
      <c r="J136">
        <v>1.96</v>
      </c>
      <c r="K136">
        <f>24.76+0.36</f>
        <v>25.12</v>
      </c>
      <c r="L136">
        <v>11.76</v>
      </c>
      <c r="M136">
        <f t="shared" si="46"/>
        <v>66900</v>
      </c>
      <c r="N136" s="1">
        <f t="shared" si="41"/>
        <v>13.360000000000001</v>
      </c>
      <c r="O136">
        <f t="shared" si="42"/>
        <v>2.0249999999999999</v>
      </c>
      <c r="P136" s="2">
        <f>FiberLength!D53*PureWaterPermeability!$C$2*PI()</f>
        <v>3.7165041091967254E-4</v>
      </c>
      <c r="Q136" s="2">
        <f t="shared" si="43"/>
        <v>1.9378774429734611</v>
      </c>
      <c r="R136" s="2">
        <f t="shared" si="44"/>
        <v>0.9569765150486228</v>
      </c>
      <c r="S136" s="2">
        <f t="shared" si="45"/>
        <v>375583846077490.81</v>
      </c>
      <c r="T136" s="2"/>
      <c r="U136" s="2"/>
      <c r="V136" s="2"/>
      <c r="W136" s="2"/>
      <c r="X136" s="2"/>
      <c r="Y136" s="2"/>
      <c r="Z136" s="2"/>
      <c r="AA136" s="2"/>
    </row>
    <row r="137" spans="6:27" x14ac:dyDescent="0.3">
      <c r="F137">
        <v>11</v>
      </c>
      <c r="G137" t="s">
        <v>4</v>
      </c>
      <c r="H137">
        <v>19.7</v>
      </c>
      <c r="I137">
        <v>2.09</v>
      </c>
      <c r="J137">
        <v>1.96</v>
      </c>
      <c r="K137">
        <f>22.56+0.36</f>
        <v>22.919999999999998</v>
      </c>
      <c r="L137">
        <v>11.83</v>
      </c>
      <c r="M137">
        <f t="shared" si="46"/>
        <v>66900</v>
      </c>
      <c r="N137" s="1">
        <f t="shared" si="41"/>
        <v>11.089999999999998</v>
      </c>
      <c r="O137">
        <f t="shared" si="42"/>
        <v>2.0249999999999999</v>
      </c>
      <c r="P137" s="2">
        <f>FiberLength!D54*PureWaterPermeability!$C$2*PI()</f>
        <v>3.9364155949480104E-4</v>
      </c>
      <c r="Q137" s="2">
        <f t="shared" si="43"/>
        <v>1.5187457274258565</v>
      </c>
      <c r="R137" s="2">
        <f t="shared" si="44"/>
        <v>0.7499978900868427</v>
      </c>
      <c r="S137" s="2">
        <f t="shared" si="45"/>
        <v>479234575028174.38</v>
      </c>
      <c r="T137" s="2">
        <f>AVERAGE(R137:R140)</f>
        <v>0.7297093989212835</v>
      </c>
      <c r="U137" s="2">
        <f>AVERAGE(S137:S140)</f>
        <v>492929933169767.75</v>
      </c>
      <c r="V137" s="2">
        <f>_xlfn.STDEV.S(R137:R140)</f>
        <v>2.3079655310425707E-2</v>
      </c>
      <c r="W137" s="2">
        <f>_xlfn.STDEV.S(S137:S140)</f>
        <v>15638552487899.596</v>
      </c>
      <c r="X137" s="2">
        <f>_xlfn.CONFIDENCE.T(0.05,V137,4)</f>
        <v>3.6724881884942912E-2</v>
      </c>
      <c r="Y137" s="2">
        <f>_xlfn.CONFIDENCE.T(0.05,W137,4)</f>
        <v>24884426792550.711</v>
      </c>
      <c r="Z137" s="2">
        <f>_xlfn.STDEV.S(Q137:Q140)</f>
        <v>4.6736302003612056E-2</v>
      </c>
      <c r="AA137" s="2">
        <f>Z137/AVERAGE(Q137:Q140)</f>
        <v>3.1628556990692391E-2</v>
      </c>
    </row>
    <row r="138" spans="6:27" x14ac:dyDescent="0.3">
      <c r="G138" t="s">
        <v>5</v>
      </c>
      <c r="H138">
        <v>19.7</v>
      </c>
      <c r="I138">
        <v>2.09</v>
      </c>
      <c r="J138">
        <v>1.96</v>
      </c>
      <c r="K138">
        <f>21.8+0.36</f>
        <v>22.16</v>
      </c>
      <c r="L138">
        <v>11.74</v>
      </c>
      <c r="M138">
        <f t="shared" si="46"/>
        <v>66900</v>
      </c>
      <c r="N138" s="1">
        <f t="shared" si="41"/>
        <v>10.42</v>
      </c>
      <c r="O138">
        <f t="shared" si="42"/>
        <v>2.0249999999999999</v>
      </c>
      <c r="P138" s="2">
        <f>FiberLength!D55*PureWaterPermeability!$C$2*PI()</f>
        <v>3.9364155949480104E-4</v>
      </c>
      <c r="Q138" s="2">
        <f t="shared" si="43"/>
        <v>1.4269910261296148</v>
      </c>
      <c r="R138" s="2">
        <f t="shared" si="44"/>
        <v>0.70468692648376041</v>
      </c>
      <c r="S138" s="2">
        <f t="shared" si="45"/>
        <v>510049082251674.88</v>
      </c>
      <c r="T138" s="2"/>
      <c r="U138" s="2"/>
      <c r="V138" s="2"/>
      <c r="W138" s="2"/>
      <c r="X138" s="2"/>
      <c r="Y138" s="2"/>
      <c r="Z138" s="2"/>
      <c r="AA138" s="2"/>
    </row>
    <row r="139" spans="6:27" x14ac:dyDescent="0.3">
      <c r="G139" t="s">
        <v>6</v>
      </c>
      <c r="H139">
        <v>19.7</v>
      </c>
      <c r="I139">
        <v>2.09</v>
      </c>
      <c r="J139">
        <v>1.96</v>
      </c>
      <c r="K139">
        <f>22.41+0.36</f>
        <v>22.77</v>
      </c>
      <c r="L139">
        <v>11.7</v>
      </c>
      <c r="M139">
        <f t="shared" si="46"/>
        <v>66900</v>
      </c>
      <c r="N139" s="1">
        <f t="shared" si="41"/>
        <v>11.07</v>
      </c>
      <c r="O139">
        <f t="shared" si="42"/>
        <v>2.0249999999999999</v>
      </c>
      <c r="P139" s="2">
        <f>FiberLength!D56*PureWaterPermeability!$C$2*PI()</f>
        <v>3.9364155949480104E-4</v>
      </c>
      <c r="Q139" s="2">
        <f t="shared" si="43"/>
        <v>1.5160067811185063</v>
      </c>
      <c r="R139" s="2">
        <f t="shared" si="44"/>
        <v>0.74864532400913897</v>
      </c>
      <c r="S139" s="2">
        <f t="shared" si="45"/>
        <v>480100400818649.75</v>
      </c>
      <c r="T139" s="2"/>
      <c r="U139" s="2"/>
      <c r="V139" s="2"/>
      <c r="W139" s="2"/>
      <c r="X139" s="2"/>
      <c r="Y139" s="2"/>
      <c r="Z139" s="2"/>
      <c r="AA139" s="2"/>
    </row>
    <row r="140" spans="6:27" x14ac:dyDescent="0.3">
      <c r="G140" t="s">
        <v>7</v>
      </c>
      <c r="H140">
        <v>19.7</v>
      </c>
      <c r="I140">
        <v>2.09</v>
      </c>
      <c r="J140">
        <v>1.96</v>
      </c>
      <c r="K140">
        <f>21.92+0.36</f>
        <v>22.28</v>
      </c>
      <c r="L140">
        <v>11.7</v>
      </c>
      <c r="M140">
        <f t="shared" si="46"/>
        <v>66900</v>
      </c>
      <c r="N140" s="1">
        <f t="shared" si="41"/>
        <v>10.580000000000002</v>
      </c>
      <c r="O140">
        <f t="shared" si="42"/>
        <v>2.0249999999999999</v>
      </c>
      <c r="P140" s="2">
        <f>FiberLength!D57*PureWaterPermeability!$C$2*PI()</f>
        <v>3.9364155949480104E-4</v>
      </c>
      <c r="Q140" s="2">
        <f t="shared" si="43"/>
        <v>1.448902596588419</v>
      </c>
      <c r="R140" s="2">
        <f t="shared" si="44"/>
        <v>0.71550745510539215</v>
      </c>
      <c r="S140" s="2">
        <f t="shared" si="45"/>
        <v>502335674580572.06</v>
      </c>
      <c r="T140" s="2"/>
      <c r="U140" s="2"/>
      <c r="V140" s="2"/>
      <c r="W140" s="2"/>
      <c r="X140" s="2"/>
      <c r="Y140" s="2"/>
      <c r="Z140" s="2"/>
      <c r="AA140" s="2"/>
    </row>
    <row r="141" spans="6:27" x14ac:dyDescent="0.3">
      <c r="F141">
        <v>12</v>
      </c>
      <c r="G141" t="s">
        <v>4</v>
      </c>
      <c r="H141">
        <v>19.7</v>
      </c>
      <c r="I141">
        <v>2.09</v>
      </c>
      <c r="J141">
        <v>1.96</v>
      </c>
      <c r="K141">
        <f>21.45+0.36</f>
        <v>21.81</v>
      </c>
      <c r="L141">
        <v>11.77</v>
      </c>
      <c r="M141">
        <f t="shared" si="46"/>
        <v>66900</v>
      </c>
      <c r="N141" s="1">
        <f t="shared" si="41"/>
        <v>10.039999999999999</v>
      </c>
      <c r="O141">
        <f t="shared" si="42"/>
        <v>2.0249999999999999</v>
      </c>
      <c r="P141" s="2">
        <f>FiberLength!D58*PureWaterPermeability!$C$2*PI()</f>
        <v>3.9584067435231396E-4</v>
      </c>
      <c r="Q141" s="2">
        <f t="shared" si="43"/>
        <v>1.3673124293661216</v>
      </c>
      <c r="R141" s="2">
        <f t="shared" si="44"/>
        <v>0.67521601450178848</v>
      </c>
      <c r="S141" s="2">
        <f t="shared" si="45"/>
        <v>532311012192148.56</v>
      </c>
      <c r="T141" s="2">
        <f>AVERAGE(R141:R144)</f>
        <v>0.65283459196917526</v>
      </c>
      <c r="U141" s="2">
        <f>AVERAGE(S141:S144)</f>
        <v>551152188341078.88</v>
      </c>
      <c r="V141" s="2">
        <f>_xlfn.STDEV.S(R141:R144)</f>
        <v>2.4371184901000993E-2</v>
      </c>
      <c r="W141" s="2">
        <f>_xlfn.STDEV.S(S141:S144)</f>
        <v>21139324047433.434</v>
      </c>
      <c r="X141" s="2">
        <f>_xlfn.CONFIDENCE.T(0.05,V141,4)</f>
        <v>3.8779993671788367E-2</v>
      </c>
      <c r="Y141" s="2">
        <f>_xlfn.CONFIDENCE.T(0.05,W141,4)</f>
        <v>33637381855474.797</v>
      </c>
      <c r="Z141" s="2">
        <f>_xlfn.STDEV.S(Q141:Q144)</f>
        <v>4.9351649424527078E-2</v>
      </c>
      <c r="AA141" s="2">
        <f>Z141/AVERAGE(Q141:Q144)</f>
        <v>3.7331332010898943E-2</v>
      </c>
    </row>
    <row r="142" spans="6:27" x14ac:dyDescent="0.3">
      <c r="G142" t="s">
        <v>5</v>
      </c>
      <c r="H142">
        <v>19.7</v>
      </c>
      <c r="I142">
        <v>2.09</v>
      </c>
      <c r="J142">
        <v>1.96</v>
      </c>
      <c r="K142">
        <f>21.34+0.36</f>
        <v>21.7</v>
      </c>
      <c r="L142">
        <v>12.56</v>
      </c>
      <c r="M142">
        <f t="shared" si="46"/>
        <v>66900</v>
      </c>
      <c r="N142" s="1">
        <f t="shared" si="41"/>
        <v>9.1399999999999988</v>
      </c>
      <c r="O142">
        <f t="shared" si="42"/>
        <v>2.0249999999999999</v>
      </c>
      <c r="P142" s="2">
        <f>FiberLength!D59*PureWaterPermeability!$C$2*PI()</f>
        <v>3.9364155949480104E-4</v>
      </c>
      <c r="Q142" s="2">
        <f t="shared" si="43"/>
        <v>1.251698462459182</v>
      </c>
      <c r="R142" s="2">
        <f t="shared" si="44"/>
        <v>0.61812269751070725</v>
      </c>
      <c r="S142" s="2">
        <f t="shared" si="45"/>
        <v>581478275389765.25</v>
      </c>
      <c r="T142" s="2"/>
      <c r="U142" s="2"/>
      <c r="V142" s="2"/>
      <c r="W142" s="2"/>
      <c r="X142" s="2"/>
      <c r="Y142" s="2"/>
      <c r="Z142" s="2"/>
      <c r="AA142" s="2"/>
    </row>
    <row r="143" spans="6:27" x14ac:dyDescent="0.3">
      <c r="G143" t="s">
        <v>6</v>
      </c>
      <c r="H143">
        <v>19.7</v>
      </c>
      <c r="I143">
        <v>2.09</v>
      </c>
      <c r="J143">
        <v>1.96</v>
      </c>
      <c r="K143">
        <f>21.08+0.36</f>
        <v>21.439999999999998</v>
      </c>
      <c r="L143">
        <v>11.75</v>
      </c>
      <c r="M143">
        <f t="shared" si="46"/>
        <v>66900</v>
      </c>
      <c r="N143" s="1">
        <f t="shared" si="41"/>
        <v>9.6899999999999977</v>
      </c>
      <c r="O143">
        <f t="shared" si="42"/>
        <v>2.0249999999999999</v>
      </c>
      <c r="P143" s="2">
        <f>FiberLength!D60*PureWaterPermeability!$C$2*PI()</f>
        <v>3.9144244463728818E-4</v>
      </c>
      <c r="Q143" s="2">
        <f t="shared" si="43"/>
        <v>1.3344746515625077</v>
      </c>
      <c r="R143" s="2">
        <f t="shared" si="44"/>
        <v>0.65899982793210254</v>
      </c>
      <c r="S143" s="2">
        <f t="shared" si="45"/>
        <v>545409732891200.94</v>
      </c>
      <c r="T143" s="2"/>
      <c r="U143" s="2"/>
      <c r="V143" s="2"/>
      <c r="W143" s="2"/>
      <c r="X143" s="2"/>
      <c r="Y143" s="2"/>
      <c r="Z143" s="2"/>
      <c r="AA143" s="2"/>
    </row>
    <row r="144" spans="6:27" x14ac:dyDescent="0.3">
      <c r="G144" t="s">
        <v>7</v>
      </c>
      <c r="H144">
        <v>19.7</v>
      </c>
      <c r="I144">
        <v>2.09</v>
      </c>
      <c r="J144">
        <v>1.96</v>
      </c>
      <c r="K144">
        <f>21.05+0.36</f>
        <v>21.41</v>
      </c>
      <c r="L144">
        <v>11.72</v>
      </c>
      <c r="M144">
        <f t="shared" si="46"/>
        <v>66900</v>
      </c>
      <c r="N144" s="1">
        <f t="shared" si="41"/>
        <v>9.69</v>
      </c>
      <c r="O144">
        <f t="shared" si="42"/>
        <v>2.0249999999999999</v>
      </c>
      <c r="P144" s="2">
        <f>FiberLength!D61*PureWaterPermeability!$C$2*PI()</f>
        <v>3.9144244463728818E-4</v>
      </c>
      <c r="Q144" s="2">
        <f t="shared" si="43"/>
        <v>1.3344746515625083</v>
      </c>
      <c r="R144" s="2">
        <f t="shared" si="44"/>
        <v>0.65899982793210288</v>
      </c>
      <c r="S144" s="2">
        <f t="shared" si="45"/>
        <v>545409732891200.69</v>
      </c>
      <c r="T144" s="2"/>
      <c r="U144" s="2"/>
      <c r="V144" s="2"/>
      <c r="W144" s="2"/>
      <c r="X144" s="2"/>
      <c r="Y144" s="2"/>
      <c r="Z144" s="2"/>
      <c r="AA144" s="2"/>
    </row>
    <row r="145" spans="5:27" x14ac:dyDescent="0.3">
      <c r="F145">
        <v>14</v>
      </c>
      <c r="G145" t="s">
        <v>4</v>
      </c>
      <c r="H145">
        <v>19.7</v>
      </c>
      <c r="I145">
        <v>2.09</v>
      </c>
      <c r="J145">
        <v>1.96</v>
      </c>
      <c r="K145">
        <f>18.68+0.36</f>
        <v>19.04</v>
      </c>
      <c r="L145">
        <v>11.72</v>
      </c>
      <c r="M145">
        <f t="shared" si="46"/>
        <v>66900</v>
      </c>
      <c r="N145" s="1">
        <f t="shared" si="41"/>
        <v>7.3199999999999985</v>
      </c>
      <c r="O145">
        <f t="shared" si="42"/>
        <v>2.0249999999999999</v>
      </c>
      <c r="P145" s="2">
        <f>FiberLength!D62*PureWaterPermeability!$C$2*PI()</f>
        <v>3.9144244463728818E-4</v>
      </c>
      <c r="Q145" s="2">
        <f t="shared" si="43"/>
        <v>1.0080861144930402</v>
      </c>
      <c r="R145" s="2">
        <f t="shared" si="44"/>
        <v>0.49782030345335321</v>
      </c>
      <c r="S145" s="2">
        <f t="shared" si="45"/>
        <v>721997310343679.75</v>
      </c>
      <c r="T145" s="2">
        <f>AVERAGE(R145:R148)</f>
        <v>0.53006991764478772</v>
      </c>
      <c r="U145" s="2">
        <f>AVERAGE(S145:S148)</f>
        <v>682504926302341.5</v>
      </c>
      <c r="V145" s="2">
        <f>_xlfn.STDEV.S(R145:R148)</f>
        <v>5.0169796893607371E-2</v>
      </c>
      <c r="W145" s="2">
        <f>_xlfn.STDEV.S(S145:S148)</f>
        <v>62555455137489.602</v>
      </c>
      <c r="X145" s="2">
        <f>_xlfn.CONFIDENCE.T(0.05,V145,4)</f>
        <v>7.9831342380447437E-2</v>
      </c>
      <c r="Y145" s="2">
        <f>_xlfn.CONFIDENCE.T(0.05,W145,4)</f>
        <v>99539688538822.297</v>
      </c>
      <c r="Z145" s="2">
        <f>_xlfn.STDEV.S(Q145:Q148)</f>
        <v>0.10159383870955492</v>
      </c>
      <c r="AA145" s="2">
        <f>Z145/AVERAGE(Q145:Q148)</f>
        <v>9.4647508231597718E-2</v>
      </c>
    </row>
    <row r="146" spans="5:27" x14ac:dyDescent="0.3">
      <c r="G146" t="s">
        <v>5</v>
      </c>
      <c r="H146">
        <v>19.7</v>
      </c>
      <c r="I146">
        <v>2.09</v>
      </c>
      <c r="J146">
        <v>1.96</v>
      </c>
      <c r="K146">
        <f>20.21+0.36</f>
        <v>20.57</v>
      </c>
      <c r="L146">
        <v>11.72</v>
      </c>
      <c r="M146">
        <f t="shared" si="46"/>
        <v>66900</v>
      </c>
      <c r="N146" s="1">
        <f t="shared" si="41"/>
        <v>8.85</v>
      </c>
      <c r="O146">
        <f t="shared" si="42"/>
        <v>2.0249999999999999</v>
      </c>
      <c r="P146" s="2">
        <f>FiberLength!D63*PureWaterPermeability!$C$2*PI()</f>
        <v>3.9584067435231396E-4</v>
      </c>
      <c r="Q146" s="2">
        <f t="shared" si="43"/>
        <v>1.2052504979970295</v>
      </c>
      <c r="R146" s="2">
        <f t="shared" si="44"/>
        <v>0.59518543110964428</v>
      </c>
      <c r="S146" s="2">
        <f t="shared" si="45"/>
        <v>603887295187477</v>
      </c>
      <c r="T146" s="2"/>
      <c r="U146" s="2"/>
      <c r="V146" s="2"/>
      <c r="W146" s="2"/>
      <c r="X146" s="2"/>
      <c r="Y146" s="2"/>
      <c r="Z146" s="2"/>
      <c r="AA146" s="2"/>
    </row>
    <row r="147" spans="5:27" x14ac:dyDescent="0.3">
      <c r="G147" t="s">
        <v>6</v>
      </c>
      <c r="H147">
        <v>19.7</v>
      </c>
      <c r="I147">
        <v>2.09</v>
      </c>
      <c r="J147">
        <v>1.96</v>
      </c>
      <c r="K147">
        <f>19.45+0.36</f>
        <v>19.809999999999999</v>
      </c>
      <c r="L147">
        <v>11.78</v>
      </c>
      <c r="M147">
        <f t="shared" si="46"/>
        <v>66900</v>
      </c>
      <c r="N147" s="1">
        <f t="shared" si="41"/>
        <v>8.0299999999999994</v>
      </c>
      <c r="O147">
        <f t="shared" si="42"/>
        <v>2.0249999999999999</v>
      </c>
      <c r="P147" s="2">
        <f>FiberLength!D64*PureWaterPermeability!$C$2*PI()</f>
        <v>3.9364155949480104E-4</v>
      </c>
      <c r="Q147" s="2">
        <f t="shared" si="43"/>
        <v>1.0996869424012288</v>
      </c>
      <c r="R147" s="2">
        <f t="shared" si="44"/>
        <v>0.54305528019813765</v>
      </c>
      <c r="S147" s="2">
        <f t="shared" si="45"/>
        <v>661856966010268.25</v>
      </c>
      <c r="T147" s="2"/>
      <c r="U147" s="2"/>
      <c r="V147" s="2"/>
      <c r="W147" s="2"/>
      <c r="X147" s="2"/>
      <c r="Y147" s="2"/>
      <c r="Z147" s="2"/>
      <c r="AA147" s="2"/>
    </row>
    <row r="148" spans="5:27" x14ac:dyDescent="0.3">
      <c r="G148" t="s">
        <v>7</v>
      </c>
      <c r="H148">
        <v>19.7</v>
      </c>
      <c r="I148">
        <v>2.09</v>
      </c>
      <c r="J148">
        <v>1.96</v>
      </c>
      <c r="K148">
        <f>18.56+0.36</f>
        <v>18.919999999999998</v>
      </c>
      <c r="L148">
        <v>11.8</v>
      </c>
      <c r="M148">
        <f t="shared" si="46"/>
        <v>66900</v>
      </c>
      <c r="N148" s="1">
        <f t="shared" si="41"/>
        <v>7.1199999999999974</v>
      </c>
      <c r="O148">
        <f t="shared" si="42"/>
        <v>2.0249999999999999</v>
      </c>
      <c r="P148" s="2">
        <f>FiberLength!D65*PureWaterPermeability!$C$2*PI()</f>
        <v>3.9144244463728818E-4</v>
      </c>
      <c r="Q148" s="2">
        <f t="shared" si="43"/>
        <v>0.98054277803148138</v>
      </c>
      <c r="R148" s="2">
        <f t="shared" si="44"/>
        <v>0.48421865581801554</v>
      </c>
      <c r="S148" s="2">
        <f t="shared" si="45"/>
        <v>742278133667940.75</v>
      </c>
      <c r="T148" s="2"/>
      <c r="U148" s="2"/>
      <c r="V148" s="2"/>
      <c r="W148" s="2"/>
      <c r="X148" s="2"/>
      <c r="Y148" s="2"/>
      <c r="Z148" s="2"/>
      <c r="AA148" s="2"/>
    </row>
    <row r="149" spans="5:27" x14ac:dyDescent="0.3"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5:27" x14ac:dyDescent="0.3">
      <c r="E150" t="s">
        <v>8</v>
      </c>
      <c r="F150">
        <v>3</v>
      </c>
      <c r="G150" t="s">
        <v>4</v>
      </c>
      <c r="H150">
        <v>20.100000000000001</v>
      </c>
      <c r="I150">
        <v>3.07</v>
      </c>
      <c r="J150">
        <v>2.93</v>
      </c>
      <c r="K150">
        <v>15.98</v>
      </c>
      <c r="L150">
        <v>11.8</v>
      </c>
      <c r="M150">
        <f>62*60</f>
        <v>3720</v>
      </c>
      <c r="N150" s="1">
        <f t="shared" ref="N150" si="47">K150-L150</f>
        <v>4.18</v>
      </c>
      <c r="O150">
        <f t="shared" ref="O150" si="48">(I150+J150)/2</f>
        <v>3</v>
      </c>
      <c r="P150" s="2">
        <f>FiberLength!D34*PureWaterPermeability!$C$2*PI()</f>
        <v>3.9584067435231396E-4</v>
      </c>
      <c r="Q150" s="2">
        <f t="shared" ref="Q150" si="49">N150/P150/M150*60*60/$C$4</f>
        <v>10.237490424666948</v>
      </c>
      <c r="R150" s="2">
        <f t="shared" ref="R150" si="50">Q150/O150</f>
        <v>3.4124968082223162</v>
      </c>
      <c r="S150" s="2">
        <f t="shared" ref="S150" si="51">(O150*10^5)/$C$5/(Q150/1000/60/60)</f>
        <v>105326082433768.48</v>
      </c>
      <c r="T150" s="2">
        <f>AVERAGE(R150:R153)</f>
        <v>3.7352204378363494</v>
      </c>
      <c r="U150" s="2">
        <f>AVERAGE(S150:S153)</f>
        <v>96568480487495.109</v>
      </c>
      <c r="V150" s="2">
        <f>_xlfn.STDEV.S(R150:R153)</f>
        <v>0.25423284866409962</v>
      </c>
      <c r="W150" s="2">
        <f>_xlfn.STDEV.S(S150:S153)</f>
        <v>6718234157135.3623</v>
      </c>
      <c r="X150" s="2">
        <f>_xlfn.CONFIDENCE.T(0.05,V150,4)</f>
        <v>0.40454119495640811</v>
      </c>
      <c r="Y150" s="2">
        <f>_xlfn.CONFIDENCE.T(0.05,W150,4)</f>
        <v>10690209735703.123</v>
      </c>
      <c r="Z150" s="2">
        <f>_xlfn.STDEV.S(Q150:Q153)</f>
        <v>0.76269854599229903</v>
      </c>
      <c r="AA150" s="2">
        <f>Z150/AVERAGE(Q150:Q153)</f>
        <v>6.8063680014389116E-2</v>
      </c>
    </row>
    <row r="151" spans="5:27" x14ac:dyDescent="0.3">
      <c r="G151" t="s">
        <v>5</v>
      </c>
      <c r="H151">
        <v>20.100000000000001</v>
      </c>
      <c r="I151">
        <v>3.07</v>
      </c>
      <c r="J151">
        <v>2.93</v>
      </c>
      <c r="K151">
        <v>16.649999999999999</v>
      </c>
      <c r="L151">
        <v>11.75</v>
      </c>
      <c r="M151">
        <f t="shared" ref="M151:M165" si="52">62*60</f>
        <v>3720</v>
      </c>
      <c r="N151" s="1">
        <f t="shared" ref="N151:N181" si="53">K151-L151</f>
        <v>4.8999999999999986</v>
      </c>
      <c r="O151">
        <f t="shared" ref="O151:O181" si="54">(I151+J151)/2</f>
        <v>3</v>
      </c>
      <c r="P151" s="2">
        <f>FiberLength!D35*PureWaterPermeability!$C$2*PI()</f>
        <v>3.9584067435231396E-4</v>
      </c>
      <c r="Q151" s="2">
        <f t="shared" ref="Q151:Q181" si="55">N151/P151/M151*60*60/$C$4</f>
        <v>12.000885904513886</v>
      </c>
      <c r="R151" s="2">
        <f t="shared" ref="R151:R181" si="56">Q151/O151</f>
        <v>4.0002953015046288</v>
      </c>
      <c r="S151" s="2">
        <f t="shared" ref="S151:S181" si="57">(O151*10^5)/$C$5/(Q151/1000/60/60)</f>
        <v>89849596851663.719</v>
      </c>
      <c r="T151" s="2"/>
      <c r="U151" s="2"/>
      <c r="V151" s="2"/>
      <c r="W151" s="2"/>
      <c r="X151" s="2"/>
      <c r="Y151" s="2"/>
      <c r="Z151" s="2"/>
      <c r="AA151" s="2"/>
    </row>
    <row r="152" spans="5:27" x14ac:dyDescent="0.3">
      <c r="G152" t="s">
        <v>6</v>
      </c>
      <c r="H152">
        <v>20.100000000000001</v>
      </c>
      <c r="I152">
        <v>3.07</v>
      </c>
      <c r="J152">
        <v>2.93</v>
      </c>
      <c r="K152">
        <v>16.48</v>
      </c>
      <c r="L152">
        <v>11.78</v>
      </c>
      <c r="M152">
        <f t="shared" si="52"/>
        <v>3720</v>
      </c>
      <c r="N152" s="1">
        <f t="shared" si="53"/>
        <v>4.7000000000000011</v>
      </c>
      <c r="O152">
        <f t="shared" si="54"/>
        <v>3</v>
      </c>
      <c r="P152" s="2">
        <f>FiberLength!D36*PureWaterPermeability!$C$2*PI()</f>
        <v>3.9364155949480104E-4</v>
      </c>
      <c r="Q152" s="2">
        <f t="shared" si="55"/>
        <v>11.575361390056726</v>
      </c>
      <c r="R152" s="2">
        <f t="shared" si="56"/>
        <v>3.8584537966855752</v>
      </c>
      <c r="S152" s="2">
        <f t="shared" si="57"/>
        <v>93152578485335.938</v>
      </c>
      <c r="T152" s="2"/>
      <c r="U152" s="2"/>
      <c r="V152" s="2"/>
      <c r="W152" s="2"/>
      <c r="X152" s="2"/>
      <c r="Y152" s="2"/>
      <c r="Z152" s="2"/>
      <c r="AA152" s="2"/>
    </row>
    <row r="153" spans="5:27" x14ac:dyDescent="0.3">
      <c r="G153" t="s">
        <v>7</v>
      </c>
      <c r="H153">
        <v>20.100000000000001</v>
      </c>
      <c r="I153">
        <v>3.07</v>
      </c>
      <c r="J153">
        <v>2.93</v>
      </c>
      <c r="K153">
        <v>16.23</v>
      </c>
      <c r="L153">
        <v>11.76</v>
      </c>
      <c r="M153">
        <f t="shared" si="52"/>
        <v>3720</v>
      </c>
      <c r="N153" s="1">
        <f t="shared" si="53"/>
        <v>4.4700000000000006</v>
      </c>
      <c r="O153">
        <f t="shared" si="54"/>
        <v>3</v>
      </c>
      <c r="P153" s="2">
        <f>FiberLength!D37*PureWaterPermeability!$C$2*PI()</f>
        <v>3.9364155949480104E-4</v>
      </c>
      <c r="Q153" s="2">
        <f t="shared" si="55"/>
        <v>11.008907534798629</v>
      </c>
      <c r="R153" s="2">
        <f t="shared" si="56"/>
        <v>3.6696358449328765</v>
      </c>
      <c r="S153" s="2">
        <f t="shared" si="57"/>
        <v>97945664179212.297</v>
      </c>
      <c r="T153" s="2"/>
      <c r="U153" s="2"/>
      <c r="V153" s="2"/>
      <c r="W153" s="2"/>
      <c r="X153" s="2"/>
      <c r="Y153" s="2"/>
      <c r="Z153" s="2"/>
      <c r="AA153" s="2"/>
    </row>
    <row r="154" spans="5:27" x14ac:dyDescent="0.3">
      <c r="F154">
        <v>5</v>
      </c>
      <c r="G154" t="s">
        <v>4</v>
      </c>
      <c r="H154">
        <v>20.100000000000001</v>
      </c>
      <c r="I154">
        <v>3.07</v>
      </c>
      <c r="J154">
        <v>2.93</v>
      </c>
      <c r="K154">
        <v>14.64</v>
      </c>
      <c r="L154">
        <v>11.83</v>
      </c>
      <c r="M154">
        <f t="shared" si="52"/>
        <v>3720</v>
      </c>
      <c r="N154" s="1">
        <f t="shared" si="53"/>
        <v>2.8100000000000005</v>
      </c>
      <c r="O154">
        <f t="shared" si="54"/>
        <v>3</v>
      </c>
      <c r="P154" s="2">
        <f>FiberLength!D38*PureWaterPermeability!$C$2*PI()</f>
        <v>3.8264598520723679E-4</v>
      </c>
      <c r="Q154" s="2">
        <f t="shared" si="55"/>
        <v>7.1194558884624994</v>
      </c>
      <c r="R154" s="2">
        <f t="shared" si="56"/>
        <v>2.3731519628208333</v>
      </c>
      <c r="S154" s="2">
        <f t="shared" si="57"/>
        <v>151454658512709.47</v>
      </c>
      <c r="T154" s="2">
        <f>AVERAGE(R154:R157)</f>
        <v>2.5267513830108204</v>
      </c>
      <c r="U154" s="2">
        <f>AVERAGE(S154:S157)</f>
        <v>142465926216755.47</v>
      </c>
      <c r="V154" s="2">
        <f>_xlfn.STDEV.S(R154:R157)</f>
        <v>0.1126801745320976</v>
      </c>
      <c r="W154" s="2">
        <f>_xlfn.STDEV.S(S154:S157)</f>
        <v>6522563858081.1035</v>
      </c>
      <c r="X154" s="2">
        <f>_xlfn.CONFIDENCE.T(0.05,V154,4)</f>
        <v>0.17929930255919874</v>
      </c>
      <c r="Y154" s="2">
        <f>_xlfn.CONFIDENCE.T(0.05,W154,4)</f>
        <v>10378854625563.631</v>
      </c>
      <c r="Z154" s="2">
        <f>_xlfn.STDEV.S(Q154:Q157)</f>
        <v>0.33804052359629283</v>
      </c>
      <c r="AA154" s="2">
        <f>Z154/AVERAGE(Q154:Q157)</f>
        <v>4.4594879927533845E-2</v>
      </c>
    </row>
    <row r="155" spans="5:27" x14ac:dyDescent="0.3">
      <c r="G155" t="s">
        <v>5</v>
      </c>
      <c r="H155">
        <v>20.100000000000001</v>
      </c>
      <c r="I155">
        <v>3.07</v>
      </c>
      <c r="J155">
        <v>2.93</v>
      </c>
      <c r="K155">
        <v>14.68</v>
      </c>
      <c r="L155">
        <v>11.74</v>
      </c>
      <c r="M155">
        <f t="shared" si="52"/>
        <v>3720</v>
      </c>
      <c r="N155" s="1">
        <f t="shared" si="53"/>
        <v>2.9399999999999995</v>
      </c>
      <c r="O155">
        <f t="shared" si="54"/>
        <v>3</v>
      </c>
      <c r="P155" s="2">
        <f>FiberLength!D39*PureWaterPermeability!$C$2*PI()</f>
        <v>3.7824775549221107E-4</v>
      </c>
      <c r="Q155" s="2">
        <f t="shared" si="55"/>
        <v>7.5354399865552315</v>
      </c>
      <c r="R155" s="2">
        <f t="shared" si="56"/>
        <v>2.5118133288517437</v>
      </c>
      <c r="S155" s="2">
        <f t="shared" si="57"/>
        <v>143093802393390.34</v>
      </c>
      <c r="T155" s="2"/>
      <c r="U155" s="2"/>
      <c r="V155" s="2"/>
      <c r="W155" s="2"/>
      <c r="X155" s="2"/>
      <c r="Y155" s="2"/>
      <c r="Z155" s="2"/>
      <c r="AA155" s="2"/>
    </row>
    <row r="156" spans="5:27" x14ac:dyDescent="0.3">
      <c r="G156" t="s">
        <v>6</v>
      </c>
      <c r="H156">
        <v>20.100000000000001</v>
      </c>
      <c r="I156">
        <v>3.07</v>
      </c>
      <c r="J156">
        <v>2.93</v>
      </c>
      <c r="K156">
        <v>14.82</v>
      </c>
      <c r="L156">
        <v>11.7</v>
      </c>
      <c r="M156">
        <f t="shared" si="52"/>
        <v>3720</v>
      </c>
      <c r="N156" s="1">
        <f t="shared" si="53"/>
        <v>3.120000000000001</v>
      </c>
      <c r="O156">
        <f t="shared" si="54"/>
        <v>3</v>
      </c>
      <c r="P156" s="2">
        <f>FiberLength!D40*PureWaterPermeability!$C$2*PI()</f>
        <v>3.8704421492226246E-4</v>
      </c>
      <c r="Q156" s="2">
        <f t="shared" si="55"/>
        <v>7.8150481493216652</v>
      </c>
      <c r="R156" s="2">
        <f t="shared" si="56"/>
        <v>2.6050160497738886</v>
      </c>
      <c r="S156" s="2">
        <f t="shared" si="57"/>
        <v>137974167245147.28</v>
      </c>
      <c r="T156" s="2"/>
      <c r="U156" s="2"/>
      <c r="V156" s="2"/>
      <c r="W156" s="2"/>
      <c r="X156" s="2"/>
      <c r="Y156" s="2"/>
      <c r="Z156" s="2"/>
      <c r="AA156" s="2"/>
    </row>
    <row r="157" spans="5:27" x14ac:dyDescent="0.3">
      <c r="G157" t="s">
        <v>7</v>
      </c>
      <c r="H157">
        <v>20.100000000000001</v>
      </c>
      <c r="I157">
        <v>3.07</v>
      </c>
      <c r="J157">
        <v>2.93</v>
      </c>
      <c r="K157">
        <v>14.87</v>
      </c>
      <c r="L157">
        <v>11.7</v>
      </c>
      <c r="M157">
        <f t="shared" si="52"/>
        <v>3720</v>
      </c>
      <c r="N157" s="1">
        <f t="shared" si="53"/>
        <v>3.17</v>
      </c>
      <c r="O157">
        <f t="shared" si="54"/>
        <v>3</v>
      </c>
      <c r="P157" s="2">
        <f>FiberLength!D41*PureWaterPermeability!$C$2*PI()</f>
        <v>3.9144244463728818E-4</v>
      </c>
      <c r="Q157" s="2">
        <f t="shared" si="55"/>
        <v>7.8510725717904464</v>
      </c>
      <c r="R157" s="2">
        <f t="shared" si="56"/>
        <v>2.6170241905968155</v>
      </c>
      <c r="S157" s="2">
        <f t="shared" si="57"/>
        <v>137341076715774.7</v>
      </c>
      <c r="T157" s="2"/>
      <c r="U157" s="2"/>
      <c r="V157" s="2"/>
      <c r="W157" s="2"/>
      <c r="X157" s="2"/>
      <c r="Y157" s="2"/>
      <c r="Z157" s="2"/>
      <c r="AA157" s="2"/>
    </row>
    <row r="158" spans="5:27" x14ac:dyDescent="0.3">
      <c r="F158">
        <v>7</v>
      </c>
      <c r="G158" t="s">
        <v>4</v>
      </c>
      <c r="H158">
        <v>20.100000000000001</v>
      </c>
      <c r="I158">
        <v>3.07</v>
      </c>
      <c r="J158">
        <v>2.93</v>
      </c>
      <c r="K158">
        <v>13.7</v>
      </c>
      <c r="L158">
        <v>11.77</v>
      </c>
      <c r="M158">
        <f t="shared" si="52"/>
        <v>3720</v>
      </c>
      <c r="N158" s="1">
        <f t="shared" si="53"/>
        <v>1.9299999999999997</v>
      </c>
      <c r="O158">
        <f t="shared" si="54"/>
        <v>3</v>
      </c>
      <c r="P158" s="2">
        <f>FiberLength!D42*PureWaterPermeability!$C$2*PI()</f>
        <v>3.8924332977977537E-4</v>
      </c>
      <c r="Q158" s="2">
        <f t="shared" si="55"/>
        <v>4.8069961526901013</v>
      </c>
      <c r="R158" s="2">
        <f t="shared" si="56"/>
        <v>1.6023320508967005</v>
      </c>
      <c r="S158" s="2">
        <f t="shared" si="57"/>
        <v>224313630827426.44</v>
      </c>
      <c r="T158" s="2">
        <f>AVERAGE(R158:R161)</f>
        <v>1.6116888490148857</v>
      </c>
      <c r="U158" s="2">
        <f>AVERAGE(S158:S161)</f>
        <v>223116279310097.66</v>
      </c>
      <c r="V158" s="2">
        <f>_xlfn.STDEV.S(R158:R161)</f>
        <v>4.077138901924738E-2</v>
      </c>
      <c r="W158" s="2">
        <f>_xlfn.STDEV.S(S158:S161)</f>
        <v>5530402963460.6123</v>
      </c>
      <c r="X158" s="2">
        <f>_xlfn.CONFIDENCE.T(0.05,V158,4)</f>
        <v>6.4876378172794305E-2</v>
      </c>
      <c r="Y158" s="2">
        <f>_xlfn.CONFIDENCE.T(0.05,W158,4)</f>
        <v>8800105238897.6504</v>
      </c>
      <c r="Z158" s="2">
        <f>_xlfn.STDEV.S(Q158:Q161)</f>
        <v>0.12231416705774208</v>
      </c>
      <c r="AA158" s="2">
        <f>Z158/AVERAGE(Q158:Q161)</f>
        <v>2.529730787935159E-2</v>
      </c>
    </row>
    <row r="159" spans="5:27" x14ac:dyDescent="0.3">
      <c r="G159" t="s">
        <v>5</v>
      </c>
      <c r="H159">
        <v>20.100000000000001</v>
      </c>
      <c r="I159">
        <v>3.07</v>
      </c>
      <c r="J159">
        <v>2.93</v>
      </c>
      <c r="K159">
        <v>14.44</v>
      </c>
      <c r="L159">
        <v>12.56</v>
      </c>
      <c r="M159">
        <f t="shared" si="52"/>
        <v>3720</v>
      </c>
      <c r="N159" s="1">
        <f t="shared" si="53"/>
        <v>1.879999999999999</v>
      </c>
      <c r="O159">
        <f t="shared" si="54"/>
        <v>3</v>
      </c>
      <c r="P159" s="2">
        <f>FiberLength!D43*PureWaterPermeability!$C$2*PI()</f>
        <v>3.8484510006474965E-4</v>
      </c>
      <c r="Q159" s="2">
        <f t="shared" si="55"/>
        <v>4.7359764315889192</v>
      </c>
      <c r="R159" s="2">
        <f t="shared" si="56"/>
        <v>1.5786588105296397</v>
      </c>
      <c r="S159" s="2">
        <f t="shared" si="57"/>
        <v>227677391549354.75</v>
      </c>
      <c r="T159" s="2"/>
      <c r="U159" s="2"/>
      <c r="V159" s="2"/>
      <c r="W159" s="2"/>
      <c r="X159" s="2"/>
      <c r="Y159" s="2"/>
      <c r="Z159" s="2"/>
      <c r="AA159" s="2"/>
    </row>
    <row r="160" spans="5:27" x14ac:dyDescent="0.3">
      <c r="G160" t="s">
        <v>6</v>
      </c>
      <c r="H160">
        <v>20.100000000000001</v>
      </c>
      <c r="I160">
        <v>3.07</v>
      </c>
      <c r="J160">
        <v>2.93</v>
      </c>
      <c r="K160">
        <v>13.74</v>
      </c>
      <c r="L160">
        <v>11.75</v>
      </c>
      <c r="M160">
        <f t="shared" si="52"/>
        <v>3720</v>
      </c>
      <c r="N160" s="1">
        <f t="shared" si="53"/>
        <v>1.9900000000000002</v>
      </c>
      <c r="O160">
        <f t="shared" si="54"/>
        <v>3</v>
      </c>
      <c r="P160" s="2">
        <f>FiberLength!D44*PureWaterPermeability!$C$2*PI()</f>
        <v>3.8484510006474965E-4</v>
      </c>
      <c r="Q160" s="2">
        <f t="shared" si="55"/>
        <v>5.0130814355648701</v>
      </c>
      <c r="R160" s="2">
        <f t="shared" si="56"/>
        <v>1.6710271451882901</v>
      </c>
      <c r="S160" s="2">
        <f t="shared" si="57"/>
        <v>215092209101902.88</v>
      </c>
      <c r="T160" s="2"/>
      <c r="U160" s="2"/>
      <c r="V160" s="2"/>
      <c r="W160" s="2"/>
      <c r="X160" s="2"/>
      <c r="Y160" s="2"/>
      <c r="Z160" s="2"/>
      <c r="AA160" s="2"/>
    </row>
    <row r="161" spans="6:27" x14ac:dyDescent="0.3">
      <c r="G161" t="s">
        <v>7</v>
      </c>
      <c r="H161">
        <v>20.100000000000001</v>
      </c>
      <c r="I161">
        <v>3.07</v>
      </c>
      <c r="J161">
        <v>2.93</v>
      </c>
      <c r="K161">
        <v>13.63</v>
      </c>
      <c r="L161">
        <v>11.72</v>
      </c>
      <c r="M161">
        <f t="shared" si="52"/>
        <v>3720</v>
      </c>
      <c r="N161" s="1">
        <f t="shared" si="53"/>
        <v>1.9100000000000001</v>
      </c>
      <c r="O161">
        <f t="shared" si="54"/>
        <v>3</v>
      </c>
      <c r="P161" s="2">
        <f>FiberLength!D45*PureWaterPermeability!$C$2*PI()</f>
        <v>3.8704421492226246E-4</v>
      </c>
      <c r="Q161" s="2">
        <f t="shared" si="55"/>
        <v>4.7842121683347356</v>
      </c>
      <c r="R161" s="2">
        <f t="shared" si="56"/>
        <v>1.5947373894449119</v>
      </c>
      <c r="S161" s="2">
        <f t="shared" si="57"/>
        <v>225381885761706.66</v>
      </c>
      <c r="T161" s="2"/>
      <c r="U161" s="2"/>
      <c r="V161" s="2"/>
      <c r="W161" s="2"/>
      <c r="X161" s="2"/>
      <c r="Y161" s="2"/>
      <c r="Z161" s="2"/>
      <c r="AA161" s="2"/>
    </row>
    <row r="162" spans="6:27" x14ac:dyDescent="0.3">
      <c r="F162">
        <v>9</v>
      </c>
      <c r="G162" t="s">
        <v>4</v>
      </c>
      <c r="H162">
        <v>20.100000000000001</v>
      </c>
      <c r="I162">
        <v>3.07</v>
      </c>
      <c r="J162">
        <v>2.93</v>
      </c>
      <c r="K162">
        <v>13.1</v>
      </c>
      <c r="L162">
        <v>11.72</v>
      </c>
      <c r="M162">
        <f t="shared" si="52"/>
        <v>3720</v>
      </c>
      <c r="N162" s="1">
        <f t="shared" si="53"/>
        <v>1.379999999999999</v>
      </c>
      <c r="O162">
        <f t="shared" si="54"/>
        <v>3</v>
      </c>
      <c r="P162" s="2">
        <f>FiberLength!D46*PureWaterPermeability!$C$2*PI()</f>
        <v>3.8924332977977537E-4</v>
      </c>
      <c r="Q162" s="2">
        <f t="shared" si="55"/>
        <v>3.437126782752506</v>
      </c>
      <c r="R162" s="2">
        <f t="shared" si="56"/>
        <v>1.1457089275841688</v>
      </c>
      <c r="S162" s="2">
        <f t="shared" si="57"/>
        <v>313713990939806.63</v>
      </c>
      <c r="T162" s="2">
        <f>AVERAGE(R162:R165)</f>
        <v>1.1811501688674364</v>
      </c>
      <c r="U162" s="2">
        <f>AVERAGE(S162:S165)</f>
        <v>304703020186374.19</v>
      </c>
      <c r="V162" s="2">
        <f>_xlfn.STDEV.S(R162:R165)</f>
        <v>5.0524708792805399E-2</v>
      </c>
      <c r="W162" s="2">
        <f>_xlfn.STDEV.S(S162:S165)</f>
        <v>12538988107675.102</v>
      </c>
      <c r="X162" s="2">
        <f>_xlfn.CONFIDENCE.T(0.05,V162,4)</f>
        <v>8.0396086411599441E-2</v>
      </c>
      <c r="Y162" s="2">
        <f>_xlfn.CONFIDENCE.T(0.05,W162,4)</f>
        <v>19952328187633.496</v>
      </c>
      <c r="Z162" s="2">
        <f>_xlfn.STDEV.S(Q162:Q165)</f>
        <v>0.15157412637841619</v>
      </c>
      <c r="AA162" s="2">
        <f>Z162/AVERAGE(Q162:Q165)</f>
        <v>4.2775855369221821E-2</v>
      </c>
    </row>
    <row r="163" spans="6:27" x14ac:dyDescent="0.3">
      <c r="G163" t="s">
        <v>5</v>
      </c>
      <c r="H163">
        <v>20.100000000000001</v>
      </c>
      <c r="I163">
        <v>3.07</v>
      </c>
      <c r="J163">
        <v>2.93</v>
      </c>
      <c r="K163">
        <v>13.1</v>
      </c>
      <c r="L163">
        <v>11.72</v>
      </c>
      <c r="M163">
        <f t="shared" si="52"/>
        <v>3720</v>
      </c>
      <c r="N163" s="1">
        <f t="shared" si="53"/>
        <v>1.379999999999999</v>
      </c>
      <c r="O163">
        <f t="shared" si="54"/>
        <v>3</v>
      </c>
      <c r="P163" s="2">
        <f>FiberLength!D47*PureWaterPermeability!$C$2*PI()</f>
        <v>3.8484510006474965E-4</v>
      </c>
      <c r="Q163" s="2">
        <f t="shared" si="55"/>
        <v>3.4764082316982488</v>
      </c>
      <c r="R163" s="2">
        <f t="shared" si="56"/>
        <v>1.1588027438994162</v>
      </c>
      <c r="S163" s="2">
        <f t="shared" si="57"/>
        <v>310169200081729.75</v>
      </c>
      <c r="T163" s="2"/>
      <c r="U163" s="2"/>
      <c r="V163" s="2"/>
      <c r="W163" s="2"/>
      <c r="X163" s="2"/>
      <c r="Y163" s="2"/>
      <c r="Z163" s="2"/>
      <c r="AA163" s="2"/>
    </row>
    <row r="164" spans="6:27" x14ac:dyDescent="0.3">
      <c r="G164" t="s">
        <v>6</v>
      </c>
      <c r="H164">
        <v>20.100000000000001</v>
      </c>
      <c r="I164">
        <v>3.07</v>
      </c>
      <c r="J164">
        <v>2.93</v>
      </c>
      <c r="K164">
        <v>13.31</v>
      </c>
      <c r="L164">
        <v>11.78</v>
      </c>
      <c r="M164">
        <f t="shared" si="52"/>
        <v>3720</v>
      </c>
      <c r="N164" s="1">
        <f t="shared" si="53"/>
        <v>1.5300000000000011</v>
      </c>
      <c r="O164">
        <f t="shared" si="54"/>
        <v>3</v>
      </c>
      <c r="P164" s="2">
        <f>FiberLength!D48*PureWaterPermeability!$C$2*PI()</f>
        <v>3.9364155949480104E-4</v>
      </c>
      <c r="Q164" s="2">
        <f t="shared" si="55"/>
        <v>3.7681495588908085</v>
      </c>
      <c r="R164" s="2">
        <f t="shared" si="56"/>
        <v>1.2560498529636028</v>
      </c>
      <c r="S164" s="2">
        <f t="shared" si="57"/>
        <v>286154979660835.69</v>
      </c>
      <c r="T164" s="2"/>
      <c r="U164" s="2"/>
      <c r="V164" s="2"/>
      <c r="W164" s="2"/>
      <c r="X164" s="2"/>
      <c r="Y164" s="2"/>
      <c r="Z164" s="2"/>
      <c r="AA164" s="2"/>
    </row>
    <row r="165" spans="6:27" x14ac:dyDescent="0.3">
      <c r="G165" t="s">
        <v>7</v>
      </c>
      <c r="H165">
        <v>20.100000000000001</v>
      </c>
      <c r="I165">
        <v>3.07</v>
      </c>
      <c r="J165">
        <v>2.93</v>
      </c>
      <c r="K165">
        <v>13.21</v>
      </c>
      <c r="L165">
        <v>11.8</v>
      </c>
      <c r="M165">
        <f t="shared" si="52"/>
        <v>3720</v>
      </c>
      <c r="N165" s="1">
        <f t="shared" si="53"/>
        <v>1.4100000000000001</v>
      </c>
      <c r="O165">
        <f t="shared" si="54"/>
        <v>3</v>
      </c>
      <c r="P165" s="2">
        <f>FiberLength!D49*PureWaterPermeability!$C$2*PI()</f>
        <v>3.9144244463728818E-4</v>
      </c>
      <c r="Q165" s="2">
        <f t="shared" si="55"/>
        <v>3.4921174530676744</v>
      </c>
      <c r="R165" s="2">
        <f t="shared" si="56"/>
        <v>1.1640391510225581</v>
      </c>
      <c r="S165" s="2">
        <f t="shared" si="57"/>
        <v>308773910063124.75</v>
      </c>
      <c r="T165" s="2"/>
      <c r="U165" s="2"/>
      <c r="V165" s="2"/>
      <c r="W165" s="2"/>
      <c r="X165" s="2"/>
      <c r="Y165" s="2"/>
      <c r="Z165" s="2"/>
      <c r="AA165" s="2"/>
    </row>
    <row r="166" spans="6:27" x14ac:dyDescent="0.3">
      <c r="F166">
        <v>10</v>
      </c>
      <c r="G166" t="s">
        <v>4</v>
      </c>
      <c r="H166">
        <v>19.8</v>
      </c>
      <c r="I166">
        <v>3.09</v>
      </c>
      <c r="J166">
        <v>2.89</v>
      </c>
      <c r="K166">
        <v>17.62</v>
      </c>
      <c r="L166">
        <v>12.35</v>
      </c>
      <c r="M166">
        <f>277*60</f>
        <v>16620</v>
      </c>
      <c r="N166" s="1">
        <f t="shared" si="53"/>
        <v>5.2700000000000014</v>
      </c>
      <c r="O166">
        <f t="shared" si="54"/>
        <v>2.99</v>
      </c>
      <c r="P166" s="2">
        <f>FiberLength!D50*PureWaterPermeability!$C$2*PI()</f>
        <v>3.9364155949480104E-4</v>
      </c>
      <c r="Q166" s="2">
        <f t="shared" si="55"/>
        <v>2.9050876262286924</v>
      </c>
      <c r="R166" s="2">
        <f t="shared" si="56"/>
        <v>0.97160121278551581</v>
      </c>
      <c r="S166" s="2">
        <f t="shared" si="57"/>
        <v>369930497613674.44</v>
      </c>
      <c r="T166" s="2">
        <f>AVERAGE(R166:R169)</f>
        <v>1.0035616225515827</v>
      </c>
      <c r="U166" s="2">
        <f>AVERAGE(S166:S169)</f>
        <v>358774701754984.13</v>
      </c>
      <c r="V166" s="2">
        <f>_xlfn.STDEV.S(R166:R169)</f>
        <v>4.8999841776759631E-2</v>
      </c>
      <c r="W166" s="2">
        <f>_xlfn.STDEV.S(S166:S169)</f>
        <v>17084049796525.014</v>
      </c>
      <c r="X166" s="2">
        <f>_xlfn.CONFIDENCE.T(0.05,V166,4)</f>
        <v>7.7969682710967506E-2</v>
      </c>
      <c r="Y166" s="2">
        <f>_xlfn.CONFIDENCE.T(0.05,W166,4)</f>
        <v>27184535577116.965</v>
      </c>
      <c r="Z166" s="2">
        <f>_xlfn.STDEV.S(Q166:Q169)</f>
        <v>0.14650952691251129</v>
      </c>
      <c r="AA166" s="2">
        <f>Z166/AVERAGE(Q166:Q169)</f>
        <v>4.8825942199918128E-2</v>
      </c>
    </row>
    <row r="167" spans="6:27" x14ac:dyDescent="0.3">
      <c r="G167" t="s">
        <v>5</v>
      </c>
      <c r="H167">
        <v>19.8</v>
      </c>
      <c r="I167">
        <v>3.09</v>
      </c>
      <c r="J167">
        <v>2.89</v>
      </c>
      <c r="K167">
        <v>16.89</v>
      </c>
      <c r="L167">
        <v>11.7</v>
      </c>
      <c r="M167">
        <f t="shared" ref="M167:M181" si="58">277*60</f>
        <v>16620</v>
      </c>
      <c r="N167" s="1">
        <f t="shared" si="53"/>
        <v>5.1900000000000013</v>
      </c>
      <c r="O167">
        <f t="shared" si="54"/>
        <v>2.99</v>
      </c>
      <c r="P167" s="2">
        <f>FiberLength!D51*PureWaterPermeability!$C$2*PI()</f>
        <v>3.9144244463728818E-4</v>
      </c>
      <c r="Q167" s="2">
        <f t="shared" si="55"/>
        <v>2.877060588494039</v>
      </c>
      <c r="R167" s="2">
        <f t="shared" si="56"/>
        <v>0.96222762156991259</v>
      </c>
      <c r="S167" s="2">
        <f t="shared" si="57"/>
        <v>373534195101757.19</v>
      </c>
      <c r="T167" s="2"/>
      <c r="U167" s="2"/>
      <c r="V167" s="2"/>
      <c r="W167" s="2"/>
      <c r="X167" s="2"/>
      <c r="Y167" s="2"/>
      <c r="Z167" s="2"/>
      <c r="AA167" s="2"/>
    </row>
    <row r="168" spans="6:27" x14ac:dyDescent="0.3">
      <c r="G168" t="s">
        <v>6</v>
      </c>
      <c r="H168">
        <v>19.8</v>
      </c>
      <c r="I168">
        <v>3.09</v>
      </c>
      <c r="J168">
        <v>2.89</v>
      </c>
      <c r="K168">
        <v>17.29</v>
      </c>
      <c r="L168">
        <v>11.81</v>
      </c>
      <c r="M168">
        <f t="shared" si="58"/>
        <v>16620</v>
      </c>
      <c r="N168" s="1">
        <f t="shared" si="53"/>
        <v>5.4799999999999986</v>
      </c>
      <c r="O168">
        <f t="shared" si="54"/>
        <v>2.99</v>
      </c>
      <c r="P168" s="2">
        <f>FiberLength!D52*PureWaterPermeability!$C$2*PI()</f>
        <v>3.9364155949480104E-4</v>
      </c>
      <c r="Q168" s="2">
        <f t="shared" si="55"/>
        <v>3.0208501312586771</v>
      </c>
      <c r="R168" s="2">
        <f t="shared" si="56"/>
        <v>1.0103177696517314</v>
      </c>
      <c r="S168" s="2">
        <f t="shared" si="57"/>
        <v>355754328909501</v>
      </c>
      <c r="T168" s="2"/>
      <c r="U168" s="2"/>
      <c r="V168" s="2"/>
      <c r="W168" s="2"/>
      <c r="X168" s="2"/>
      <c r="Y168" s="2"/>
      <c r="Z168" s="2"/>
      <c r="AA168" s="2"/>
    </row>
    <row r="169" spans="6:27" x14ac:dyDescent="0.3">
      <c r="G169" t="s">
        <v>7</v>
      </c>
      <c r="H169">
        <v>19.8</v>
      </c>
      <c r="I169">
        <v>3.09</v>
      </c>
      <c r="J169">
        <v>2.89</v>
      </c>
      <c r="K169">
        <v>17.739999999999998</v>
      </c>
      <c r="L169">
        <v>12.26</v>
      </c>
      <c r="M169">
        <f t="shared" si="58"/>
        <v>16620</v>
      </c>
      <c r="N169" s="1">
        <f t="shared" si="53"/>
        <v>5.4799999999999986</v>
      </c>
      <c r="O169">
        <f t="shared" si="54"/>
        <v>2.99</v>
      </c>
      <c r="P169" s="2">
        <f>FiberLength!D53*PureWaterPermeability!$C$2*PI()</f>
        <v>3.7165041091967254E-4</v>
      </c>
      <c r="Q169" s="2">
        <f t="shared" si="55"/>
        <v>3.1995986597355217</v>
      </c>
      <c r="R169" s="2">
        <f t="shared" si="56"/>
        <v>1.0700998861991711</v>
      </c>
      <c r="S169" s="2">
        <f t="shared" si="57"/>
        <v>335879785395003.75</v>
      </c>
      <c r="T169" s="2"/>
      <c r="U169" s="2"/>
      <c r="V169" s="2"/>
      <c r="W169" s="2"/>
      <c r="X169" s="2"/>
      <c r="Y169" s="2"/>
      <c r="Z169" s="2"/>
      <c r="AA169" s="2"/>
    </row>
    <row r="170" spans="6:27" x14ac:dyDescent="0.3">
      <c r="F170">
        <v>11</v>
      </c>
      <c r="G170" t="s">
        <v>4</v>
      </c>
      <c r="H170">
        <v>19.8</v>
      </c>
      <c r="I170">
        <v>3.09</v>
      </c>
      <c r="J170">
        <v>2.89</v>
      </c>
      <c r="K170">
        <v>16.38</v>
      </c>
      <c r="L170">
        <v>11.78</v>
      </c>
      <c r="M170">
        <f t="shared" si="58"/>
        <v>16620</v>
      </c>
      <c r="N170" s="1">
        <f t="shared" si="53"/>
        <v>4.5999999999999996</v>
      </c>
      <c r="O170">
        <f t="shared" si="54"/>
        <v>2.99</v>
      </c>
      <c r="P170" s="2">
        <f>FiberLength!D54*PureWaterPermeability!$C$2*PI()</f>
        <v>3.9364155949480104E-4</v>
      </c>
      <c r="Q170" s="2">
        <f t="shared" si="55"/>
        <v>2.5357501101806412</v>
      </c>
      <c r="R170" s="2">
        <f t="shared" si="56"/>
        <v>0.84807695992663579</v>
      </c>
      <c r="S170" s="2">
        <f t="shared" si="57"/>
        <v>423811678787840.25</v>
      </c>
      <c r="T170" s="2">
        <f>AVERAGE(R170:R173)</f>
        <v>0.80152490940892385</v>
      </c>
      <c r="U170" s="2">
        <f>AVERAGE(S170:S173)</f>
        <v>449470150664371.38</v>
      </c>
      <c r="V170" s="2">
        <f>_xlfn.STDEV.S(R170:R173)</f>
        <v>4.4308266523682485E-2</v>
      </c>
      <c r="W170" s="2">
        <f>_xlfn.STDEV.S(S170:S173)</f>
        <v>25191470315200.574</v>
      </c>
      <c r="X170" s="2">
        <f>_xlfn.CONFIDENCE.T(0.05,V170,4)</f>
        <v>7.0504339545909595E-2</v>
      </c>
      <c r="Y170" s="2">
        <f>_xlfn.CONFIDENCE.T(0.05,W170,4)</f>
        <v>40085250814637.148</v>
      </c>
      <c r="Z170" s="2">
        <f>_xlfn.STDEV.S(Q170:Q173)</f>
        <v>0.13248171690581073</v>
      </c>
      <c r="AA170" s="2">
        <f>Z170/AVERAGE(Q170:Q173)</f>
        <v>5.5279961986904672E-2</v>
      </c>
    </row>
    <row r="171" spans="6:27" x14ac:dyDescent="0.3">
      <c r="G171" t="s">
        <v>5</v>
      </c>
      <c r="H171">
        <v>19.8</v>
      </c>
      <c r="I171">
        <v>3.09</v>
      </c>
      <c r="J171">
        <v>2.89</v>
      </c>
      <c r="K171">
        <v>16.010000000000002</v>
      </c>
      <c r="L171">
        <v>11.74</v>
      </c>
      <c r="M171">
        <f t="shared" si="58"/>
        <v>16620</v>
      </c>
      <c r="N171" s="1">
        <f t="shared" si="53"/>
        <v>4.2700000000000014</v>
      </c>
      <c r="O171">
        <f t="shared" si="54"/>
        <v>2.99</v>
      </c>
      <c r="P171" s="2">
        <f>FiberLength!D55*PureWaterPermeability!$C$2*PI()</f>
        <v>3.9364155949480104E-4</v>
      </c>
      <c r="Q171" s="2">
        <f t="shared" si="55"/>
        <v>2.3538376022763794</v>
      </c>
      <c r="R171" s="2">
        <f t="shared" si="56"/>
        <v>0.7872366562797255</v>
      </c>
      <c r="S171" s="2">
        <f t="shared" si="57"/>
        <v>456565274572380.38</v>
      </c>
      <c r="T171" s="2"/>
      <c r="U171" s="2"/>
      <c r="V171" s="2"/>
      <c r="W171" s="2"/>
      <c r="X171" s="2"/>
      <c r="Y171" s="2"/>
      <c r="Z171" s="2"/>
      <c r="AA171" s="2"/>
    </row>
    <row r="172" spans="6:27" x14ac:dyDescent="0.3">
      <c r="G172" t="s">
        <v>6</v>
      </c>
      <c r="H172">
        <v>19.8</v>
      </c>
      <c r="I172">
        <v>3.09</v>
      </c>
      <c r="J172">
        <v>2.89</v>
      </c>
      <c r="K172">
        <v>16.27</v>
      </c>
      <c r="L172">
        <v>11.8</v>
      </c>
      <c r="M172">
        <f t="shared" si="58"/>
        <v>16620</v>
      </c>
      <c r="N172" s="1">
        <f t="shared" si="53"/>
        <v>4.4699999999999989</v>
      </c>
      <c r="O172">
        <f t="shared" si="54"/>
        <v>2.99</v>
      </c>
      <c r="P172" s="2">
        <f>FiberLength!D56*PureWaterPermeability!$C$2*PI()</f>
        <v>3.9364155949480104E-4</v>
      </c>
      <c r="Q172" s="2">
        <f t="shared" si="55"/>
        <v>2.4640876070668409</v>
      </c>
      <c r="R172" s="2">
        <f t="shared" si="56"/>
        <v>0.82410956758088316</v>
      </c>
      <c r="S172" s="2">
        <f t="shared" si="57"/>
        <v>436137298081446.31</v>
      </c>
      <c r="T172" s="2"/>
      <c r="U172" s="2"/>
      <c r="V172" s="2"/>
      <c r="W172" s="2"/>
      <c r="X172" s="2"/>
      <c r="Y172" s="2"/>
      <c r="Z172" s="2"/>
      <c r="AA172" s="2"/>
    </row>
    <row r="173" spans="6:27" x14ac:dyDescent="0.3">
      <c r="G173" t="s">
        <v>7</v>
      </c>
      <c r="H173">
        <v>19.8</v>
      </c>
      <c r="I173">
        <v>3.09</v>
      </c>
      <c r="J173">
        <v>2.89</v>
      </c>
      <c r="K173">
        <v>15.86</v>
      </c>
      <c r="L173">
        <v>11.81</v>
      </c>
      <c r="M173">
        <f t="shared" si="58"/>
        <v>16620</v>
      </c>
      <c r="N173" s="1">
        <f t="shared" si="53"/>
        <v>4.0499999999999989</v>
      </c>
      <c r="O173">
        <f t="shared" si="54"/>
        <v>2.99</v>
      </c>
      <c r="P173" s="2">
        <f>FiberLength!D57*PureWaterPermeability!$C$2*PI()</f>
        <v>3.9364155949480104E-4</v>
      </c>
      <c r="Q173" s="2">
        <f t="shared" si="55"/>
        <v>2.232562597006869</v>
      </c>
      <c r="R173" s="2">
        <f t="shared" si="56"/>
        <v>0.74667645384845116</v>
      </c>
      <c r="S173" s="2">
        <f t="shared" si="57"/>
        <v>481366351215818.63</v>
      </c>
      <c r="T173" s="2"/>
      <c r="U173" s="2"/>
      <c r="V173" s="2"/>
      <c r="W173" s="2"/>
      <c r="X173" s="2"/>
      <c r="Y173" s="2"/>
      <c r="Z173" s="2"/>
      <c r="AA173" s="2"/>
    </row>
    <row r="174" spans="6:27" x14ac:dyDescent="0.3">
      <c r="F174">
        <v>12</v>
      </c>
      <c r="G174" t="s">
        <v>4</v>
      </c>
      <c r="H174">
        <v>19.8</v>
      </c>
      <c r="I174">
        <v>3.09</v>
      </c>
      <c r="J174">
        <v>2.89</v>
      </c>
      <c r="K174">
        <v>15.8</v>
      </c>
      <c r="L174">
        <v>11.77</v>
      </c>
      <c r="M174">
        <f t="shared" si="58"/>
        <v>16620</v>
      </c>
      <c r="N174" s="1">
        <f t="shared" si="53"/>
        <v>4.0300000000000011</v>
      </c>
      <c r="O174">
        <f t="shared" si="54"/>
        <v>2.99</v>
      </c>
      <c r="P174" s="2">
        <f>FiberLength!D58*PureWaterPermeability!$C$2*PI()</f>
        <v>3.9584067435231396E-4</v>
      </c>
      <c r="Q174" s="2">
        <f t="shared" si="55"/>
        <v>2.2091957209915578</v>
      </c>
      <c r="R174" s="2">
        <f t="shared" si="56"/>
        <v>0.73886144514767815</v>
      </c>
      <c r="S174" s="2">
        <f t="shared" si="57"/>
        <v>486457809496280.19</v>
      </c>
      <c r="T174" s="2">
        <f>AVERAGE(R174:R177)</f>
        <v>0.71724668609625042</v>
      </c>
      <c r="U174" s="2">
        <f>AVERAGE(S174:S177)</f>
        <v>501634166768931.25</v>
      </c>
      <c r="V174" s="2">
        <f>_xlfn.STDEV.S(R174:R177)</f>
        <v>2.6333793325078902E-2</v>
      </c>
      <c r="W174" s="2">
        <f>_xlfn.STDEV.S(S174:S177)</f>
        <v>18764271056580.945</v>
      </c>
      <c r="X174" s="2">
        <f>_xlfn.CONFIDENCE.T(0.05,V174,4)</f>
        <v>4.1902941635751076E-2</v>
      </c>
      <c r="Y174" s="2">
        <f>_xlfn.CONFIDENCE.T(0.05,W174,4)</f>
        <v>29858142547679.035</v>
      </c>
      <c r="Z174" s="2">
        <f>_xlfn.STDEV.S(Q174:Q177)</f>
        <v>7.8738042041985937E-2</v>
      </c>
      <c r="AA174" s="2">
        <f>Z174/AVERAGE(Q174:Q177)</f>
        <v>3.6715113273517543E-2</v>
      </c>
    </row>
    <row r="175" spans="6:27" x14ac:dyDescent="0.3">
      <c r="G175" t="s">
        <v>5</v>
      </c>
      <c r="H175">
        <v>19.8</v>
      </c>
      <c r="I175">
        <v>3.09</v>
      </c>
      <c r="J175">
        <v>2.89</v>
      </c>
      <c r="K175">
        <v>16.04</v>
      </c>
      <c r="L175">
        <v>12.34</v>
      </c>
      <c r="M175">
        <f t="shared" si="58"/>
        <v>16620</v>
      </c>
      <c r="N175" s="1">
        <f t="shared" si="53"/>
        <v>3.6999999999999993</v>
      </c>
      <c r="O175">
        <f t="shared" si="54"/>
        <v>2.99</v>
      </c>
      <c r="P175" s="2">
        <f>FiberLength!D59*PureWaterPermeability!$C$2*PI()</f>
        <v>3.9364155949480104E-4</v>
      </c>
      <c r="Q175" s="2">
        <f t="shared" si="55"/>
        <v>2.0396250886235592</v>
      </c>
      <c r="R175" s="2">
        <f t="shared" si="56"/>
        <v>0.68214885907142442</v>
      </c>
      <c r="S175" s="2">
        <f t="shared" si="57"/>
        <v>526901006060558.19</v>
      </c>
      <c r="T175" s="2"/>
      <c r="U175" s="2"/>
      <c r="V175" s="2"/>
      <c r="W175" s="2"/>
      <c r="X175" s="2"/>
      <c r="Y175" s="2"/>
      <c r="Z175" s="2"/>
      <c r="AA175" s="2"/>
    </row>
    <row r="176" spans="6:27" x14ac:dyDescent="0.3">
      <c r="G176" t="s">
        <v>6</v>
      </c>
      <c r="H176">
        <v>19.8</v>
      </c>
      <c r="I176">
        <v>3.09</v>
      </c>
      <c r="J176">
        <v>2.89</v>
      </c>
      <c r="K176">
        <v>15.76</v>
      </c>
      <c r="L176">
        <v>11.79</v>
      </c>
      <c r="M176">
        <f t="shared" si="58"/>
        <v>16620</v>
      </c>
      <c r="N176" s="1">
        <f t="shared" si="53"/>
        <v>3.9700000000000006</v>
      </c>
      <c r="O176">
        <f t="shared" si="54"/>
        <v>2.99</v>
      </c>
      <c r="P176" s="2">
        <f>FiberLength!D60*PureWaterPermeability!$C$2*PI()</f>
        <v>3.9144244463728818E-4</v>
      </c>
      <c r="Q176" s="2">
        <f t="shared" si="55"/>
        <v>2.2007573287709694</v>
      </c>
      <c r="R176" s="2">
        <f t="shared" si="56"/>
        <v>0.73603924039162849</v>
      </c>
      <c r="S176" s="2">
        <f t="shared" si="57"/>
        <v>488323040951667.56</v>
      </c>
      <c r="T176" s="2"/>
      <c r="U176" s="2"/>
      <c r="V176" s="2"/>
      <c r="W176" s="2"/>
      <c r="X176" s="2"/>
      <c r="Y176" s="2"/>
      <c r="Z176" s="2"/>
      <c r="AA176" s="2"/>
    </row>
    <row r="177" spans="5:27" x14ac:dyDescent="0.3">
      <c r="G177" t="s">
        <v>7</v>
      </c>
      <c r="H177">
        <v>19.8</v>
      </c>
      <c r="I177">
        <v>3.09</v>
      </c>
      <c r="J177">
        <v>2.89</v>
      </c>
      <c r="K177">
        <v>15.56</v>
      </c>
      <c r="L177">
        <v>11.72</v>
      </c>
      <c r="M177">
        <f t="shared" si="58"/>
        <v>16620</v>
      </c>
      <c r="N177" s="1">
        <f t="shared" si="53"/>
        <v>3.84</v>
      </c>
      <c r="O177">
        <f t="shared" si="54"/>
        <v>2.99</v>
      </c>
      <c r="P177" s="2">
        <f>FiberLength!D61*PureWaterPermeability!$C$2*PI()</f>
        <v>3.9144244463728818E-4</v>
      </c>
      <c r="Q177" s="2">
        <f t="shared" si="55"/>
        <v>2.1286922273250681</v>
      </c>
      <c r="R177" s="2">
        <f t="shared" si="56"/>
        <v>0.71193719977427028</v>
      </c>
      <c r="S177" s="2">
        <f t="shared" si="57"/>
        <v>504854810567218.88</v>
      </c>
      <c r="T177" s="2"/>
      <c r="U177" s="2"/>
      <c r="V177" s="2"/>
      <c r="W177" s="2"/>
      <c r="X177" s="2"/>
      <c r="Y177" s="2"/>
      <c r="Z177" s="2"/>
      <c r="AA177" s="2"/>
    </row>
    <row r="178" spans="5:27" x14ac:dyDescent="0.3">
      <c r="F178">
        <v>14</v>
      </c>
      <c r="G178" t="s">
        <v>4</v>
      </c>
      <c r="H178">
        <v>19.8</v>
      </c>
      <c r="I178">
        <v>3.09</v>
      </c>
      <c r="J178">
        <v>2.89</v>
      </c>
      <c r="K178">
        <v>14.96</v>
      </c>
      <c r="L178">
        <v>11.79</v>
      </c>
      <c r="M178">
        <f t="shared" si="58"/>
        <v>16620</v>
      </c>
      <c r="N178" s="1">
        <f t="shared" si="53"/>
        <v>3.1700000000000017</v>
      </c>
      <c r="O178">
        <f t="shared" si="54"/>
        <v>2.99</v>
      </c>
      <c r="P178" s="2">
        <f>FiberLength!D62*PureWaterPermeability!$C$2*PI()</f>
        <v>3.9144244463728818E-4</v>
      </c>
      <c r="Q178" s="2">
        <f t="shared" si="55"/>
        <v>1.7572797814115808</v>
      </c>
      <c r="R178" s="2">
        <f t="shared" si="56"/>
        <v>0.58771899043865572</v>
      </c>
      <c r="S178" s="2">
        <f t="shared" si="57"/>
        <v>611559139614548.63</v>
      </c>
      <c r="T178" s="2">
        <f>AVERAGE(R178:R181)</f>
        <v>0.60919999311942208</v>
      </c>
      <c r="U178" s="2">
        <f>AVERAGE(S178:S181)</f>
        <v>590307528679069.5</v>
      </c>
      <c r="V178" s="2">
        <f>_xlfn.STDEV.S(R178:R181)</f>
        <v>1.6081807303372782E-2</v>
      </c>
      <c r="W178" s="2">
        <f>_xlfn.STDEV.S(S178:S181)</f>
        <v>15789654440440.557</v>
      </c>
      <c r="X178" s="2">
        <f>_xlfn.CONFIDENCE.T(0.05,V178,4)</f>
        <v>2.558974411745164E-2</v>
      </c>
      <c r="Y178" s="2">
        <f>_xlfn.CONFIDENCE.T(0.05,W178,4)</f>
        <v>25124863717843.281</v>
      </c>
      <c r="Z178" s="2">
        <f>_xlfn.STDEV.S(Q178:Q181)</f>
        <v>4.8084603837084627E-2</v>
      </c>
      <c r="AA178" s="2">
        <f>Z178/AVERAGE(Q178:Q181)</f>
        <v>2.6398239469809466E-2</v>
      </c>
    </row>
    <row r="179" spans="5:27" x14ac:dyDescent="0.3">
      <c r="G179" t="s">
        <v>5</v>
      </c>
      <c r="H179">
        <v>19.8</v>
      </c>
      <c r="I179">
        <v>3.09</v>
      </c>
      <c r="J179">
        <v>2.89</v>
      </c>
      <c r="K179">
        <v>15.11</v>
      </c>
      <c r="L179">
        <v>11.71</v>
      </c>
      <c r="M179">
        <f t="shared" si="58"/>
        <v>16620</v>
      </c>
      <c r="N179" s="1">
        <f t="shared" si="53"/>
        <v>3.3999999999999986</v>
      </c>
      <c r="O179">
        <f t="shared" si="54"/>
        <v>2.99</v>
      </c>
      <c r="P179" s="2">
        <f>FiberLength!D63*PureWaterPermeability!$C$2*PI()</f>
        <v>3.9584067435231396E-4</v>
      </c>
      <c r="Q179" s="2">
        <f t="shared" si="55"/>
        <v>1.863837580985432</v>
      </c>
      <c r="R179" s="2">
        <f t="shared" si="56"/>
        <v>0.6233570504967999</v>
      </c>
      <c r="S179" s="2">
        <f t="shared" si="57"/>
        <v>576595580079414.88</v>
      </c>
      <c r="T179" s="2"/>
      <c r="U179" s="2"/>
      <c r="V179" s="2"/>
      <c r="W179" s="2"/>
      <c r="X179" s="2"/>
      <c r="Y179" s="2"/>
      <c r="Z179" s="2"/>
      <c r="AA179" s="2"/>
    </row>
    <row r="180" spans="5:27" x14ac:dyDescent="0.3">
      <c r="G180" t="s">
        <v>6</v>
      </c>
      <c r="H180">
        <v>19.8</v>
      </c>
      <c r="I180">
        <v>3.09</v>
      </c>
      <c r="J180">
        <v>2.89</v>
      </c>
      <c r="K180">
        <v>15.16</v>
      </c>
      <c r="L180">
        <v>11.8</v>
      </c>
      <c r="M180">
        <f t="shared" si="58"/>
        <v>16620</v>
      </c>
      <c r="N180" s="1">
        <f t="shared" si="53"/>
        <v>3.3599999999999994</v>
      </c>
      <c r="O180">
        <f t="shared" si="54"/>
        <v>2.99</v>
      </c>
      <c r="P180" s="2">
        <f>FiberLength!D64*PureWaterPermeability!$C$2*PI()</f>
        <v>3.9364155949480104E-4</v>
      </c>
      <c r="Q180" s="2">
        <f t="shared" si="55"/>
        <v>1.8522000804797727</v>
      </c>
      <c r="R180" s="2">
        <f t="shared" si="56"/>
        <v>0.61946490985945568</v>
      </c>
      <c r="S180" s="2">
        <f t="shared" si="57"/>
        <v>580218369769067.13</v>
      </c>
      <c r="T180" s="2"/>
      <c r="U180" s="2"/>
      <c r="V180" s="2"/>
      <c r="W180" s="2"/>
      <c r="X180" s="2"/>
      <c r="Y180" s="2"/>
      <c r="Z180" s="2"/>
      <c r="AA180" s="2"/>
    </row>
    <row r="181" spans="5:27" x14ac:dyDescent="0.3">
      <c r="G181" t="s">
        <v>7</v>
      </c>
      <c r="H181">
        <v>19.8</v>
      </c>
      <c r="I181">
        <v>3.09</v>
      </c>
      <c r="J181">
        <v>2.89</v>
      </c>
      <c r="K181">
        <v>14.97</v>
      </c>
      <c r="L181">
        <v>11.7</v>
      </c>
      <c r="M181">
        <f t="shared" si="58"/>
        <v>16620</v>
      </c>
      <c r="N181" s="1">
        <f t="shared" si="53"/>
        <v>3.2700000000000014</v>
      </c>
      <c r="O181">
        <f t="shared" si="54"/>
        <v>2.99</v>
      </c>
      <c r="P181" s="2">
        <f>FiberLength!D65*PureWaterPermeability!$C$2*PI()</f>
        <v>3.9144244463728818E-4</v>
      </c>
      <c r="Q181" s="2">
        <f t="shared" si="55"/>
        <v>1.8127144748315041</v>
      </c>
      <c r="R181" s="2">
        <f t="shared" si="56"/>
        <v>0.60625902168277723</v>
      </c>
      <c r="S181" s="2">
        <f t="shared" si="57"/>
        <v>592857025253247.63</v>
      </c>
      <c r="T181" s="2"/>
      <c r="U181" s="2"/>
      <c r="V181" s="2"/>
      <c r="W181" s="2"/>
      <c r="X181" s="2"/>
      <c r="Y181" s="2"/>
      <c r="Z181" s="2"/>
      <c r="AA181" s="2"/>
    </row>
    <row r="182" spans="5:27" x14ac:dyDescent="0.3"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5:27" x14ac:dyDescent="0.3">
      <c r="E183" t="s">
        <v>8</v>
      </c>
      <c r="F183">
        <v>3</v>
      </c>
      <c r="G183" t="s">
        <v>4</v>
      </c>
      <c r="H183">
        <v>20.3</v>
      </c>
      <c r="I183">
        <v>4.08</v>
      </c>
      <c r="J183">
        <v>3.93</v>
      </c>
      <c r="K183">
        <v>20.27</v>
      </c>
      <c r="L183">
        <v>11.8</v>
      </c>
      <c r="M183">
        <f>95*60</f>
        <v>5700</v>
      </c>
      <c r="N183" s="1">
        <f t="shared" ref="N183" si="59">K183-L183</f>
        <v>8.4699999999999989</v>
      </c>
      <c r="O183">
        <f t="shared" ref="O183" si="60">(I183+J183)/2</f>
        <v>4.0049999999999999</v>
      </c>
      <c r="P183" s="2">
        <f>FiberLength!D34*PureWaterPermeability!$C$2*PI()</f>
        <v>3.9584067435231396E-4</v>
      </c>
      <c r="Q183" s="2">
        <f t="shared" ref="Q183" si="61">N183/P183/M183*60*60/$C$4</f>
        <v>13.538443015889202</v>
      </c>
      <c r="R183" s="2">
        <f t="shared" ref="R183" si="62">Q183/O183</f>
        <v>3.3803852723818233</v>
      </c>
      <c r="S183" s="2">
        <f t="shared" ref="S183" si="63">(O183*10^5)/$C$5/(Q183/1000/60/60)</f>
        <v>106326614029573.11</v>
      </c>
      <c r="T183" s="2">
        <f>AVERAGE(R183:R186)</f>
        <v>3.5948128627653273</v>
      </c>
      <c r="U183" s="2">
        <f>AVERAGE(S183:S186)</f>
        <v>100230319753367.94</v>
      </c>
      <c r="V183" s="2">
        <f>_xlfn.STDEV.S(R183:R186)</f>
        <v>0.20828427619201079</v>
      </c>
      <c r="W183" s="2">
        <f>_xlfn.STDEV.S(S183:S186)</f>
        <v>5666464867657.8604</v>
      </c>
      <c r="X183" s="2">
        <f>_xlfn.CONFIDENCE.T(0.05,V183,4)</f>
        <v>0.33142676260797815</v>
      </c>
      <c r="Y183" s="2">
        <f>_xlfn.CONFIDENCE.T(0.05,W183,4)</f>
        <v>9016610091048.8496</v>
      </c>
      <c r="Z183" s="2">
        <f>_xlfn.STDEV.S(Q183:Q186)</f>
        <v>0.83417852614900323</v>
      </c>
      <c r="AA183" s="2">
        <f>Z183/AVERAGE(Q183:Q186)</f>
        <v>5.7940227806959364E-2</v>
      </c>
    </row>
    <row r="184" spans="5:27" x14ac:dyDescent="0.3">
      <c r="G184" t="s">
        <v>5</v>
      </c>
      <c r="H184">
        <v>20.3</v>
      </c>
      <c r="I184">
        <v>4.08</v>
      </c>
      <c r="J184">
        <v>3.93</v>
      </c>
      <c r="K184">
        <v>21.47</v>
      </c>
      <c r="L184">
        <v>11.75</v>
      </c>
      <c r="M184">
        <f t="shared" ref="M184:M198" si="64">95*60</f>
        <v>5700</v>
      </c>
      <c r="N184" s="1">
        <f t="shared" ref="N184:N214" si="65">K184-L184</f>
        <v>9.7199999999999989</v>
      </c>
      <c r="O184">
        <f t="shared" ref="O184:O214" si="66">(I184+J184)/2</f>
        <v>4.0049999999999999</v>
      </c>
      <c r="P184" s="2">
        <f>FiberLength!D35*PureWaterPermeability!$C$2*PI()</f>
        <v>3.9584067435231396E-4</v>
      </c>
      <c r="Q184" s="2">
        <f t="shared" ref="Q184:Q214" si="67">N184/P184/M184*60*60/$C$4</f>
        <v>15.536442280335661</v>
      </c>
      <c r="R184" s="2">
        <f t="shared" ref="R184:R214" si="68">Q184/O184</f>
        <v>3.8792614932173937</v>
      </c>
      <c r="S184" s="2">
        <f t="shared" ref="S184:S214" si="69">(O184*10^5)/$C$5/(Q184/1000/60/60)</f>
        <v>92652923953753.531</v>
      </c>
      <c r="T184" s="2"/>
      <c r="U184" s="2"/>
      <c r="V184" s="2"/>
      <c r="W184" s="2"/>
      <c r="X184" s="2"/>
      <c r="Y184" s="2"/>
      <c r="Z184" s="2"/>
      <c r="AA184" s="2"/>
    </row>
    <row r="185" spans="5:27" x14ac:dyDescent="0.3">
      <c r="G185" t="s">
        <v>6</v>
      </c>
      <c r="H185">
        <v>20.3</v>
      </c>
      <c r="I185">
        <v>4.08</v>
      </c>
      <c r="J185">
        <v>3.93</v>
      </c>
      <c r="K185">
        <v>20.6</v>
      </c>
      <c r="L185">
        <v>11.78</v>
      </c>
      <c r="M185">
        <f t="shared" si="64"/>
        <v>5700</v>
      </c>
      <c r="N185" s="1">
        <f t="shared" si="65"/>
        <v>8.8200000000000021</v>
      </c>
      <c r="O185">
        <f t="shared" si="66"/>
        <v>4.0049999999999999</v>
      </c>
      <c r="P185" s="2">
        <f>FiberLength!D36*PureWaterPermeability!$C$2*PI()</f>
        <v>3.9364155949480104E-4</v>
      </c>
      <c r="Q185" s="2">
        <f t="shared" si="67"/>
        <v>14.176641931777423</v>
      </c>
      <c r="R185" s="2">
        <f t="shared" si="68"/>
        <v>3.5397358131778835</v>
      </c>
      <c r="S185" s="2">
        <f t="shared" si="69"/>
        <v>101540041149317.63</v>
      </c>
      <c r="T185" s="2"/>
      <c r="U185" s="2"/>
      <c r="V185" s="2"/>
      <c r="W185" s="2"/>
      <c r="X185" s="2"/>
      <c r="Y185" s="2"/>
      <c r="Z185" s="2"/>
      <c r="AA185" s="2"/>
    </row>
    <row r="186" spans="5:27" x14ac:dyDescent="0.3">
      <c r="G186" t="s">
        <v>7</v>
      </c>
      <c r="H186">
        <v>20.3</v>
      </c>
      <c r="I186">
        <v>4.08</v>
      </c>
      <c r="J186">
        <v>3.93</v>
      </c>
      <c r="K186">
        <v>20.68</v>
      </c>
      <c r="L186">
        <v>11.76</v>
      </c>
      <c r="M186">
        <f t="shared" si="64"/>
        <v>5700</v>
      </c>
      <c r="N186" s="1">
        <f t="shared" si="65"/>
        <v>8.92</v>
      </c>
      <c r="O186">
        <f t="shared" si="66"/>
        <v>4.0049999999999999</v>
      </c>
      <c r="P186" s="2">
        <f>FiberLength!D37*PureWaterPermeability!$C$2*PI()</f>
        <v>3.9364155949480104E-4</v>
      </c>
      <c r="Q186" s="2">
        <f t="shared" si="67"/>
        <v>14.337374833498254</v>
      </c>
      <c r="R186" s="2">
        <f t="shared" si="68"/>
        <v>3.5798688722842082</v>
      </c>
      <c r="S186" s="2">
        <f t="shared" si="69"/>
        <v>100401699880827.52</v>
      </c>
      <c r="T186" s="2"/>
      <c r="U186" s="2"/>
      <c r="V186" s="2"/>
      <c r="W186" s="2"/>
      <c r="X186" s="2"/>
      <c r="Y186" s="2"/>
      <c r="Z186" s="2"/>
      <c r="AA186" s="2"/>
    </row>
    <row r="187" spans="5:27" x14ac:dyDescent="0.3">
      <c r="F187">
        <v>5</v>
      </c>
      <c r="G187" t="s">
        <v>4</v>
      </c>
      <c r="H187">
        <v>20.3</v>
      </c>
      <c r="I187">
        <v>4.08</v>
      </c>
      <c r="J187">
        <v>3.93</v>
      </c>
      <c r="K187">
        <v>17.57</v>
      </c>
      <c r="L187">
        <v>11.83</v>
      </c>
      <c r="M187">
        <f t="shared" si="64"/>
        <v>5700</v>
      </c>
      <c r="N187" s="1">
        <f t="shared" si="65"/>
        <v>5.74</v>
      </c>
      <c r="O187">
        <f t="shared" si="66"/>
        <v>4.0049999999999999</v>
      </c>
      <c r="P187" s="2">
        <f>FiberLength!D38*PureWaterPermeability!$C$2*PI()</f>
        <v>3.8264598520723679E-4</v>
      </c>
      <c r="Q187" s="2">
        <f t="shared" si="67"/>
        <v>9.4911854713842807</v>
      </c>
      <c r="R187" s="2">
        <f t="shared" si="68"/>
        <v>2.3698340752520051</v>
      </c>
      <c r="S187" s="2">
        <f t="shared" si="69"/>
        <v>151666702695029.25</v>
      </c>
      <c r="T187" s="2">
        <f>AVERAGE(R187:R190)</f>
        <v>2.472691199886059</v>
      </c>
      <c r="U187" s="2">
        <f>AVERAGE(S187:S190)</f>
        <v>145522755819220.03</v>
      </c>
      <c r="V187" s="2">
        <f>_xlfn.STDEV.S(R187:R190)</f>
        <v>9.6596626026596147E-2</v>
      </c>
      <c r="W187" s="2">
        <f>_xlfn.STDEV.S(S187:S190)</f>
        <v>5632703473902.6865</v>
      </c>
      <c r="X187" s="2">
        <f>_xlfn.CONFIDENCE.T(0.05,V187,4)</f>
        <v>0.15370678780060654</v>
      </c>
      <c r="Y187" s="2">
        <f>_xlfn.CONFIDENCE.T(0.05,W187,4)</f>
        <v>8962888179640.1582</v>
      </c>
      <c r="Z187" s="2">
        <f>_xlfn.STDEV.S(Q187:Q190)</f>
        <v>0.3868694872365176</v>
      </c>
      <c r="AA187" s="2">
        <f>Z187/AVERAGE(Q187:Q190)</f>
        <v>3.9065381892832915E-2</v>
      </c>
    </row>
    <row r="188" spans="5:27" x14ac:dyDescent="0.3">
      <c r="G188" t="s">
        <v>5</v>
      </c>
      <c r="H188">
        <v>20.3</v>
      </c>
      <c r="I188">
        <v>4.08</v>
      </c>
      <c r="J188">
        <v>3.93</v>
      </c>
      <c r="K188">
        <v>17.559999999999999</v>
      </c>
      <c r="L188">
        <v>11.74</v>
      </c>
      <c r="M188">
        <f t="shared" si="64"/>
        <v>5700</v>
      </c>
      <c r="N188" s="1">
        <f t="shared" si="65"/>
        <v>5.8199999999999985</v>
      </c>
      <c r="O188">
        <f t="shared" si="66"/>
        <v>4.0049999999999999</v>
      </c>
      <c r="P188" s="2">
        <f>FiberLength!D39*PureWaterPermeability!$C$2*PI()</f>
        <v>3.7824775549221107E-4</v>
      </c>
      <c r="Q188" s="2">
        <f t="shared" si="67"/>
        <v>9.7353675787633005</v>
      </c>
      <c r="R188" s="2">
        <f t="shared" si="68"/>
        <v>2.4308033904527591</v>
      </c>
      <c r="S188" s="2">
        <f t="shared" si="69"/>
        <v>147862604412794.31</v>
      </c>
      <c r="T188" s="2"/>
      <c r="U188" s="2"/>
      <c r="V188" s="2"/>
      <c r="W188" s="2"/>
      <c r="X188" s="2"/>
      <c r="Y188" s="2"/>
      <c r="Z188" s="2"/>
      <c r="AA188" s="2"/>
    </row>
    <row r="189" spans="5:27" x14ac:dyDescent="0.3">
      <c r="G189" t="s">
        <v>6</v>
      </c>
      <c r="H189">
        <v>20.3</v>
      </c>
      <c r="I189">
        <v>4.08</v>
      </c>
      <c r="J189">
        <v>3.93</v>
      </c>
      <c r="K189">
        <v>18.059999999999999</v>
      </c>
      <c r="L189">
        <v>11.7</v>
      </c>
      <c r="M189">
        <f t="shared" si="64"/>
        <v>5700</v>
      </c>
      <c r="N189" s="1">
        <f t="shared" si="65"/>
        <v>6.3599999999999994</v>
      </c>
      <c r="O189">
        <f t="shared" si="66"/>
        <v>4.0049999999999999</v>
      </c>
      <c r="P189" s="2">
        <f>FiberLength!D40*PureWaterPermeability!$C$2*PI()</f>
        <v>3.8704421492226246E-4</v>
      </c>
      <c r="Q189" s="2">
        <f t="shared" si="67"/>
        <v>10.396861626992299</v>
      </c>
      <c r="R189" s="2">
        <f t="shared" si="68"/>
        <v>2.5959704436934579</v>
      </c>
      <c r="S189" s="2">
        <f t="shared" si="69"/>
        <v>138454935417684.53</v>
      </c>
      <c r="T189" s="2"/>
      <c r="U189" s="2"/>
      <c r="V189" s="2"/>
      <c r="W189" s="2"/>
      <c r="X189" s="2"/>
      <c r="Y189" s="2"/>
      <c r="Z189" s="2"/>
      <c r="AA189" s="2"/>
    </row>
    <row r="190" spans="5:27" x14ac:dyDescent="0.3">
      <c r="G190" t="s">
        <v>7</v>
      </c>
      <c r="H190">
        <v>20.3</v>
      </c>
      <c r="I190">
        <v>4.08</v>
      </c>
      <c r="J190">
        <v>3.93</v>
      </c>
      <c r="K190">
        <v>17.88</v>
      </c>
      <c r="L190">
        <v>11.7</v>
      </c>
      <c r="M190">
        <f t="shared" si="64"/>
        <v>5700</v>
      </c>
      <c r="N190" s="1">
        <f t="shared" si="65"/>
        <v>6.18</v>
      </c>
      <c r="O190">
        <f t="shared" si="66"/>
        <v>4.0049999999999999</v>
      </c>
      <c r="P190" s="2">
        <f>FiberLength!D41*PureWaterPermeability!$C$2*PI()</f>
        <v>3.9144244463728818E-4</v>
      </c>
      <c r="Q190" s="2">
        <f t="shared" si="67"/>
        <v>9.9890983450347903</v>
      </c>
      <c r="R190" s="2">
        <f t="shared" si="68"/>
        <v>2.4941568901460149</v>
      </c>
      <c r="S190" s="2">
        <f t="shared" si="69"/>
        <v>144106780751371.97</v>
      </c>
      <c r="T190" s="2"/>
      <c r="U190" s="2"/>
      <c r="V190" s="2"/>
      <c r="W190" s="2"/>
      <c r="X190" s="2"/>
      <c r="Y190" s="2"/>
      <c r="Z190" s="2"/>
      <c r="AA190" s="2"/>
    </row>
    <row r="191" spans="5:27" x14ac:dyDescent="0.3">
      <c r="F191">
        <v>7</v>
      </c>
      <c r="G191" t="s">
        <v>4</v>
      </c>
      <c r="H191">
        <v>20.3</v>
      </c>
      <c r="I191">
        <v>4.08</v>
      </c>
      <c r="J191">
        <v>3.93</v>
      </c>
      <c r="K191">
        <v>15.87</v>
      </c>
      <c r="L191">
        <v>11.77</v>
      </c>
      <c r="M191">
        <f t="shared" si="64"/>
        <v>5700</v>
      </c>
      <c r="N191" s="1">
        <f t="shared" si="65"/>
        <v>4.0999999999999996</v>
      </c>
      <c r="O191">
        <f t="shared" si="66"/>
        <v>4.0049999999999999</v>
      </c>
      <c r="P191" s="2">
        <f>FiberLength!D42*PureWaterPermeability!$C$2*PI()</f>
        <v>3.8924332977977537E-4</v>
      </c>
      <c r="Q191" s="2">
        <f t="shared" si="67"/>
        <v>6.6645128007298808</v>
      </c>
      <c r="R191" s="2">
        <f t="shared" si="68"/>
        <v>1.6640481400074609</v>
      </c>
      <c r="S191" s="2">
        <f t="shared" si="69"/>
        <v>215994304182921.06</v>
      </c>
      <c r="T191" s="2">
        <f>AVERAGE(R191:R194)</f>
        <v>1.6318265122562128</v>
      </c>
      <c r="U191" s="2">
        <f>AVERAGE(S191:S194)</f>
        <v>220312180417915.09</v>
      </c>
      <c r="V191" s="2">
        <f>_xlfn.STDEV.S(R191:R194)</f>
        <v>2.922663036147562E-2</v>
      </c>
      <c r="W191" s="2">
        <f>_xlfn.STDEV.S(S191:S194)</f>
        <v>3938807756717.8169</v>
      </c>
      <c r="X191" s="2">
        <f>_xlfn.CONFIDENCE.T(0.05,V191,4)</f>
        <v>4.6506090904885382E-2</v>
      </c>
      <c r="Y191" s="2">
        <f>_xlfn.CONFIDENCE.T(0.05,W191,4)</f>
        <v>6267522096294.7158</v>
      </c>
      <c r="Z191" s="2">
        <f>_xlfn.STDEV.S(Q191:Q194)</f>
        <v>0.11705265459771005</v>
      </c>
      <c r="AA191" s="2">
        <f>Z191/AVERAGE(Q191:Q194)</f>
        <v>1.7910378426850074E-2</v>
      </c>
    </row>
    <row r="192" spans="5:27" x14ac:dyDescent="0.3">
      <c r="G192" t="s">
        <v>5</v>
      </c>
      <c r="H192">
        <v>20.3</v>
      </c>
      <c r="I192">
        <v>4.08</v>
      </c>
      <c r="J192">
        <v>3.93</v>
      </c>
      <c r="K192">
        <v>16.47</v>
      </c>
      <c r="L192">
        <v>12.56</v>
      </c>
      <c r="M192">
        <f t="shared" si="64"/>
        <v>5700</v>
      </c>
      <c r="N192" s="1">
        <f t="shared" si="65"/>
        <v>3.9099999999999984</v>
      </c>
      <c r="O192">
        <f t="shared" si="66"/>
        <v>4.0049999999999999</v>
      </c>
      <c r="P192" s="2">
        <f>FiberLength!D43*PureWaterPermeability!$C$2*PI()</f>
        <v>3.8484510006474965E-4</v>
      </c>
      <c r="Q192" s="2">
        <f t="shared" si="67"/>
        <v>6.428305747736764</v>
      </c>
      <c r="R192" s="2">
        <f t="shared" si="68"/>
        <v>1.6050700993100535</v>
      </c>
      <c r="S192" s="2">
        <f t="shared" si="69"/>
        <v>223930979888227.91</v>
      </c>
      <c r="T192" s="2"/>
      <c r="U192" s="2"/>
      <c r="V192" s="2"/>
      <c r="W192" s="2"/>
      <c r="X192" s="2"/>
      <c r="Y192" s="2"/>
      <c r="Z192" s="2"/>
      <c r="AA192" s="2"/>
    </row>
    <row r="193" spans="6:27" x14ac:dyDescent="0.3">
      <c r="G193" t="s">
        <v>6</v>
      </c>
      <c r="H193">
        <v>20.3</v>
      </c>
      <c r="I193">
        <v>4.08</v>
      </c>
      <c r="J193">
        <v>3.93</v>
      </c>
      <c r="K193">
        <v>15.67</v>
      </c>
      <c r="L193">
        <v>11.75</v>
      </c>
      <c r="M193">
        <f t="shared" si="64"/>
        <v>5700</v>
      </c>
      <c r="N193" s="1">
        <f t="shared" si="65"/>
        <v>3.92</v>
      </c>
      <c r="O193">
        <f t="shared" si="66"/>
        <v>4.0049999999999999</v>
      </c>
      <c r="P193" s="2">
        <f>FiberLength!D44*PureWaterPermeability!$C$2*PI()</f>
        <v>3.8484510006474965E-4</v>
      </c>
      <c r="Q193" s="2">
        <f t="shared" si="67"/>
        <v>6.4447464273984973</v>
      </c>
      <c r="R193" s="2">
        <f t="shared" si="68"/>
        <v>1.6091751379272154</v>
      </c>
      <c r="S193" s="2">
        <f t="shared" si="69"/>
        <v>223359727388512.97</v>
      </c>
      <c r="T193" s="2"/>
      <c r="U193" s="2"/>
      <c r="V193" s="2"/>
      <c r="W193" s="2"/>
      <c r="X193" s="2"/>
      <c r="Y193" s="2"/>
      <c r="Z193" s="2"/>
      <c r="AA193" s="2"/>
    </row>
    <row r="194" spans="6:27" x14ac:dyDescent="0.3">
      <c r="G194" t="s">
        <v>7</v>
      </c>
      <c r="H194">
        <v>20.3</v>
      </c>
      <c r="I194">
        <v>4.08</v>
      </c>
      <c r="J194">
        <v>3.93</v>
      </c>
      <c r="K194">
        <v>15.76</v>
      </c>
      <c r="L194">
        <v>11.72</v>
      </c>
      <c r="M194">
        <f t="shared" si="64"/>
        <v>5700</v>
      </c>
      <c r="N194" s="1">
        <f t="shared" si="65"/>
        <v>4.0399999999999991</v>
      </c>
      <c r="O194">
        <f t="shared" si="66"/>
        <v>4.0049999999999999</v>
      </c>
      <c r="P194" s="2">
        <f>FiberLength!D45*PureWaterPermeability!$C$2*PI()</f>
        <v>3.8704421492226246E-4</v>
      </c>
      <c r="Q194" s="2">
        <f t="shared" si="67"/>
        <v>6.6042957504793849</v>
      </c>
      <c r="R194" s="2">
        <f t="shared" si="68"/>
        <v>1.649012671780121</v>
      </c>
      <c r="S194" s="2">
        <f t="shared" si="69"/>
        <v>217963710211998.38</v>
      </c>
      <c r="T194" s="2"/>
      <c r="U194" s="2"/>
      <c r="V194" s="2"/>
      <c r="W194" s="2"/>
      <c r="X194" s="2"/>
      <c r="Y194" s="2"/>
      <c r="Z194" s="2"/>
      <c r="AA194" s="2"/>
    </row>
    <row r="195" spans="6:27" x14ac:dyDescent="0.3">
      <c r="F195">
        <v>9</v>
      </c>
      <c r="G195" t="s">
        <v>4</v>
      </c>
      <c r="H195">
        <v>20.3</v>
      </c>
      <c r="I195">
        <v>4.08</v>
      </c>
      <c r="J195">
        <v>3.93</v>
      </c>
      <c r="K195">
        <v>14.73</v>
      </c>
      <c r="L195">
        <v>11.72</v>
      </c>
      <c r="M195">
        <f t="shared" si="64"/>
        <v>5700</v>
      </c>
      <c r="N195" s="1">
        <f t="shared" si="65"/>
        <v>3.01</v>
      </c>
      <c r="O195">
        <f t="shared" si="66"/>
        <v>4.0049999999999999</v>
      </c>
      <c r="P195" s="2">
        <f>FiberLength!D46*PureWaterPermeability!$C$2*PI()</f>
        <v>3.8924332977977537E-4</v>
      </c>
      <c r="Q195" s="2">
        <f t="shared" si="67"/>
        <v>4.8927276902919381</v>
      </c>
      <c r="R195" s="2">
        <f t="shared" si="68"/>
        <v>1.2216548540054777</v>
      </c>
      <c r="S195" s="2">
        <f t="shared" si="69"/>
        <v>294211510681055.19</v>
      </c>
      <c r="T195" s="2">
        <f>AVERAGE(R195:R198)</f>
        <v>1.2199948851917934</v>
      </c>
      <c r="U195" s="2">
        <f>AVERAGE(S195:S198)</f>
        <v>294715333865078.5</v>
      </c>
      <c r="V195" s="2">
        <f>_xlfn.STDEV.S(R195:R198)</f>
        <v>2.6183486125110594E-2</v>
      </c>
      <c r="W195" s="2">
        <f>_xlfn.STDEV.S(S195:S198)</f>
        <v>6430845260313.7002</v>
      </c>
      <c r="X195" s="2">
        <f>_xlfn.CONFIDENCE.T(0.05,V195,4)</f>
        <v>4.1663769339152737E-2</v>
      </c>
      <c r="Y195" s="2">
        <f>_xlfn.CONFIDENCE.T(0.05,W195,4)</f>
        <v>10232909869268.293</v>
      </c>
      <c r="Z195" s="2">
        <f>_xlfn.STDEV.S(Q195:Q198)</f>
        <v>0.10486486193106788</v>
      </c>
      <c r="AA195" s="2">
        <f>Z195/AVERAGE(Q195:Q198)</f>
        <v>2.1461963851589685E-2</v>
      </c>
    </row>
    <row r="196" spans="6:27" x14ac:dyDescent="0.3">
      <c r="G196" t="s">
        <v>5</v>
      </c>
      <c r="H196">
        <v>20.3</v>
      </c>
      <c r="I196">
        <v>4.08</v>
      </c>
      <c r="J196">
        <v>3.93</v>
      </c>
      <c r="K196">
        <v>14.74</v>
      </c>
      <c r="L196">
        <v>11.72</v>
      </c>
      <c r="M196">
        <f t="shared" si="64"/>
        <v>5700</v>
      </c>
      <c r="N196" s="1">
        <f t="shared" si="65"/>
        <v>3.0199999999999996</v>
      </c>
      <c r="O196">
        <f t="shared" si="66"/>
        <v>4.0049999999999999</v>
      </c>
      <c r="P196" s="2">
        <f>FiberLength!D47*PureWaterPermeability!$C$2*PI()</f>
        <v>3.8484510006474965E-4</v>
      </c>
      <c r="Q196" s="2">
        <f t="shared" si="67"/>
        <v>4.9650852578427189</v>
      </c>
      <c r="R196" s="2">
        <f t="shared" si="68"/>
        <v>1.2397216623827014</v>
      </c>
      <c r="S196" s="2">
        <f t="shared" si="69"/>
        <v>289923884557275.13</v>
      </c>
      <c r="T196" s="2"/>
      <c r="U196" s="2"/>
      <c r="V196" s="2"/>
      <c r="W196" s="2"/>
      <c r="X196" s="2"/>
      <c r="Y196" s="2"/>
      <c r="Z196" s="2"/>
      <c r="AA196" s="2"/>
    </row>
    <row r="197" spans="6:27" x14ac:dyDescent="0.3">
      <c r="G197" t="s">
        <v>6</v>
      </c>
      <c r="H197">
        <v>20.3</v>
      </c>
      <c r="I197">
        <v>4.08</v>
      </c>
      <c r="J197">
        <v>3.93</v>
      </c>
      <c r="K197">
        <v>14.86</v>
      </c>
      <c r="L197">
        <v>11.78</v>
      </c>
      <c r="M197">
        <f t="shared" si="64"/>
        <v>5700</v>
      </c>
      <c r="N197" s="1">
        <f t="shared" si="65"/>
        <v>3.08</v>
      </c>
      <c r="O197">
        <f t="shared" si="66"/>
        <v>4.0049999999999999</v>
      </c>
      <c r="P197" s="2">
        <f>FiberLength!D48*PureWaterPermeability!$C$2*PI()</f>
        <v>3.9364155949480104E-4</v>
      </c>
      <c r="Q197" s="2">
        <f t="shared" si="67"/>
        <v>4.9505733730016397</v>
      </c>
      <c r="R197" s="2">
        <f t="shared" si="68"/>
        <v>1.2360982204748165</v>
      </c>
      <c r="S197" s="2">
        <f t="shared" si="69"/>
        <v>290773754200318.63</v>
      </c>
      <c r="T197" s="2"/>
      <c r="U197" s="2"/>
      <c r="V197" s="2"/>
      <c r="W197" s="2"/>
      <c r="X197" s="2"/>
      <c r="Y197" s="2"/>
      <c r="Z197" s="2"/>
      <c r="AA197" s="2"/>
    </row>
    <row r="198" spans="6:27" x14ac:dyDescent="0.3">
      <c r="G198" t="s">
        <v>7</v>
      </c>
      <c r="H198">
        <v>20.3</v>
      </c>
      <c r="I198">
        <v>4.08</v>
      </c>
      <c r="J198">
        <v>3.93</v>
      </c>
      <c r="K198">
        <v>14.73</v>
      </c>
      <c r="L198">
        <v>11.8</v>
      </c>
      <c r="M198">
        <f t="shared" si="64"/>
        <v>5700</v>
      </c>
      <c r="N198" s="1">
        <f t="shared" si="65"/>
        <v>2.9299999999999997</v>
      </c>
      <c r="O198">
        <f t="shared" si="66"/>
        <v>4.0049999999999999</v>
      </c>
      <c r="P198" s="2">
        <f>FiberLength!D49*PureWaterPermeability!$C$2*PI()</f>
        <v>3.9144244463728818E-4</v>
      </c>
      <c r="Q198" s="2">
        <f t="shared" si="67"/>
        <v>4.7359317396362339</v>
      </c>
      <c r="R198" s="2">
        <f t="shared" si="68"/>
        <v>1.1825048039041783</v>
      </c>
      <c r="S198" s="2">
        <f t="shared" si="69"/>
        <v>303952186021665.19</v>
      </c>
      <c r="T198" s="2"/>
      <c r="U198" s="2"/>
      <c r="V198" s="2"/>
      <c r="W198" s="2"/>
      <c r="X198" s="2"/>
      <c r="Y198" s="2"/>
      <c r="Z198" s="2"/>
      <c r="AA198" s="2"/>
    </row>
    <row r="199" spans="6:27" x14ac:dyDescent="0.3">
      <c r="F199">
        <v>10</v>
      </c>
      <c r="G199" t="s">
        <v>4</v>
      </c>
      <c r="H199">
        <v>19.7</v>
      </c>
      <c r="I199">
        <v>4.08</v>
      </c>
      <c r="J199">
        <v>3.94</v>
      </c>
      <c r="K199">
        <v>21.5</v>
      </c>
      <c r="L199">
        <v>11.8</v>
      </c>
      <c r="M199">
        <f>378*60</f>
        <v>22680</v>
      </c>
      <c r="N199" s="1">
        <f t="shared" si="65"/>
        <v>9.6999999999999993</v>
      </c>
      <c r="O199">
        <f t="shared" si="66"/>
        <v>4.01</v>
      </c>
      <c r="P199" s="2">
        <f>FiberLength!D50*PureWaterPermeability!$C$2*PI()</f>
        <v>3.9364155949480104E-4</v>
      </c>
      <c r="Q199" s="2">
        <f t="shared" si="67"/>
        <v>3.9183960035911931</v>
      </c>
      <c r="R199" s="2">
        <f t="shared" si="68"/>
        <v>0.97715611062124519</v>
      </c>
      <c r="S199" s="2">
        <f t="shared" si="69"/>
        <v>367827531569427.94</v>
      </c>
      <c r="T199" s="2">
        <f>AVERAGE(R199:R202)</f>
        <v>0.98674425449088399</v>
      </c>
      <c r="U199" s="2">
        <f>AVERAGE(S199:S202)</f>
        <v>364628437263124.63</v>
      </c>
      <c r="V199" s="2">
        <f>_xlfn.STDEV.S(R199:R202)</f>
        <v>3.7143240949235073E-2</v>
      </c>
      <c r="W199" s="2">
        <f>_xlfn.STDEV.S(S199:S202)</f>
        <v>13286731870861.301</v>
      </c>
      <c r="X199" s="2">
        <f>_xlfn.CONFIDENCE.T(0.05,V199,4)</f>
        <v>5.9103184962577861E-2</v>
      </c>
      <c r="Y199" s="2">
        <f>_xlfn.CONFIDENCE.T(0.05,W199,4)</f>
        <v>21142155375858.926</v>
      </c>
      <c r="Z199" s="2">
        <f>_xlfn.STDEV.S(Q199:Q202)</f>
        <v>0.1489443962064326</v>
      </c>
      <c r="AA199" s="2">
        <f>Z199/AVERAGE(Q199:Q202)</f>
        <v>3.7642216592788089E-2</v>
      </c>
    </row>
    <row r="200" spans="6:27" x14ac:dyDescent="0.3">
      <c r="G200" t="s">
        <v>5</v>
      </c>
      <c r="H200">
        <v>19.7</v>
      </c>
      <c r="I200">
        <v>4.08</v>
      </c>
      <c r="J200">
        <v>3.94</v>
      </c>
      <c r="K200">
        <v>21.22</v>
      </c>
      <c r="L200">
        <v>11.75</v>
      </c>
      <c r="M200">
        <f t="shared" ref="M200:M214" si="70">378*60</f>
        <v>22680</v>
      </c>
      <c r="N200" s="1">
        <f t="shared" si="65"/>
        <v>9.4699999999999989</v>
      </c>
      <c r="O200">
        <f t="shared" si="66"/>
        <v>4.01</v>
      </c>
      <c r="P200" s="2">
        <f>FiberLength!D51*PureWaterPermeability!$C$2*PI()</f>
        <v>3.9144244463728818E-4</v>
      </c>
      <c r="Q200" s="2">
        <f t="shared" si="67"/>
        <v>3.8469770749261776</v>
      </c>
      <c r="R200" s="2">
        <f t="shared" si="68"/>
        <v>0.95934590397161545</v>
      </c>
      <c r="S200" s="2">
        <f t="shared" si="69"/>
        <v>374656230500182.56</v>
      </c>
      <c r="T200" s="2"/>
      <c r="U200" s="2"/>
      <c r="V200" s="2"/>
      <c r="W200" s="2"/>
      <c r="X200" s="2"/>
      <c r="Y200" s="2"/>
      <c r="Z200" s="2"/>
      <c r="AA200" s="2"/>
    </row>
    <row r="201" spans="6:27" x14ac:dyDescent="0.3">
      <c r="G201" t="s">
        <v>6</v>
      </c>
      <c r="H201">
        <v>19.7</v>
      </c>
      <c r="I201">
        <v>4.08</v>
      </c>
      <c r="J201">
        <v>3.94</v>
      </c>
      <c r="K201">
        <v>21.4</v>
      </c>
      <c r="L201">
        <v>11.78</v>
      </c>
      <c r="M201">
        <f t="shared" si="70"/>
        <v>22680</v>
      </c>
      <c r="N201" s="1">
        <f t="shared" si="65"/>
        <v>9.6199999999999992</v>
      </c>
      <c r="O201">
        <f t="shared" si="66"/>
        <v>4.01</v>
      </c>
      <c r="P201" s="2">
        <f>FiberLength!D52*PureWaterPermeability!$C$2*PI()</f>
        <v>3.9364155949480104E-4</v>
      </c>
      <c r="Q201" s="2">
        <f t="shared" si="67"/>
        <v>3.8860793355203374</v>
      </c>
      <c r="R201" s="2">
        <f t="shared" si="68"/>
        <v>0.96909709115220388</v>
      </c>
      <c r="S201" s="2">
        <f t="shared" si="69"/>
        <v>370886388380816.13</v>
      </c>
      <c r="T201" s="2"/>
      <c r="U201" s="2"/>
      <c r="V201" s="2"/>
      <c r="W201" s="2"/>
      <c r="X201" s="2"/>
      <c r="Y201" s="2"/>
      <c r="Z201" s="2"/>
      <c r="AA201" s="2"/>
    </row>
    <row r="202" spans="6:27" x14ac:dyDescent="0.3">
      <c r="G202" t="s">
        <v>7</v>
      </c>
      <c r="H202">
        <v>19.7</v>
      </c>
      <c r="I202">
        <v>4.08</v>
      </c>
      <c r="J202">
        <v>3.94</v>
      </c>
      <c r="K202">
        <v>21.52</v>
      </c>
      <c r="L202">
        <v>11.76</v>
      </c>
      <c r="M202">
        <f t="shared" si="70"/>
        <v>22680</v>
      </c>
      <c r="N202" s="1">
        <f t="shared" si="65"/>
        <v>9.76</v>
      </c>
      <c r="O202">
        <f t="shared" si="66"/>
        <v>4.01</v>
      </c>
      <c r="P202" s="2">
        <f>FiberLength!D53*PureWaterPermeability!$C$2*PI()</f>
        <v>3.7165041091967254E-4</v>
      </c>
      <c r="Q202" s="2">
        <f t="shared" si="67"/>
        <v>4.1759254279960691</v>
      </c>
      <c r="R202" s="2">
        <f t="shared" si="68"/>
        <v>1.0413779122184712</v>
      </c>
      <c r="S202" s="2">
        <f t="shared" si="69"/>
        <v>345143598602071.75</v>
      </c>
      <c r="T202" s="2"/>
      <c r="U202" s="2"/>
      <c r="V202" s="2"/>
      <c r="W202" s="2"/>
      <c r="X202" s="2"/>
      <c r="Y202" s="2"/>
      <c r="Z202" s="2"/>
      <c r="AA202" s="2"/>
    </row>
    <row r="203" spans="6:27" x14ac:dyDescent="0.3">
      <c r="F203">
        <v>11</v>
      </c>
      <c r="G203" t="s">
        <v>4</v>
      </c>
      <c r="H203">
        <v>19.7</v>
      </c>
      <c r="I203">
        <v>4.08</v>
      </c>
      <c r="J203">
        <v>3.94</v>
      </c>
      <c r="K203">
        <v>19.829999999999998</v>
      </c>
      <c r="L203">
        <v>11.83</v>
      </c>
      <c r="M203">
        <f t="shared" si="70"/>
        <v>22680</v>
      </c>
      <c r="N203" s="1">
        <f t="shared" si="65"/>
        <v>7.9999999999999982</v>
      </c>
      <c r="O203">
        <f t="shared" si="66"/>
        <v>4.01</v>
      </c>
      <c r="P203" s="2">
        <f>FiberLength!D54*PureWaterPermeability!$C$2*PI()</f>
        <v>3.9364155949480104E-4</v>
      </c>
      <c r="Q203" s="2">
        <f t="shared" si="67"/>
        <v>3.2316668070855195</v>
      </c>
      <c r="R203" s="2">
        <f t="shared" si="68"/>
        <v>0.80590194690411965</v>
      </c>
      <c r="S203" s="2">
        <f t="shared" si="69"/>
        <v>445990882027931.5</v>
      </c>
      <c r="T203" s="2">
        <f>AVERAGE(R203:R206)</f>
        <v>0.7766880013288453</v>
      </c>
      <c r="U203" s="2">
        <f>AVERAGE(S203:S206)</f>
        <v>463047851386727.38</v>
      </c>
      <c r="V203" s="2">
        <f>_xlfn.STDEV.S(R203:R206)</f>
        <v>2.2238489063760414E-2</v>
      </c>
      <c r="W203" s="2">
        <f>_xlfn.STDEV.S(S203:S206)</f>
        <v>13120189956255.969</v>
      </c>
      <c r="X203" s="2">
        <f>_xlfn.CONFIDENCE.T(0.05,V203,4)</f>
        <v>3.5386398678028251E-2</v>
      </c>
      <c r="Y203" s="2">
        <f>_xlfn.CONFIDENCE.T(0.05,W203,4)</f>
        <v>20877150025453.617</v>
      </c>
      <c r="Z203" s="2">
        <f>_xlfn.STDEV.S(Q203:Q206)</f>
        <v>8.9176341145679197E-2</v>
      </c>
      <c r="AA203" s="2">
        <f>Z203/AVERAGE(Q203:Q206)</f>
        <v>2.8632461201553629E-2</v>
      </c>
    </row>
    <row r="204" spans="6:27" x14ac:dyDescent="0.3">
      <c r="G204" t="s">
        <v>5</v>
      </c>
      <c r="H204">
        <v>19.7</v>
      </c>
      <c r="I204">
        <v>4.08</v>
      </c>
      <c r="J204">
        <v>3.94</v>
      </c>
      <c r="K204">
        <v>19.34</v>
      </c>
      <c r="L204">
        <v>11.74</v>
      </c>
      <c r="M204">
        <f t="shared" si="70"/>
        <v>22680</v>
      </c>
      <c r="N204" s="1">
        <f t="shared" si="65"/>
        <v>7.6</v>
      </c>
      <c r="O204">
        <f t="shared" si="66"/>
        <v>4.01</v>
      </c>
      <c r="P204" s="2">
        <f>FiberLength!D55*PureWaterPermeability!$C$2*PI()</f>
        <v>3.9364155949480104E-4</v>
      </c>
      <c r="Q204" s="2">
        <f t="shared" si="67"/>
        <v>3.0700834667312433</v>
      </c>
      <c r="R204" s="2">
        <f t="shared" si="68"/>
        <v>0.76560684955891356</v>
      </c>
      <c r="S204" s="2">
        <f t="shared" si="69"/>
        <v>469464086345191.06</v>
      </c>
      <c r="T204" s="2"/>
      <c r="U204" s="2"/>
      <c r="V204" s="2"/>
      <c r="W204" s="2"/>
      <c r="X204" s="2"/>
      <c r="Y204" s="2"/>
      <c r="Z204" s="2"/>
      <c r="AA204" s="2"/>
    </row>
    <row r="205" spans="6:27" x14ac:dyDescent="0.3">
      <c r="G205" t="s">
        <v>6</v>
      </c>
      <c r="H205">
        <v>19.7</v>
      </c>
      <c r="I205">
        <v>4.08</v>
      </c>
      <c r="J205">
        <v>3.94</v>
      </c>
      <c r="K205">
        <v>19.45</v>
      </c>
      <c r="L205">
        <v>11.7</v>
      </c>
      <c r="M205">
        <f t="shared" si="70"/>
        <v>22680</v>
      </c>
      <c r="N205" s="1">
        <f t="shared" si="65"/>
        <v>7.75</v>
      </c>
      <c r="O205">
        <f t="shared" si="66"/>
        <v>4.01</v>
      </c>
      <c r="P205" s="2">
        <f>FiberLength!D56*PureWaterPermeability!$C$2*PI()</f>
        <v>3.9364155949480104E-4</v>
      </c>
      <c r="Q205" s="2">
        <f t="shared" si="67"/>
        <v>3.130677219364097</v>
      </c>
      <c r="R205" s="2">
        <f t="shared" si="68"/>
        <v>0.78071751106336584</v>
      </c>
      <c r="S205" s="2">
        <f t="shared" si="69"/>
        <v>460377684673993.81</v>
      </c>
      <c r="T205" s="2"/>
      <c r="U205" s="2"/>
      <c r="V205" s="2"/>
      <c r="W205" s="2"/>
      <c r="X205" s="2"/>
      <c r="Y205" s="2"/>
      <c r="Z205" s="2"/>
      <c r="AA205" s="2"/>
    </row>
    <row r="206" spans="6:27" x14ac:dyDescent="0.3">
      <c r="G206" t="s">
        <v>7</v>
      </c>
      <c r="H206">
        <v>19.7</v>
      </c>
      <c r="I206">
        <v>4.08</v>
      </c>
      <c r="J206">
        <v>3.94</v>
      </c>
      <c r="K206">
        <v>19.190000000000001</v>
      </c>
      <c r="L206">
        <v>11.7</v>
      </c>
      <c r="M206">
        <f t="shared" si="70"/>
        <v>22680</v>
      </c>
      <c r="N206" s="1">
        <f t="shared" si="65"/>
        <v>7.490000000000002</v>
      </c>
      <c r="O206">
        <f t="shared" si="66"/>
        <v>4.01</v>
      </c>
      <c r="P206" s="2">
        <f>FiberLength!D57*PureWaterPermeability!$C$2*PI()</f>
        <v>3.9364155949480104E-4</v>
      </c>
      <c r="Q206" s="2">
        <f t="shared" si="67"/>
        <v>3.0256480481338186</v>
      </c>
      <c r="R206" s="2">
        <f t="shared" si="68"/>
        <v>0.75452569778898226</v>
      </c>
      <c r="S206" s="2">
        <f t="shared" si="69"/>
        <v>476358752499793.19</v>
      </c>
      <c r="T206" s="2"/>
      <c r="U206" s="2"/>
      <c r="V206" s="2"/>
      <c r="W206" s="2"/>
      <c r="X206" s="2"/>
      <c r="Y206" s="2"/>
      <c r="Z206" s="2"/>
      <c r="AA206" s="2"/>
    </row>
    <row r="207" spans="6:27" x14ac:dyDescent="0.3">
      <c r="F207">
        <v>12</v>
      </c>
      <c r="G207" t="s">
        <v>4</v>
      </c>
      <c r="H207">
        <v>19.7</v>
      </c>
      <c r="I207">
        <v>4.08</v>
      </c>
      <c r="J207">
        <v>3.94</v>
      </c>
      <c r="K207">
        <v>18.670000000000002</v>
      </c>
      <c r="L207">
        <v>11.77</v>
      </c>
      <c r="M207">
        <f t="shared" si="70"/>
        <v>22680</v>
      </c>
      <c r="N207" s="1">
        <f t="shared" si="65"/>
        <v>6.9000000000000021</v>
      </c>
      <c r="O207">
        <f t="shared" si="66"/>
        <v>4.01</v>
      </c>
      <c r="P207" s="2">
        <f>FiberLength!D58*PureWaterPermeability!$C$2*PI()</f>
        <v>3.9584067435231396E-4</v>
      </c>
      <c r="Q207" s="2">
        <f t="shared" si="67"/>
        <v>2.7718275509939772</v>
      </c>
      <c r="R207" s="2">
        <f t="shared" si="68"/>
        <v>0.69122881570922123</v>
      </c>
      <c r="S207" s="2">
        <f t="shared" si="69"/>
        <v>519979653566691.75</v>
      </c>
      <c r="T207" s="2">
        <f>AVERAGE(R207:R210)</f>
        <v>0.67992128698791177</v>
      </c>
      <c r="U207" s="2">
        <f>AVERAGE(S207:S210)</f>
        <v>528856332436260.69</v>
      </c>
      <c r="V207" s="2">
        <f>_xlfn.STDEV.S(R207:R210)</f>
        <v>1.6229310788008492E-2</v>
      </c>
      <c r="W207" s="2">
        <f>_xlfn.STDEV.S(S207:S210)</f>
        <v>12797542826653.035</v>
      </c>
      <c r="X207" s="2">
        <f>_xlfn.CONFIDENCE.T(0.05,V207,4)</f>
        <v>2.5824455077299333E-2</v>
      </c>
      <c r="Y207" s="2">
        <f>_xlfn.CONFIDENCE.T(0.05,W207,4)</f>
        <v>20363746442695.992</v>
      </c>
      <c r="Z207" s="2">
        <f>_xlfn.STDEV.S(Q207:Q210)</f>
        <v>6.5079536259914042E-2</v>
      </c>
      <c r="AA207" s="2">
        <f>Z207/AVERAGE(Q207:Q210)</f>
        <v>2.3869396500152563E-2</v>
      </c>
    </row>
    <row r="208" spans="6:27" x14ac:dyDescent="0.3">
      <c r="G208" t="s">
        <v>5</v>
      </c>
      <c r="H208">
        <v>19.7</v>
      </c>
      <c r="I208">
        <v>4.08</v>
      </c>
      <c r="J208">
        <v>3.94</v>
      </c>
      <c r="K208">
        <v>19.09</v>
      </c>
      <c r="L208">
        <v>12.56</v>
      </c>
      <c r="M208">
        <f t="shared" si="70"/>
        <v>22680</v>
      </c>
      <c r="N208" s="1">
        <f t="shared" si="65"/>
        <v>6.5299999999999994</v>
      </c>
      <c r="O208">
        <f t="shared" si="66"/>
        <v>4.01</v>
      </c>
      <c r="P208" s="2">
        <f>FiberLength!D59*PureWaterPermeability!$C$2*PI()</f>
        <v>3.9364155949480104E-4</v>
      </c>
      <c r="Q208" s="2">
        <f t="shared" si="67"/>
        <v>2.6378480312835553</v>
      </c>
      <c r="R208" s="2">
        <f t="shared" si="68"/>
        <v>0.65781746416048759</v>
      </c>
      <c r="S208" s="2">
        <f t="shared" si="69"/>
        <v>546390054551830.31</v>
      </c>
      <c r="T208" s="2"/>
      <c r="U208" s="2"/>
      <c r="V208" s="2"/>
      <c r="W208" s="2"/>
      <c r="X208" s="2"/>
      <c r="Y208" s="2"/>
      <c r="Z208" s="2"/>
      <c r="AA208" s="2"/>
    </row>
    <row r="209" spans="6:27" x14ac:dyDescent="0.3">
      <c r="G209" t="s">
        <v>6</v>
      </c>
      <c r="H209">
        <v>19.7</v>
      </c>
      <c r="I209">
        <v>4.08</v>
      </c>
      <c r="J209">
        <v>3.94</v>
      </c>
      <c r="K209">
        <v>18.59</v>
      </c>
      <c r="L209">
        <v>11.75</v>
      </c>
      <c r="M209">
        <f t="shared" si="70"/>
        <v>22680</v>
      </c>
      <c r="N209" s="1">
        <f t="shared" si="65"/>
        <v>6.84</v>
      </c>
      <c r="O209">
        <f t="shared" si="66"/>
        <v>4.01</v>
      </c>
      <c r="P209" s="2">
        <f>FiberLength!D60*PureWaterPermeability!$C$2*PI()</f>
        <v>3.9144244463728818E-4</v>
      </c>
      <c r="Q209" s="2">
        <f t="shared" si="67"/>
        <v>2.7785980139910298</v>
      </c>
      <c r="R209" s="2">
        <f t="shared" si="68"/>
        <v>0.6929172104715785</v>
      </c>
      <c r="S209" s="2">
        <f t="shared" si="69"/>
        <v>518712646613556.88</v>
      </c>
      <c r="T209" s="2"/>
      <c r="U209" s="2"/>
      <c r="V209" s="2"/>
      <c r="W209" s="2"/>
      <c r="X209" s="2"/>
      <c r="Y209" s="2"/>
      <c r="Z209" s="2"/>
      <c r="AA209" s="2"/>
    </row>
    <row r="210" spans="6:27" x14ac:dyDescent="0.3">
      <c r="G210" t="s">
        <v>7</v>
      </c>
      <c r="H210">
        <v>19.7</v>
      </c>
      <c r="I210">
        <v>4.08</v>
      </c>
      <c r="J210">
        <v>3.94</v>
      </c>
      <c r="K210">
        <v>18.41</v>
      </c>
      <c r="L210">
        <v>11.72</v>
      </c>
      <c r="M210">
        <f t="shared" si="70"/>
        <v>22680</v>
      </c>
      <c r="N210" s="1">
        <f t="shared" si="65"/>
        <v>6.6899999999999995</v>
      </c>
      <c r="O210">
        <f t="shared" si="66"/>
        <v>4.01</v>
      </c>
      <c r="P210" s="2">
        <f>FiberLength!D61*PureWaterPermeability!$C$2*PI()</f>
        <v>3.9144244463728818E-4</v>
      </c>
      <c r="Q210" s="2">
        <f t="shared" si="67"/>
        <v>2.7176638470175432</v>
      </c>
      <c r="R210" s="2">
        <f t="shared" si="68"/>
        <v>0.67772165761035996</v>
      </c>
      <c r="S210" s="2">
        <f t="shared" si="69"/>
        <v>530342975012963.75</v>
      </c>
      <c r="T210" s="2"/>
      <c r="U210" s="2"/>
      <c r="V210" s="2"/>
      <c r="W210" s="2"/>
      <c r="X210" s="2"/>
      <c r="Y210" s="2"/>
      <c r="Z210" s="2"/>
      <c r="AA210" s="2"/>
    </row>
    <row r="211" spans="6:27" x14ac:dyDescent="0.3">
      <c r="F211">
        <v>14</v>
      </c>
      <c r="G211" t="s">
        <v>4</v>
      </c>
      <c r="H211">
        <v>19.7</v>
      </c>
      <c r="I211">
        <v>4.08</v>
      </c>
      <c r="J211">
        <v>3.94</v>
      </c>
      <c r="K211">
        <v>17.350000000000001</v>
      </c>
      <c r="L211">
        <v>11.72</v>
      </c>
      <c r="M211">
        <f t="shared" si="70"/>
        <v>22680</v>
      </c>
      <c r="N211" s="1">
        <f t="shared" si="65"/>
        <v>5.6300000000000008</v>
      </c>
      <c r="O211">
        <f t="shared" si="66"/>
        <v>4.01</v>
      </c>
      <c r="P211" s="2">
        <f>FiberLength!D62*PureWaterPermeability!$C$2*PI()</f>
        <v>3.9144244463728818E-4</v>
      </c>
      <c r="Q211" s="2">
        <f t="shared" si="67"/>
        <v>2.2870624004048983</v>
      </c>
      <c r="R211" s="2">
        <f t="shared" si="68"/>
        <v>0.57033975072441356</v>
      </c>
      <c r="S211" s="2">
        <f t="shared" si="69"/>
        <v>630194405477216.25</v>
      </c>
      <c r="T211" s="2">
        <f>AVERAGE(R211:R214)</f>
        <v>0.59208726566274228</v>
      </c>
      <c r="U211" s="2">
        <f>AVERAGE(S211:S214)</f>
        <v>607510700355516.25</v>
      </c>
      <c r="V211" s="2">
        <f>_xlfn.STDEV.S(R211:R214)</f>
        <v>1.8929284663483363E-2</v>
      </c>
      <c r="W211" s="2">
        <f>_xlfn.STDEV.S(S211:S214)</f>
        <v>19336752508836.016</v>
      </c>
      <c r="X211" s="2">
        <f>_xlfn.CONFIDENCE.T(0.05,V211,4)</f>
        <v>3.0120716019483105E-2</v>
      </c>
      <c r="Y211" s="2">
        <f>_xlfn.CONFIDENCE.T(0.05,W211,4)</f>
        <v>30769088288965.336</v>
      </c>
      <c r="Z211" s="2">
        <f>_xlfn.STDEV.S(Q211:Q214)</f>
        <v>7.5906431500568194E-2</v>
      </c>
      <c r="AA211" s="2">
        <f>Z211/AVERAGE(Q211:Q214)</f>
        <v>3.197043030860524E-2</v>
      </c>
    </row>
    <row r="212" spans="6:27" x14ac:dyDescent="0.3">
      <c r="G212" t="s">
        <v>5</v>
      </c>
      <c r="H212">
        <v>19.7</v>
      </c>
      <c r="I212">
        <v>4.08</v>
      </c>
      <c r="J212">
        <v>3.94</v>
      </c>
      <c r="K212">
        <v>17.87</v>
      </c>
      <c r="L212">
        <v>11.72</v>
      </c>
      <c r="M212">
        <f t="shared" si="70"/>
        <v>22680</v>
      </c>
      <c r="N212" s="1">
        <f t="shared" si="65"/>
        <v>6.15</v>
      </c>
      <c r="O212">
        <f t="shared" si="66"/>
        <v>4.01</v>
      </c>
      <c r="P212" s="2">
        <f>FiberLength!D63*PureWaterPermeability!$C$2*PI()</f>
        <v>3.9584067435231396E-4</v>
      </c>
      <c r="Q212" s="2">
        <f t="shared" si="67"/>
        <v>2.4705419476250654</v>
      </c>
      <c r="R212" s="2">
        <f t="shared" si="68"/>
        <v>0.61609524878430566</v>
      </c>
      <c r="S212" s="2">
        <f t="shared" si="69"/>
        <v>583391806440678.88</v>
      </c>
      <c r="T212" s="2"/>
      <c r="U212" s="2"/>
      <c r="V212" s="2"/>
      <c r="W212" s="2"/>
      <c r="X212" s="2"/>
      <c r="Y212" s="2"/>
      <c r="Z212" s="2"/>
      <c r="AA212" s="2"/>
    </row>
    <row r="213" spans="6:27" x14ac:dyDescent="0.3">
      <c r="G213" t="s">
        <v>6</v>
      </c>
      <c r="H213">
        <v>19.7</v>
      </c>
      <c r="I213">
        <v>4.08</v>
      </c>
      <c r="J213">
        <v>3.94</v>
      </c>
      <c r="K213">
        <v>17.68</v>
      </c>
      <c r="L213">
        <v>11.78</v>
      </c>
      <c r="M213">
        <f t="shared" si="70"/>
        <v>22680</v>
      </c>
      <c r="N213" s="1">
        <f t="shared" si="65"/>
        <v>5.9</v>
      </c>
      <c r="O213">
        <f t="shared" si="66"/>
        <v>4.01</v>
      </c>
      <c r="P213" s="2">
        <f>FiberLength!D64*PureWaterPermeability!$C$2*PI()</f>
        <v>3.9364155949480104E-4</v>
      </c>
      <c r="Q213" s="2">
        <f t="shared" si="67"/>
        <v>2.383354270225571</v>
      </c>
      <c r="R213" s="2">
        <f t="shared" si="68"/>
        <v>0.59435268584178835</v>
      </c>
      <c r="S213" s="2">
        <f t="shared" si="69"/>
        <v>604733399359906.88</v>
      </c>
      <c r="T213" s="2"/>
      <c r="U213" s="2"/>
      <c r="V213" s="2"/>
      <c r="W213" s="2"/>
      <c r="X213" s="2"/>
      <c r="Y213" s="2"/>
    </row>
    <row r="214" spans="6:27" x14ac:dyDescent="0.3">
      <c r="G214" t="s">
        <v>7</v>
      </c>
      <c r="H214">
        <v>19.7</v>
      </c>
      <c r="I214">
        <v>4.08</v>
      </c>
      <c r="J214">
        <v>3.94</v>
      </c>
      <c r="K214">
        <v>17.600000000000001</v>
      </c>
      <c r="L214">
        <v>11.8</v>
      </c>
      <c r="M214">
        <f t="shared" si="70"/>
        <v>22680</v>
      </c>
      <c r="N214" s="1">
        <f t="shared" si="65"/>
        <v>5.8000000000000007</v>
      </c>
      <c r="O214">
        <f t="shared" si="66"/>
        <v>4.01</v>
      </c>
      <c r="P214" s="2">
        <f>FiberLength!D65*PureWaterPermeability!$C$2*PI()</f>
        <v>3.9144244463728818E-4</v>
      </c>
      <c r="Q214" s="2">
        <f t="shared" si="67"/>
        <v>2.3561211229748511</v>
      </c>
      <c r="R214" s="2">
        <f t="shared" si="68"/>
        <v>0.58756137730046165</v>
      </c>
      <c r="S214" s="2">
        <f t="shared" si="69"/>
        <v>611723190144263.13</v>
      </c>
      <c r="T214" s="2"/>
      <c r="U214" s="2"/>
      <c r="V214" s="2"/>
      <c r="W214" s="2"/>
      <c r="X214" s="2"/>
      <c r="Y214" s="2"/>
    </row>
    <row r="215" spans="6:27" x14ac:dyDescent="0.3">
      <c r="P215" s="2"/>
      <c r="Q215" s="2"/>
      <c r="R215" s="2"/>
      <c r="S215" s="2"/>
    </row>
  </sheetData>
  <mergeCells count="4">
    <mergeCell ref="T5:U5"/>
    <mergeCell ref="V5:W5"/>
    <mergeCell ref="X5:Y5"/>
    <mergeCell ref="Z16:AA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46872-F8F2-4342-AF75-E5BC7C9F15F6}">
  <dimension ref="B2:Z71"/>
  <sheetViews>
    <sheetView zoomScaleNormal="100" workbookViewId="0">
      <selection activeCell="C23" sqref="C23"/>
    </sheetView>
  </sheetViews>
  <sheetFormatPr defaultRowHeight="14.4" x14ac:dyDescent="0.3"/>
  <cols>
    <col min="2" max="2" width="23.21875" bestFit="1" customWidth="1"/>
    <col min="5" max="5" width="19.6640625" bestFit="1" customWidth="1"/>
    <col min="6" max="6" width="9.5546875" bestFit="1" customWidth="1"/>
    <col min="7" max="7" width="5.44140625" bestFit="1" customWidth="1"/>
    <col min="8" max="8" width="10" bestFit="1" customWidth="1"/>
    <col min="9" max="9" width="8.6640625" bestFit="1" customWidth="1"/>
    <col min="10" max="10" width="10" bestFit="1" customWidth="1"/>
    <col min="11" max="11" width="11.6640625" bestFit="1" customWidth="1"/>
    <col min="12" max="12" width="13.44140625" bestFit="1" customWidth="1"/>
    <col min="13" max="13" width="6" bestFit="1" customWidth="1"/>
    <col min="15" max="15" width="11.77734375" bestFit="1" customWidth="1"/>
    <col min="16" max="16" width="21.5546875" bestFit="1" customWidth="1"/>
    <col min="17" max="17" width="16.21875" bestFit="1" customWidth="1"/>
    <col min="18" max="18" width="22.44140625" bestFit="1" customWidth="1"/>
    <col min="19" max="19" width="26.5546875" bestFit="1" customWidth="1"/>
    <col min="20" max="20" width="11.44140625" bestFit="1" customWidth="1"/>
    <col min="21" max="21" width="14.6640625" bestFit="1" customWidth="1"/>
    <col min="22" max="22" width="11.21875" bestFit="1" customWidth="1"/>
    <col min="23" max="23" width="14.6640625" bestFit="1" customWidth="1"/>
    <col min="24" max="24" width="11.21875" bestFit="1" customWidth="1"/>
    <col min="25" max="25" width="14.6640625" bestFit="1" customWidth="1"/>
    <col min="26" max="26" width="11.21875" bestFit="1" customWidth="1"/>
  </cols>
  <sheetData>
    <row r="2" spans="2:26" x14ac:dyDescent="0.3">
      <c r="B2" t="s">
        <v>36</v>
      </c>
      <c r="C2">
        <v>6.9999999999999999E-4</v>
      </c>
    </row>
    <row r="3" spans="2:26" x14ac:dyDescent="0.3">
      <c r="B3" t="s">
        <v>37</v>
      </c>
      <c r="C3">
        <v>1</v>
      </c>
    </row>
    <row r="4" spans="2:26" x14ac:dyDescent="0.3">
      <c r="B4" t="s">
        <v>38</v>
      </c>
      <c r="C4">
        <v>998.21</v>
      </c>
    </row>
    <row r="5" spans="2:26" x14ac:dyDescent="0.3">
      <c r="B5" t="s">
        <v>39</v>
      </c>
      <c r="C5">
        <f>0.0010016</f>
        <v>1.0016000000000001E-3</v>
      </c>
      <c r="U5" s="4" t="s">
        <v>2</v>
      </c>
      <c r="V5" s="4"/>
      <c r="W5" s="4" t="s">
        <v>16</v>
      </c>
      <c r="X5" s="4"/>
      <c r="Y5" s="4" t="s">
        <v>17</v>
      </c>
      <c r="Z5" s="4"/>
    </row>
    <row r="6" spans="2:26" x14ac:dyDescent="0.3">
      <c r="E6" t="s">
        <v>0</v>
      </c>
      <c r="F6" t="s">
        <v>14</v>
      </c>
      <c r="G6" t="s">
        <v>1</v>
      </c>
      <c r="H6" t="s">
        <v>18</v>
      </c>
      <c r="I6" t="s">
        <v>19</v>
      </c>
      <c r="J6" t="s">
        <v>20</v>
      </c>
      <c r="K6" t="s">
        <v>21</v>
      </c>
      <c r="L6" t="s">
        <v>22</v>
      </c>
      <c r="M6" t="s">
        <v>23</v>
      </c>
      <c r="N6" t="s">
        <v>24</v>
      </c>
      <c r="O6" t="s">
        <v>25</v>
      </c>
      <c r="P6" t="s">
        <v>27</v>
      </c>
      <c r="Q6" t="s">
        <v>28</v>
      </c>
      <c r="R6" t="s">
        <v>33</v>
      </c>
      <c r="S6" t="s">
        <v>34</v>
      </c>
      <c r="T6" t="s">
        <v>35</v>
      </c>
      <c r="U6" t="s">
        <v>28</v>
      </c>
      <c r="V6" t="s">
        <v>35</v>
      </c>
      <c r="W6" t="s">
        <v>28</v>
      </c>
      <c r="X6" t="s">
        <v>35</v>
      </c>
      <c r="Y6" t="s">
        <v>28</v>
      </c>
      <c r="Z6" t="s">
        <v>35</v>
      </c>
    </row>
    <row r="7" spans="2:26" x14ac:dyDescent="0.3">
      <c r="E7" t="s">
        <v>3</v>
      </c>
      <c r="F7">
        <v>2</v>
      </c>
      <c r="G7" t="s">
        <v>4</v>
      </c>
      <c r="H7">
        <v>21</v>
      </c>
      <c r="I7">
        <v>3.07</v>
      </c>
      <c r="J7">
        <v>2.93</v>
      </c>
      <c r="K7">
        <v>23.65</v>
      </c>
      <c r="L7">
        <v>11.8</v>
      </c>
      <c r="M7">
        <f>30*60</f>
        <v>1800</v>
      </c>
      <c r="N7">
        <f>K7-L7</f>
        <v>11.849999999999998</v>
      </c>
      <c r="O7">
        <f>(I7+J7)/2</f>
        <v>3</v>
      </c>
      <c r="P7" s="2">
        <f>FiberLength!D2*MgSO4Retention!$C$2*PI()</f>
        <v>3.9144244463728818E-4</v>
      </c>
      <c r="Q7" s="2">
        <f>N7/P7/M7*60*60/$C$4</f>
        <v>60.65386980540945</v>
      </c>
      <c r="R7">
        <f>(864+881)/2</f>
        <v>872.5</v>
      </c>
      <c r="S7">
        <v>657</v>
      </c>
      <c r="T7" s="2">
        <f>1-S7/R7</f>
        <v>0.24699140401146136</v>
      </c>
      <c r="U7" s="2">
        <f>AVERAGE(Q7:Q10)</f>
        <v>58.894788912613443</v>
      </c>
      <c r="V7" s="2">
        <f>AVERAGE(T7:T10)</f>
        <v>0.24957020057306592</v>
      </c>
      <c r="W7" s="2">
        <f>_xlfn.STDEV.S(Q7:Q10)</f>
        <v>2.731715402328895</v>
      </c>
      <c r="X7" s="2">
        <f>_xlfn.STDEV.S(T7:T10)</f>
        <v>1.4234661717334366E-2</v>
      </c>
      <c r="Y7" s="2">
        <f>_xlfn.CONFIDENCE.T(0.05,W7,4)</f>
        <v>4.3467687946140963</v>
      </c>
      <c r="Z7" s="2">
        <f>_xlfn.CONFIDENCE.T(0.05,X7,4)</f>
        <v>2.2650523294647104E-2</v>
      </c>
    </row>
    <row r="8" spans="2:26" x14ac:dyDescent="0.3">
      <c r="G8" t="s">
        <v>5</v>
      </c>
      <c r="H8">
        <v>21</v>
      </c>
      <c r="I8">
        <v>3.07</v>
      </c>
      <c r="J8">
        <v>2.93</v>
      </c>
      <c r="K8">
        <v>22.61</v>
      </c>
      <c r="L8">
        <v>11.75</v>
      </c>
      <c r="M8">
        <f t="shared" ref="M8:M22" si="0">30*60</f>
        <v>1800</v>
      </c>
      <c r="N8">
        <f t="shared" ref="N8:N38" si="1">K8-L8</f>
        <v>10.86</v>
      </c>
      <c r="O8">
        <f t="shared" ref="O8:O38" si="2">(I8+J8)/2</f>
        <v>3</v>
      </c>
      <c r="P8" s="2">
        <f>FiberLength!D3*MgSO4Retention!$C$2*PI()</f>
        <v>3.9364155949480104E-4</v>
      </c>
      <c r="Q8" s="2">
        <f t="shared" ref="Q8:Q38" si="3">N8/P8/M8*60*60/$C$4</f>
        <v>55.276044901794272</v>
      </c>
      <c r="R8">
        <f t="shared" ref="R8:R22" si="4">(864+881)/2</f>
        <v>872.5</v>
      </c>
      <c r="S8">
        <v>638</v>
      </c>
      <c r="T8" s="2">
        <f t="shared" ref="T8:T38" si="5">1-S8/R8</f>
        <v>0.26876790830945563</v>
      </c>
      <c r="U8" s="2"/>
      <c r="V8" s="2"/>
      <c r="W8" s="2"/>
      <c r="X8" s="2"/>
      <c r="Y8" s="2"/>
      <c r="Z8" s="2"/>
    </row>
    <row r="9" spans="2:26" x14ac:dyDescent="0.3">
      <c r="G9" t="s">
        <v>6</v>
      </c>
      <c r="H9">
        <v>21</v>
      </c>
      <c r="I9">
        <v>3.07</v>
      </c>
      <c r="J9">
        <v>2.93</v>
      </c>
      <c r="K9">
        <v>23.76</v>
      </c>
      <c r="L9">
        <v>11.78</v>
      </c>
      <c r="M9">
        <f t="shared" si="0"/>
        <v>1800</v>
      </c>
      <c r="N9">
        <f t="shared" si="1"/>
        <v>11.980000000000002</v>
      </c>
      <c r="O9">
        <f t="shared" si="2"/>
        <v>3</v>
      </c>
      <c r="P9" s="2">
        <f>FiberLength!D4*MgSO4Retention!$C$2*PI()</f>
        <v>3.9144244463728818E-4</v>
      </c>
      <c r="Q9" s="2">
        <f t="shared" si="3"/>
        <v>61.319270908759961</v>
      </c>
      <c r="R9">
        <f t="shared" si="4"/>
        <v>872.5</v>
      </c>
      <c r="S9">
        <v>656</v>
      </c>
      <c r="T9" s="2">
        <f t="shared" si="5"/>
        <v>0.2481375358166189</v>
      </c>
      <c r="U9" s="2"/>
      <c r="V9" s="2"/>
      <c r="W9" s="2"/>
      <c r="X9" s="2"/>
      <c r="Y9" s="2"/>
      <c r="Z9" s="2"/>
    </row>
    <row r="10" spans="2:26" x14ac:dyDescent="0.3">
      <c r="G10" t="s">
        <v>7</v>
      </c>
      <c r="H10">
        <v>21</v>
      </c>
      <c r="I10">
        <v>3.07</v>
      </c>
      <c r="J10">
        <v>2.93</v>
      </c>
      <c r="K10">
        <v>23.22</v>
      </c>
      <c r="L10">
        <v>11.76</v>
      </c>
      <c r="M10">
        <f t="shared" si="0"/>
        <v>1800</v>
      </c>
      <c r="N10">
        <f t="shared" si="1"/>
        <v>11.459999999999999</v>
      </c>
      <c r="O10">
        <f t="shared" si="2"/>
        <v>3</v>
      </c>
      <c r="P10" s="2">
        <f>FiberLength!D5*MgSO4Retention!$C$2*PI()</f>
        <v>3.9364155949480104E-4</v>
      </c>
      <c r="Q10" s="2">
        <f t="shared" si="3"/>
        <v>58.329970034490088</v>
      </c>
      <c r="R10">
        <f t="shared" si="4"/>
        <v>872.5</v>
      </c>
      <c r="S10">
        <v>668</v>
      </c>
      <c r="T10" s="2">
        <f t="shared" si="5"/>
        <v>0.23438395415472779</v>
      </c>
      <c r="U10" s="2"/>
      <c r="V10" s="2"/>
      <c r="W10" s="2"/>
      <c r="X10" s="2"/>
      <c r="Y10" s="2"/>
      <c r="Z10" s="2"/>
    </row>
    <row r="11" spans="2:26" x14ac:dyDescent="0.3">
      <c r="F11">
        <v>3</v>
      </c>
      <c r="G11" t="s">
        <v>4</v>
      </c>
      <c r="H11">
        <v>21</v>
      </c>
      <c r="I11">
        <v>3.07</v>
      </c>
      <c r="J11">
        <v>2.93</v>
      </c>
      <c r="K11">
        <v>19.170000000000002</v>
      </c>
      <c r="L11">
        <v>11.83</v>
      </c>
      <c r="M11">
        <f t="shared" si="0"/>
        <v>1800</v>
      </c>
      <c r="N11">
        <f t="shared" si="1"/>
        <v>7.3400000000000016</v>
      </c>
      <c r="O11">
        <f t="shared" si="2"/>
        <v>3</v>
      </c>
      <c r="P11" s="2">
        <f>FiberLength!D6*MgSO4Retention!$C$2*PI()</f>
        <v>3.9144244463728818E-4</v>
      </c>
      <c r="Q11" s="2">
        <f t="shared" si="3"/>
        <v>37.569569989173466</v>
      </c>
      <c r="R11">
        <f t="shared" si="4"/>
        <v>872.5</v>
      </c>
      <c r="S11">
        <v>324</v>
      </c>
      <c r="T11" s="2">
        <f t="shared" si="5"/>
        <v>0.62865329512893986</v>
      </c>
      <c r="U11" s="2">
        <f>AVERAGE(Q11:Q14)</f>
        <v>38.871596997047469</v>
      </c>
      <c r="V11" s="2">
        <f>AVERAGE(T11:T14)</f>
        <v>0.63982808022922633</v>
      </c>
      <c r="W11" s="2">
        <f>_xlfn.STDEV.S(Q11:Q14)</f>
        <v>1.0926588638559112</v>
      </c>
      <c r="X11" s="2">
        <f>_xlfn.STDEV.S(T11:T14)</f>
        <v>3.8429613133063548E-2</v>
      </c>
      <c r="Y11" s="2">
        <f>_xlfn.CONFIDENCE.T(0.05,W11,4)</f>
        <v>1.73866408210687</v>
      </c>
      <c r="Z11" s="2">
        <f>_xlfn.CONFIDENCE.T(0.05,X11,4)</f>
        <v>6.1150090164400192E-2</v>
      </c>
    </row>
    <row r="12" spans="2:26" x14ac:dyDescent="0.3">
      <c r="G12" t="s">
        <v>5</v>
      </c>
      <c r="H12">
        <v>21</v>
      </c>
      <c r="I12">
        <v>3.07</v>
      </c>
      <c r="J12">
        <v>2.93</v>
      </c>
      <c r="K12">
        <v>19.53</v>
      </c>
      <c r="L12">
        <v>11.74</v>
      </c>
      <c r="M12">
        <f t="shared" si="0"/>
        <v>1800</v>
      </c>
      <c r="N12">
        <f t="shared" si="1"/>
        <v>7.7900000000000009</v>
      </c>
      <c r="O12">
        <f t="shared" si="2"/>
        <v>3</v>
      </c>
      <c r="P12" s="2">
        <f>FiberLength!D7*MgSO4Retention!$C$2*PI()</f>
        <v>3.8924332977977537E-4</v>
      </c>
      <c r="Q12" s="2">
        <f t="shared" si="3"/>
        <v>40.098152017724793</v>
      </c>
      <c r="R12">
        <f t="shared" si="4"/>
        <v>872.5</v>
      </c>
      <c r="S12">
        <v>328</v>
      </c>
      <c r="T12" s="2">
        <f t="shared" si="5"/>
        <v>0.62406876790830945</v>
      </c>
      <c r="U12" s="2"/>
      <c r="V12" s="2"/>
      <c r="W12" s="2"/>
      <c r="X12" s="2"/>
      <c r="Y12" s="2"/>
      <c r="Z12" s="2"/>
    </row>
    <row r="13" spans="2:26" x14ac:dyDescent="0.3">
      <c r="G13" t="s">
        <v>6</v>
      </c>
      <c r="H13">
        <v>21</v>
      </c>
      <c r="I13">
        <v>3.07</v>
      </c>
      <c r="J13">
        <v>2.93</v>
      </c>
      <c r="K13">
        <v>19.09</v>
      </c>
      <c r="L13">
        <v>11.7</v>
      </c>
      <c r="M13">
        <f t="shared" si="0"/>
        <v>1800</v>
      </c>
      <c r="N13">
        <f t="shared" si="1"/>
        <v>7.3900000000000006</v>
      </c>
      <c r="O13">
        <f t="shared" si="2"/>
        <v>3</v>
      </c>
      <c r="P13" s="2">
        <f>FiberLength!D8*MgSO4Retention!$C$2*PI()</f>
        <v>3.8484510006474965E-4</v>
      </c>
      <c r="Q13" s="2">
        <f t="shared" si="3"/>
        <v>38.473930521727169</v>
      </c>
      <c r="R13">
        <f t="shared" si="4"/>
        <v>872.5</v>
      </c>
      <c r="S13">
        <v>265</v>
      </c>
      <c r="T13" s="2">
        <f t="shared" si="5"/>
        <v>0.69627507163323776</v>
      </c>
      <c r="U13" s="2"/>
      <c r="V13" s="2"/>
      <c r="W13" s="2"/>
      <c r="X13" s="2"/>
      <c r="Y13" s="2"/>
      <c r="Z13" s="2"/>
    </row>
    <row r="14" spans="2:26" x14ac:dyDescent="0.3">
      <c r="G14" t="s">
        <v>7</v>
      </c>
      <c r="H14">
        <v>21</v>
      </c>
      <c r="I14">
        <v>3.07</v>
      </c>
      <c r="J14">
        <v>2.93</v>
      </c>
      <c r="K14">
        <v>19.43</v>
      </c>
      <c r="L14">
        <v>11.7</v>
      </c>
      <c r="M14">
        <f t="shared" si="0"/>
        <v>1800</v>
      </c>
      <c r="N14">
        <f t="shared" si="1"/>
        <v>7.73</v>
      </c>
      <c r="O14">
        <f t="shared" si="2"/>
        <v>3</v>
      </c>
      <c r="P14" s="2">
        <f>FiberLength!D9*MgSO4Retention!$C$2*PI()</f>
        <v>3.9364155949480104E-4</v>
      </c>
      <c r="Q14" s="2">
        <f t="shared" si="3"/>
        <v>39.34473545956444</v>
      </c>
      <c r="R14">
        <f t="shared" si="4"/>
        <v>872.5</v>
      </c>
      <c r="S14">
        <v>340</v>
      </c>
      <c r="T14" s="2">
        <f t="shared" si="5"/>
        <v>0.61031518624641834</v>
      </c>
      <c r="U14" s="2"/>
      <c r="V14" s="2"/>
      <c r="W14" s="2"/>
      <c r="X14" s="2"/>
      <c r="Y14" s="2"/>
      <c r="Z14" s="2"/>
    </row>
    <row r="15" spans="2:26" x14ac:dyDescent="0.3">
      <c r="F15">
        <v>4</v>
      </c>
      <c r="G15" t="s">
        <v>4</v>
      </c>
      <c r="H15">
        <v>21</v>
      </c>
      <c r="I15">
        <v>3.07</v>
      </c>
      <c r="J15">
        <v>2.93</v>
      </c>
      <c r="K15">
        <v>18.36</v>
      </c>
      <c r="L15">
        <v>11.77</v>
      </c>
      <c r="M15">
        <f t="shared" si="0"/>
        <v>1800</v>
      </c>
      <c r="N15">
        <f t="shared" si="1"/>
        <v>6.59</v>
      </c>
      <c r="O15">
        <f t="shared" si="2"/>
        <v>3</v>
      </c>
      <c r="P15" s="2">
        <f>FiberLength!D10*MgSO4Retention!$C$2*PI()</f>
        <v>3.9144244463728818E-4</v>
      </c>
      <c r="Q15" s="2">
        <f t="shared" si="3"/>
        <v>33.730717469843739</v>
      </c>
      <c r="R15">
        <f t="shared" si="4"/>
        <v>872.5</v>
      </c>
      <c r="S15">
        <v>103.2</v>
      </c>
      <c r="T15" s="2">
        <f t="shared" si="5"/>
        <v>0.88171919770773632</v>
      </c>
      <c r="U15" s="2">
        <f>AVERAGE(Q15:Q18)</f>
        <v>32.847709903386374</v>
      </c>
      <c r="V15" s="2">
        <f>AVERAGE(T15:T18)</f>
        <v>0.85853868194842409</v>
      </c>
      <c r="W15" s="2">
        <f>_xlfn.STDEV.S(Q15:Q18)</f>
        <v>1.2901570023803708</v>
      </c>
      <c r="X15" s="2">
        <f>_xlfn.STDEV.S(T15:T18)</f>
        <v>1.7385570304285124E-2</v>
      </c>
      <c r="Y15" s="2">
        <f>_xlfn.CONFIDENCE.T(0.05,W15,4)</f>
        <v>2.0529276927306581</v>
      </c>
      <c r="Z15" s="2">
        <f>_xlfn.CONFIDENCE.T(0.05,X15,4)</f>
        <v>2.7664321990061181E-2</v>
      </c>
    </row>
    <row r="16" spans="2:26" x14ac:dyDescent="0.3">
      <c r="G16" t="s">
        <v>5</v>
      </c>
      <c r="H16">
        <v>21</v>
      </c>
      <c r="I16">
        <v>3.07</v>
      </c>
      <c r="J16">
        <v>2.93</v>
      </c>
      <c r="K16">
        <v>19.170000000000002</v>
      </c>
      <c r="L16">
        <v>12.56</v>
      </c>
      <c r="M16">
        <f t="shared" si="0"/>
        <v>1800</v>
      </c>
      <c r="N16">
        <f t="shared" si="1"/>
        <v>6.6100000000000012</v>
      </c>
      <c r="O16">
        <f t="shared" si="2"/>
        <v>3</v>
      </c>
      <c r="P16" s="2">
        <f>FiberLength!D11*MgSO4Retention!$C$2*PI()</f>
        <v>3.9144244463728818E-4</v>
      </c>
      <c r="Q16" s="2">
        <f t="shared" si="3"/>
        <v>33.833086870359217</v>
      </c>
      <c r="R16">
        <f t="shared" si="4"/>
        <v>872.5</v>
      </c>
      <c r="S16">
        <v>136</v>
      </c>
      <c r="T16" s="2">
        <f t="shared" si="5"/>
        <v>0.84412607449856736</v>
      </c>
      <c r="U16" s="2"/>
      <c r="V16" s="2"/>
      <c r="W16" s="2"/>
      <c r="X16" s="2"/>
      <c r="Y16" s="2"/>
      <c r="Z16" s="2"/>
    </row>
    <row r="17" spans="6:26" x14ac:dyDescent="0.3">
      <c r="G17" t="s">
        <v>6</v>
      </c>
      <c r="H17">
        <v>21</v>
      </c>
      <c r="I17">
        <v>3.07</v>
      </c>
      <c r="J17">
        <v>2.93</v>
      </c>
      <c r="K17">
        <v>17.850000000000001</v>
      </c>
      <c r="L17">
        <v>11.75</v>
      </c>
      <c r="M17">
        <f t="shared" si="0"/>
        <v>1800</v>
      </c>
      <c r="N17">
        <f t="shared" si="1"/>
        <v>6.1000000000000014</v>
      </c>
      <c r="O17">
        <f t="shared" si="2"/>
        <v>3</v>
      </c>
      <c r="P17" s="2">
        <f>FiberLength!D12*MgSO4Retention!$C$2*PI()</f>
        <v>3.9364155949480104E-4</v>
      </c>
      <c r="Q17" s="2">
        <f t="shared" si="3"/>
        <v>31.048238849074131</v>
      </c>
      <c r="R17">
        <f t="shared" si="4"/>
        <v>872.5</v>
      </c>
      <c r="S17">
        <v>134.1</v>
      </c>
      <c r="T17" s="2">
        <f t="shared" si="5"/>
        <v>0.84630372492836681</v>
      </c>
      <c r="U17" s="2"/>
      <c r="V17" s="2"/>
      <c r="W17" s="2"/>
      <c r="X17" s="2"/>
      <c r="Y17" s="2"/>
      <c r="Z17" s="2"/>
    </row>
    <row r="18" spans="6:26" x14ac:dyDescent="0.3">
      <c r="G18" t="s">
        <v>7</v>
      </c>
      <c r="H18">
        <v>21</v>
      </c>
      <c r="I18">
        <v>3.07</v>
      </c>
      <c r="J18">
        <v>2.93</v>
      </c>
      <c r="K18">
        <v>18.16</v>
      </c>
      <c r="L18">
        <v>11.72</v>
      </c>
      <c r="M18">
        <f t="shared" si="0"/>
        <v>1800</v>
      </c>
      <c r="N18">
        <f t="shared" si="1"/>
        <v>6.4399999999999995</v>
      </c>
      <c r="O18">
        <f t="shared" si="2"/>
        <v>3</v>
      </c>
      <c r="P18" s="2">
        <f>FiberLength!D13*MgSO4Retention!$C$2*PI()</f>
        <v>3.9364155949480104E-4</v>
      </c>
      <c r="Q18" s="2">
        <f t="shared" si="3"/>
        <v>32.778796424268428</v>
      </c>
      <c r="R18">
        <f t="shared" si="4"/>
        <v>872.5</v>
      </c>
      <c r="S18">
        <v>120.4</v>
      </c>
      <c r="T18" s="2">
        <f t="shared" si="5"/>
        <v>0.86200573065902575</v>
      </c>
      <c r="U18" s="2"/>
      <c r="V18" s="2"/>
      <c r="W18" s="2"/>
      <c r="X18" s="2"/>
      <c r="Y18" s="2"/>
      <c r="Z18" s="2"/>
    </row>
    <row r="19" spans="6:26" x14ac:dyDescent="0.3">
      <c r="F19">
        <v>6</v>
      </c>
      <c r="G19" t="s">
        <v>4</v>
      </c>
      <c r="H19">
        <v>21</v>
      </c>
      <c r="I19">
        <v>3.07</v>
      </c>
      <c r="J19">
        <v>2.93</v>
      </c>
      <c r="K19">
        <v>17.41</v>
      </c>
      <c r="L19">
        <v>11.71</v>
      </c>
      <c r="M19">
        <f t="shared" si="0"/>
        <v>1800</v>
      </c>
      <c r="N19">
        <f t="shared" si="1"/>
        <v>5.6999999999999993</v>
      </c>
      <c r="O19">
        <f t="shared" si="2"/>
        <v>3</v>
      </c>
      <c r="P19" s="2">
        <f>FiberLength!D14*MgSO4Retention!$C$2*PI()</f>
        <v>3.9144244463728818E-4</v>
      </c>
      <c r="Q19" s="2">
        <f t="shared" si="3"/>
        <v>29.175279146905815</v>
      </c>
      <c r="R19">
        <f t="shared" si="4"/>
        <v>872.5</v>
      </c>
      <c r="S19">
        <v>55.9</v>
      </c>
      <c r="T19" s="2">
        <f t="shared" si="5"/>
        <v>0.9359312320916906</v>
      </c>
      <c r="U19" s="2">
        <f>AVERAGE(Q19:Q22)</f>
        <v>29.667967630392234</v>
      </c>
      <c r="V19" s="2">
        <f>AVERAGE(T19:T22)</f>
        <v>0.93386819484240691</v>
      </c>
      <c r="W19" s="2">
        <f>_xlfn.STDEV.S(Q19:Q22)</f>
        <v>0.82954384084260979</v>
      </c>
      <c r="X19" s="2">
        <f>_xlfn.STDEV.S(T19:T22)</f>
        <v>2.152369210468501E-3</v>
      </c>
      <c r="Y19" s="2">
        <f>_xlfn.CONFIDENCE.T(0.05,W19,4)</f>
        <v>1.3199893656802104</v>
      </c>
      <c r="Z19" s="2">
        <f>_xlfn.CONFIDENCE.T(0.05,X19,4)</f>
        <v>3.4248997207309475E-3</v>
      </c>
    </row>
    <row r="20" spans="6:26" x14ac:dyDescent="0.3">
      <c r="G20" t="s">
        <v>5</v>
      </c>
      <c r="H20">
        <v>21</v>
      </c>
      <c r="I20">
        <v>3.07</v>
      </c>
      <c r="J20">
        <v>2.93</v>
      </c>
      <c r="K20">
        <v>17.48</v>
      </c>
      <c r="L20">
        <v>11.83</v>
      </c>
      <c r="M20">
        <f t="shared" si="0"/>
        <v>1800</v>
      </c>
      <c r="N20">
        <f t="shared" si="1"/>
        <v>5.65</v>
      </c>
      <c r="O20">
        <f t="shared" si="2"/>
        <v>3</v>
      </c>
      <c r="P20" s="2">
        <f>FiberLength!D15*MgSO4Retention!$C$2*PI()</f>
        <v>3.9364155949480104E-4</v>
      </c>
      <c r="Q20" s="2">
        <f t="shared" si="3"/>
        <v>28.757794999552274</v>
      </c>
      <c r="R20">
        <f t="shared" si="4"/>
        <v>872.5</v>
      </c>
      <c r="S20">
        <v>56.7</v>
      </c>
      <c r="T20" s="2">
        <f t="shared" si="5"/>
        <v>0.93501432664756445</v>
      </c>
      <c r="U20" s="2"/>
      <c r="V20" s="2"/>
      <c r="W20" s="2"/>
      <c r="X20" s="2"/>
      <c r="Y20" s="2"/>
      <c r="Z20" s="2"/>
    </row>
    <row r="21" spans="6:26" x14ac:dyDescent="0.3">
      <c r="G21" t="s">
        <v>6</v>
      </c>
      <c r="H21">
        <v>21</v>
      </c>
      <c r="I21">
        <v>3.07</v>
      </c>
      <c r="J21">
        <v>2.93</v>
      </c>
      <c r="K21">
        <v>17.75</v>
      </c>
      <c r="L21">
        <v>11.83</v>
      </c>
      <c r="M21">
        <f t="shared" si="0"/>
        <v>1800</v>
      </c>
      <c r="N21">
        <f t="shared" si="1"/>
        <v>5.92</v>
      </c>
      <c r="O21">
        <f t="shared" si="2"/>
        <v>3</v>
      </c>
      <c r="P21" s="2">
        <f>FiberLength!D16*MgSO4Retention!$C$2*PI()</f>
        <v>3.9144244463728818E-4</v>
      </c>
      <c r="Q21" s="2">
        <f t="shared" si="3"/>
        <v>30.301342552575864</v>
      </c>
      <c r="R21">
        <f t="shared" si="4"/>
        <v>872.5</v>
      </c>
      <c r="S21">
        <v>58</v>
      </c>
      <c r="T21" s="2">
        <f t="shared" si="5"/>
        <v>0.93352435530085964</v>
      </c>
      <c r="U21" s="2"/>
      <c r="V21" s="2"/>
      <c r="W21" s="2"/>
      <c r="X21" s="2"/>
      <c r="Y21" s="2"/>
      <c r="Z21" s="2"/>
    </row>
    <row r="22" spans="6:26" x14ac:dyDescent="0.3">
      <c r="G22" t="s">
        <v>7</v>
      </c>
      <c r="H22">
        <v>21</v>
      </c>
      <c r="I22">
        <v>3.07</v>
      </c>
      <c r="J22">
        <v>2.93</v>
      </c>
      <c r="K22">
        <v>17.82</v>
      </c>
      <c r="L22">
        <v>11.84</v>
      </c>
      <c r="M22">
        <f t="shared" si="0"/>
        <v>1800</v>
      </c>
      <c r="N22">
        <f t="shared" si="1"/>
        <v>5.98</v>
      </c>
      <c r="O22">
        <f t="shared" si="2"/>
        <v>3</v>
      </c>
      <c r="P22" s="2">
        <f>FiberLength!D17*MgSO4Retention!$C$2*PI()</f>
        <v>3.9364155949480104E-4</v>
      </c>
      <c r="Q22" s="2">
        <f t="shared" si="3"/>
        <v>30.43745382253497</v>
      </c>
      <c r="R22">
        <f t="shared" si="4"/>
        <v>872.5</v>
      </c>
      <c r="S22">
        <v>60.2</v>
      </c>
      <c r="T22" s="2">
        <f t="shared" si="5"/>
        <v>0.93100286532951293</v>
      </c>
      <c r="U22" s="2"/>
      <c r="V22" s="2"/>
      <c r="W22" s="2"/>
      <c r="X22" s="2"/>
      <c r="Y22" s="2"/>
      <c r="Z22" s="2"/>
    </row>
    <row r="23" spans="6:26" x14ac:dyDescent="0.3">
      <c r="F23">
        <v>7</v>
      </c>
      <c r="G23" t="s">
        <v>4</v>
      </c>
      <c r="H23">
        <v>20.6</v>
      </c>
      <c r="I23">
        <v>3.07</v>
      </c>
      <c r="J23">
        <v>2.93</v>
      </c>
      <c r="K23">
        <v>27.96</v>
      </c>
      <c r="L23">
        <v>12.48</v>
      </c>
      <c r="M23">
        <f>91*60</f>
        <v>5460</v>
      </c>
      <c r="N23">
        <f t="shared" si="1"/>
        <v>15.48</v>
      </c>
      <c r="O23">
        <f t="shared" si="2"/>
        <v>3</v>
      </c>
      <c r="P23" s="2">
        <f>FiberLength!D18*MgSO4Retention!$C$2*PI()</f>
        <v>3.9364155949480104E-4</v>
      </c>
      <c r="Q23" s="2">
        <f t="shared" si="3"/>
        <v>25.975143436335848</v>
      </c>
      <c r="R23">
        <f>(878+926)/2</f>
        <v>902</v>
      </c>
      <c r="S23">
        <v>52.7</v>
      </c>
      <c r="T23" s="2">
        <f t="shared" si="5"/>
        <v>0.94157427937915739</v>
      </c>
      <c r="U23" s="2">
        <f>AVERAGE(Q23:Q26)</f>
        <v>27.846516283962437</v>
      </c>
      <c r="V23" s="2">
        <f>AVERAGE(T23:T26)</f>
        <v>0.9426552106430155</v>
      </c>
      <c r="W23" s="2">
        <f>_xlfn.STDEV.S(Q23:Q26)</f>
        <v>1.5884148453094977</v>
      </c>
      <c r="X23" s="2">
        <f>_xlfn.STDEV.S(T23:T26)</f>
        <v>1.3129400534730763E-3</v>
      </c>
      <c r="Y23" s="2">
        <f>_xlfn.CONFIDENCE.T(0.05,W23,4)</f>
        <v>2.5275224778565026</v>
      </c>
      <c r="Z23" s="2">
        <f>_xlfn.CONFIDENCE.T(0.05,X23,4)</f>
        <v>2.0891806111171937E-3</v>
      </c>
    </row>
    <row r="24" spans="6:26" x14ac:dyDescent="0.3">
      <c r="G24" t="s">
        <v>5</v>
      </c>
      <c r="H24">
        <v>20.6</v>
      </c>
      <c r="I24">
        <v>3.07</v>
      </c>
      <c r="J24">
        <v>2.93</v>
      </c>
      <c r="K24">
        <v>27.95</v>
      </c>
      <c r="L24">
        <v>11.75</v>
      </c>
      <c r="M24">
        <f t="shared" ref="M24:M38" si="6">91*60</f>
        <v>5460</v>
      </c>
      <c r="N24">
        <f t="shared" si="1"/>
        <v>16.2</v>
      </c>
      <c r="O24">
        <f t="shared" si="2"/>
        <v>3</v>
      </c>
      <c r="P24" s="2">
        <f>FiberLength!D19*MgSO4Retention!$C$2*PI()</f>
        <v>3.9144244463728818E-4</v>
      </c>
      <c r="Q24" s="2">
        <f t="shared" si="3"/>
        <v>27.336004753029162</v>
      </c>
      <c r="R24">
        <f t="shared" ref="R24:R38" si="7">(878+926)/2</f>
        <v>902</v>
      </c>
      <c r="S24">
        <v>50.3</v>
      </c>
      <c r="T24" s="2">
        <f t="shared" si="5"/>
        <v>0.94423503325942348</v>
      </c>
      <c r="U24" s="2"/>
      <c r="V24" s="2"/>
      <c r="W24" s="2"/>
      <c r="X24" s="2"/>
      <c r="Y24" s="2"/>
      <c r="Z24" s="2"/>
    </row>
    <row r="25" spans="6:26" x14ac:dyDescent="0.3">
      <c r="G25" t="s">
        <v>6</v>
      </c>
      <c r="H25">
        <v>20.6</v>
      </c>
      <c r="I25">
        <v>3.07</v>
      </c>
      <c r="J25">
        <v>2.93</v>
      </c>
      <c r="K25">
        <v>29.44</v>
      </c>
      <c r="L25">
        <v>11.72</v>
      </c>
      <c r="M25">
        <f t="shared" si="6"/>
        <v>5460</v>
      </c>
      <c r="N25">
        <f t="shared" si="1"/>
        <v>17.72</v>
      </c>
      <c r="O25">
        <f t="shared" si="2"/>
        <v>3</v>
      </c>
      <c r="P25" s="2">
        <f>FiberLength!D20*MgSO4Retention!$C$2*PI()</f>
        <v>3.9364155949480104E-4</v>
      </c>
      <c r="Q25" s="2">
        <f t="shared" si="3"/>
        <v>29.733820522730692</v>
      </c>
      <c r="R25">
        <f t="shared" si="7"/>
        <v>902</v>
      </c>
      <c r="S25">
        <v>51.2</v>
      </c>
      <c r="T25" s="2">
        <f t="shared" si="5"/>
        <v>0.94323725055432373</v>
      </c>
      <c r="U25" s="2"/>
      <c r="V25" s="2"/>
      <c r="W25" s="2"/>
      <c r="X25" s="2"/>
      <c r="Y25" s="2"/>
      <c r="Z25" s="2"/>
    </row>
    <row r="26" spans="6:26" x14ac:dyDescent="0.3">
      <c r="G26" t="s">
        <v>7</v>
      </c>
      <c r="H26">
        <v>20.6</v>
      </c>
      <c r="I26">
        <v>3.07</v>
      </c>
      <c r="J26">
        <v>2.93</v>
      </c>
      <c r="K26">
        <v>28.67</v>
      </c>
      <c r="L26">
        <v>11.78</v>
      </c>
      <c r="M26">
        <f t="shared" si="6"/>
        <v>5460</v>
      </c>
      <c r="N26">
        <f t="shared" si="1"/>
        <v>16.89</v>
      </c>
      <c r="O26">
        <f t="shared" si="2"/>
        <v>3</v>
      </c>
      <c r="P26" s="2">
        <f>FiberLength!D21*MgSO4Retention!$C$2*PI()</f>
        <v>3.9364155949480104E-4</v>
      </c>
      <c r="Q26" s="2">
        <f t="shared" si="3"/>
        <v>28.341096423754038</v>
      </c>
      <c r="R26">
        <f t="shared" si="7"/>
        <v>902</v>
      </c>
      <c r="S26">
        <v>52.7</v>
      </c>
      <c r="T26" s="2">
        <f t="shared" si="5"/>
        <v>0.94157427937915739</v>
      </c>
      <c r="U26" s="2"/>
      <c r="V26" s="2"/>
      <c r="W26" s="2"/>
      <c r="X26" s="2"/>
      <c r="Y26" s="2"/>
      <c r="Z26" s="2"/>
    </row>
    <row r="27" spans="6:26" x14ac:dyDescent="0.3">
      <c r="F27">
        <v>8</v>
      </c>
      <c r="G27" t="s">
        <v>4</v>
      </c>
      <c r="H27">
        <v>20.6</v>
      </c>
      <c r="I27">
        <v>3.07</v>
      </c>
      <c r="J27">
        <v>2.93</v>
      </c>
      <c r="K27">
        <v>26.5</v>
      </c>
      <c r="L27">
        <v>11.72</v>
      </c>
      <c r="M27">
        <f t="shared" si="6"/>
        <v>5460</v>
      </c>
      <c r="N27">
        <f t="shared" si="1"/>
        <v>14.78</v>
      </c>
      <c r="O27">
        <f t="shared" si="2"/>
        <v>3</v>
      </c>
      <c r="P27" s="2">
        <f>FiberLength!D22*MgSO4Retention!$C$2*PI()</f>
        <v>3.9364155949480104E-4</v>
      </c>
      <c r="Q27" s="2">
        <f t="shared" si="3"/>
        <v>24.800556846837452</v>
      </c>
      <c r="R27">
        <f t="shared" si="7"/>
        <v>902</v>
      </c>
      <c r="S27">
        <v>53.8</v>
      </c>
      <c r="T27" s="2">
        <f t="shared" si="5"/>
        <v>0.94035476718403543</v>
      </c>
      <c r="U27" s="2">
        <f>AVERAGE(Q27:Q30)</f>
        <v>25.297594391702646</v>
      </c>
      <c r="V27" s="2">
        <f>AVERAGE(T27:T30)</f>
        <v>0.94368070953436811</v>
      </c>
      <c r="W27" s="2">
        <f>_xlfn.STDEV.S(Q27:Q30)</f>
        <v>0.52621740445071907</v>
      </c>
      <c r="X27" s="2">
        <f>_xlfn.STDEV.S(T27:T30)</f>
        <v>2.2191418767188004E-3</v>
      </c>
      <c r="Y27" s="2">
        <f>_xlfn.CONFIDENCE.T(0.05,W27,4)</f>
        <v>0.83732931728508708</v>
      </c>
      <c r="Z27" s="2">
        <f>_xlfn.CONFIDENCE.T(0.05,X27,4)</f>
        <v>3.5311499332320515E-3</v>
      </c>
    </row>
    <row r="28" spans="6:26" x14ac:dyDescent="0.3">
      <c r="G28" t="s">
        <v>5</v>
      </c>
      <c r="H28">
        <v>20.6</v>
      </c>
      <c r="I28">
        <v>3.07</v>
      </c>
      <c r="J28">
        <v>2.93</v>
      </c>
      <c r="K28">
        <v>26.27</v>
      </c>
      <c r="L28">
        <v>11.79</v>
      </c>
      <c r="M28">
        <f t="shared" si="6"/>
        <v>5460</v>
      </c>
      <c r="N28">
        <f t="shared" si="1"/>
        <v>14.48</v>
      </c>
      <c r="O28">
        <f t="shared" si="2"/>
        <v>3</v>
      </c>
      <c r="P28" s="2">
        <f>FiberLength!D23*MgSO4Retention!$C$2*PI()</f>
        <v>3.8264598520723679E-4</v>
      </c>
      <c r="Q28" s="2">
        <f t="shared" si="3"/>
        <v>24.995356921614693</v>
      </c>
      <c r="R28">
        <f t="shared" si="7"/>
        <v>902</v>
      </c>
      <c r="S28">
        <v>49.7</v>
      </c>
      <c r="T28" s="2">
        <f t="shared" si="5"/>
        <v>0.94490022172949006</v>
      </c>
      <c r="U28" s="2"/>
      <c r="V28" s="2"/>
      <c r="W28" s="2"/>
      <c r="X28" s="2"/>
      <c r="Y28" s="2"/>
      <c r="Z28" s="2"/>
    </row>
    <row r="29" spans="6:26" x14ac:dyDescent="0.3">
      <c r="G29" t="s">
        <v>6</v>
      </c>
      <c r="H29">
        <v>20.6</v>
      </c>
      <c r="I29">
        <v>3.07</v>
      </c>
      <c r="J29">
        <v>2.93</v>
      </c>
      <c r="K29">
        <v>26.75</v>
      </c>
      <c r="L29">
        <v>11.78</v>
      </c>
      <c r="M29">
        <f t="shared" si="6"/>
        <v>5460</v>
      </c>
      <c r="N29">
        <f t="shared" si="1"/>
        <v>14.97</v>
      </c>
      <c r="O29">
        <f t="shared" si="2"/>
        <v>3</v>
      </c>
      <c r="P29" s="2">
        <f>FiberLength!D24*MgSO4Retention!$C$2*PI()</f>
        <v>3.8924332977977537E-4</v>
      </c>
      <c r="Q29" s="2">
        <f t="shared" si="3"/>
        <v>25.403207932345222</v>
      </c>
      <c r="R29">
        <f t="shared" si="7"/>
        <v>902</v>
      </c>
      <c r="S29">
        <v>49.8</v>
      </c>
      <c r="T29" s="2">
        <f t="shared" si="5"/>
        <v>0.94478935698447897</v>
      </c>
      <c r="U29" s="2"/>
      <c r="V29" s="2"/>
      <c r="W29" s="2"/>
      <c r="X29" s="2"/>
      <c r="Y29" s="2"/>
      <c r="Z29" s="2"/>
    </row>
    <row r="30" spans="6:26" x14ac:dyDescent="0.3">
      <c r="G30" t="s">
        <v>7</v>
      </c>
      <c r="H30">
        <v>20.6</v>
      </c>
      <c r="I30">
        <v>3.07</v>
      </c>
      <c r="J30">
        <v>2.93</v>
      </c>
      <c r="K30">
        <v>26.95</v>
      </c>
      <c r="L30">
        <v>11.72</v>
      </c>
      <c r="M30">
        <f t="shared" si="6"/>
        <v>5460</v>
      </c>
      <c r="N30">
        <f t="shared" si="1"/>
        <v>15.229999999999999</v>
      </c>
      <c r="O30">
        <f t="shared" si="2"/>
        <v>3</v>
      </c>
      <c r="P30" s="2">
        <f>FiberLength!D25*MgSO4Retention!$C$2*PI()</f>
        <v>3.8704421492226246E-4</v>
      </c>
      <c r="Q30" s="2">
        <f t="shared" si="3"/>
        <v>25.991255866013212</v>
      </c>
      <c r="R30">
        <f t="shared" si="7"/>
        <v>902</v>
      </c>
      <c r="S30">
        <v>49.9</v>
      </c>
      <c r="T30" s="2">
        <f t="shared" si="5"/>
        <v>0.94467849223946787</v>
      </c>
      <c r="U30" s="2"/>
      <c r="V30" s="2"/>
      <c r="W30" s="2"/>
      <c r="X30" s="2"/>
      <c r="Y30" s="2"/>
      <c r="Z30" s="2"/>
    </row>
    <row r="31" spans="6:26" x14ac:dyDescent="0.3">
      <c r="F31">
        <v>9</v>
      </c>
      <c r="G31" t="s">
        <v>4</v>
      </c>
      <c r="H31">
        <v>20.6</v>
      </c>
      <c r="I31">
        <v>3.07</v>
      </c>
      <c r="J31">
        <v>2.93</v>
      </c>
      <c r="K31">
        <v>26.75</v>
      </c>
      <c r="L31">
        <v>11.72</v>
      </c>
      <c r="M31">
        <f t="shared" si="6"/>
        <v>5460</v>
      </c>
      <c r="N31">
        <f t="shared" si="1"/>
        <v>15.03</v>
      </c>
      <c r="O31">
        <f t="shared" si="2"/>
        <v>3</v>
      </c>
      <c r="P31" s="2">
        <f>FiberLength!D26*MgSO4Retention!$C$2*PI()</f>
        <v>3.9144244463728818E-4</v>
      </c>
      <c r="Q31" s="2">
        <f t="shared" si="3"/>
        <v>25.361737743088167</v>
      </c>
      <c r="R31">
        <f t="shared" si="7"/>
        <v>902</v>
      </c>
      <c r="S31">
        <v>48.7</v>
      </c>
      <c r="T31" s="2">
        <f t="shared" si="5"/>
        <v>0.94600886917960092</v>
      </c>
      <c r="U31" s="2">
        <f>AVERAGE(Q31:Q34)</f>
        <v>25.310007856171055</v>
      </c>
      <c r="V31" s="2">
        <f>AVERAGE(T31:T34)</f>
        <v>0.94684035476718398</v>
      </c>
      <c r="W31" s="2">
        <f>_xlfn.STDEV.S(Q31:Q34)</f>
        <v>0.55798340297060312</v>
      </c>
      <c r="X31" s="2">
        <f>_xlfn.STDEV.S(T31:T34)</f>
        <v>6.9235011068716451E-4</v>
      </c>
      <c r="Y31" s="2">
        <f>_xlfn.CONFIDENCE.T(0.05,W31,4)</f>
        <v>0.88787610959671348</v>
      </c>
      <c r="Z31" s="2">
        <f>_xlfn.CONFIDENCE.T(0.05,X31,4)</f>
        <v>1.1016835258595668E-3</v>
      </c>
    </row>
    <row r="32" spans="6:26" x14ac:dyDescent="0.3">
      <c r="G32" t="s">
        <v>5</v>
      </c>
      <c r="H32">
        <v>20.6</v>
      </c>
      <c r="I32">
        <v>3.07</v>
      </c>
      <c r="J32">
        <v>2.93</v>
      </c>
      <c r="K32">
        <v>27.17</v>
      </c>
      <c r="L32">
        <v>11.8</v>
      </c>
      <c r="M32">
        <f t="shared" si="6"/>
        <v>5460</v>
      </c>
      <c r="N32">
        <f t="shared" si="1"/>
        <v>15.370000000000001</v>
      </c>
      <c r="O32">
        <f t="shared" si="2"/>
        <v>3</v>
      </c>
      <c r="P32" s="2">
        <f>FiberLength!D27*MgSO4Retention!$C$2*PI()</f>
        <v>3.9364155949480104E-4</v>
      </c>
      <c r="Q32" s="2">
        <f t="shared" si="3"/>
        <v>25.790565543700382</v>
      </c>
      <c r="R32">
        <f t="shared" si="7"/>
        <v>902</v>
      </c>
      <c r="S32">
        <v>48.2</v>
      </c>
      <c r="T32" s="2">
        <f t="shared" si="5"/>
        <v>0.94656319290465629</v>
      </c>
      <c r="U32" s="2"/>
      <c r="V32" s="2"/>
      <c r="W32" s="2"/>
      <c r="X32" s="2"/>
      <c r="Y32" s="2"/>
      <c r="Z32" s="2"/>
    </row>
    <row r="33" spans="5:26" x14ac:dyDescent="0.3">
      <c r="G33" t="s">
        <v>6</v>
      </c>
      <c r="H33">
        <v>20.6</v>
      </c>
      <c r="I33">
        <v>3.07</v>
      </c>
      <c r="J33">
        <v>2.93</v>
      </c>
      <c r="K33">
        <v>26.36</v>
      </c>
      <c r="L33">
        <v>11.75</v>
      </c>
      <c r="M33">
        <f t="shared" si="6"/>
        <v>5460</v>
      </c>
      <c r="N33">
        <f t="shared" si="1"/>
        <v>14.61</v>
      </c>
      <c r="O33">
        <f t="shared" si="2"/>
        <v>3</v>
      </c>
      <c r="P33" s="2">
        <f>FiberLength!D28*MgSO4Retention!$C$2*PI()</f>
        <v>3.9364155949480104E-4</v>
      </c>
      <c r="Q33" s="2">
        <f t="shared" si="3"/>
        <v>24.515300103673557</v>
      </c>
      <c r="R33">
        <f t="shared" si="7"/>
        <v>902</v>
      </c>
      <c r="S33">
        <v>47.3</v>
      </c>
      <c r="T33" s="2">
        <f t="shared" si="5"/>
        <v>0.94756097560975605</v>
      </c>
      <c r="U33" s="2"/>
      <c r="V33" s="2"/>
      <c r="W33" s="2"/>
      <c r="X33" s="2"/>
      <c r="Y33" s="2"/>
      <c r="Z33" s="2"/>
    </row>
    <row r="34" spans="5:26" x14ac:dyDescent="0.3">
      <c r="G34" t="s">
        <v>7</v>
      </c>
      <c r="H34">
        <v>20.6</v>
      </c>
      <c r="I34">
        <v>3.07</v>
      </c>
      <c r="J34">
        <v>2.93</v>
      </c>
      <c r="K34">
        <v>26.99</v>
      </c>
      <c r="L34">
        <v>11.75</v>
      </c>
      <c r="M34">
        <f t="shared" si="6"/>
        <v>5460</v>
      </c>
      <c r="N34">
        <f t="shared" si="1"/>
        <v>15.239999999999998</v>
      </c>
      <c r="O34">
        <f t="shared" si="2"/>
        <v>3</v>
      </c>
      <c r="P34" s="2">
        <f>FiberLength!D29*MgSO4Retention!$C$2*PI()</f>
        <v>3.9364155949480104E-4</v>
      </c>
      <c r="Q34" s="2">
        <f t="shared" si="3"/>
        <v>25.57242803422211</v>
      </c>
      <c r="R34">
        <f t="shared" si="7"/>
        <v>902</v>
      </c>
      <c r="S34">
        <v>47.6</v>
      </c>
      <c r="T34" s="2">
        <f t="shared" si="5"/>
        <v>0.94722838137472287</v>
      </c>
      <c r="U34" s="2"/>
      <c r="V34" s="2"/>
      <c r="W34" s="2"/>
      <c r="X34" s="2"/>
      <c r="Y34" s="2"/>
      <c r="Z34" s="2"/>
    </row>
    <row r="35" spans="5:26" x14ac:dyDescent="0.3">
      <c r="F35">
        <v>10</v>
      </c>
      <c r="G35" t="s">
        <v>4</v>
      </c>
      <c r="H35">
        <v>20.6</v>
      </c>
      <c r="I35">
        <v>3.07</v>
      </c>
      <c r="J35">
        <v>2.93</v>
      </c>
      <c r="K35">
        <v>25.3</v>
      </c>
      <c r="L35">
        <v>11.75</v>
      </c>
      <c r="M35">
        <f t="shared" si="6"/>
        <v>5460</v>
      </c>
      <c r="N35">
        <f t="shared" si="1"/>
        <v>13.55</v>
      </c>
      <c r="O35">
        <f t="shared" si="2"/>
        <v>3</v>
      </c>
      <c r="P35" s="2">
        <f>FiberLength!D30*MgSO4Retention!$C$2*PI()</f>
        <v>3.9364155949480104E-4</v>
      </c>
      <c r="Q35" s="2">
        <f t="shared" si="3"/>
        <v>22.736640411004565</v>
      </c>
      <c r="R35">
        <f t="shared" si="7"/>
        <v>902</v>
      </c>
      <c r="S35">
        <v>49.2</v>
      </c>
      <c r="T35" s="2">
        <f t="shared" si="5"/>
        <v>0.94545454545454544</v>
      </c>
      <c r="U35" s="2">
        <f>AVERAGE(Q35:Q38)</f>
        <v>23.669489350360081</v>
      </c>
      <c r="V35" s="2">
        <f>AVERAGE(T35:T38)</f>
        <v>0.943680709534368</v>
      </c>
      <c r="W35" s="2">
        <f>_xlfn.STDEV.S(Q35:Q38)</f>
        <v>0.77293571878772316</v>
      </c>
      <c r="X35" s="2">
        <f>_xlfn.STDEV.S(T35:T38)</f>
        <v>1.6368983437065705E-3</v>
      </c>
      <c r="Y35" s="2">
        <f>_xlfn.CONFIDENCE.T(0.05,W35,4)</f>
        <v>1.2299132112388989</v>
      </c>
      <c r="Z35" s="2">
        <f>_xlfn.CONFIDENCE.T(0.05,X35,4)</f>
        <v>2.6046705430269991E-3</v>
      </c>
    </row>
    <row r="36" spans="5:26" x14ac:dyDescent="0.3">
      <c r="G36" t="s">
        <v>5</v>
      </c>
      <c r="H36">
        <v>20.6</v>
      </c>
      <c r="I36">
        <v>3.07</v>
      </c>
      <c r="J36">
        <v>2.93</v>
      </c>
      <c r="K36">
        <v>25.88</v>
      </c>
      <c r="L36">
        <v>11.84</v>
      </c>
      <c r="M36">
        <f t="shared" si="6"/>
        <v>5460</v>
      </c>
      <c r="N36">
        <f t="shared" si="1"/>
        <v>14.04</v>
      </c>
      <c r="O36">
        <f t="shared" si="2"/>
        <v>3</v>
      </c>
      <c r="P36" s="2">
        <f>FiberLength!D31*MgSO4Retention!$C$2*PI()</f>
        <v>3.9584067435231396E-4</v>
      </c>
      <c r="Q36" s="2">
        <f t="shared" si="3"/>
        <v>23.427968517966473</v>
      </c>
      <c r="R36">
        <f t="shared" si="7"/>
        <v>902</v>
      </c>
      <c r="S36">
        <v>49.9</v>
      </c>
      <c r="T36" s="2">
        <f t="shared" si="5"/>
        <v>0.94467849223946787</v>
      </c>
      <c r="U36" s="2"/>
      <c r="V36" s="2"/>
      <c r="W36" s="2"/>
      <c r="X36" s="2"/>
      <c r="Y36" s="2"/>
      <c r="Z36" s="2"/>
    </row>
    <row r="37" spans="5:26" x14ac:dyDescent="0.3">
      <c r="G37" t="s">
        <v>6</v>
      </c>
      <c r="H37">
        <v>20.6</v>
      </c>
      <c r="I37">
        <v>3.07</v>
      </c>
      <c r="J37">
        <v>2.93</v>
      </c>
      <c r="K37">
        <v>26.07</v>
      </c>
      <c r="L37">
        <v>11.79</v>
      </c>
      <c r="M37">
        <f t="shared" si="6"/>
        <v>5460</v>
      </c>
      <c r="N37">
        <f t="shared" si="1"/>
        <v>14.280000000000001</v>
      </c>
      <c r="O37">
        <f t="shared" si="2"/>
        <v>3</v>
      </c>
      <c r="P37" s="2">
        <f>FiberLength!D32*MgSO4Retention!$C$2*PI()</f>
        <v>3.9364155949480104E-4</v>
      </c>
      <c r="Q37" s="2">
        <f t="shared" si="3"/>
        <v>23.961566425767174</v>
      </c>
      <c r="R37">
        <f t="shared" si="7"/>
        <v>902</v>
      </c>
      <c r="S37">
        <v>52.2</v>
      </c>
      <c r="T37" s="2">
        <f t="shared" si="5"/>
        <v>0.94212860310421287</v>
      </c>
      <c r="U37" s="2"/>
      <c r="V37" s="2"/>
      <c r="W37" s="2"/>
      <c r="X37" s="2"/>
      <c r="Y37" s="2"/>
      <c r="Z37" s="2"/>
    </row>
    <row r="38" spans="5:26" x14ac:dyDescent="0.3">
      <c r="G38" t="s">
        <v>7</v>
      </c>
      <c r="H38">
        <v>20.6</v>
      </c>
      <c r="I38">
        <v>3.07</v>
      </c>
      <c r="J38">
        <v>2.93</v>
      </c>
      <c r="K38">
        <v>26.3</v>
      </c>
      <c r="L38">
        <v>11.75</v>
      </c>
      <c r="M38">
        <f t="shared" si="6"/>
        <v>5460</v>
      </c>
      <c r="N38">
        <f t="shared" si="1"/>
        <v>14.55</v>
      </c>
      <c r="O38">
        <f t="shared" si="2"/>
        <v>3</v>
      </c>
      <c r="P38" s="2">
        <f>FiberLength!D33*MgSO4Retention!$C$2*PI()</f>
        <v>3.9144244463728818E-4</v>
      </c>
      <c r="Q38" s="2">
        <f t="shared" si="3"/>
        <v>24.551782046702122</v>
      </c>
      <c r="R38">
        <f t="shared" si="7"/>
        <v>902</v>
      </c>
      <c r="S38">
        <v>51.9</v>
      </c>
      <c r="T38" s="2">
        <f t="shared" si="5"/>
        <v>0.94246119733924616</v>
      </c>
      <c r="U38" s="2"/>
      <c r="V38" s="2"/>
      <c r="W38" s="2"/>
      <c r="X38" s="2"/>
      <c r="Y38" s="2"/>
      <c r="Z38" s="2"/>
    </row>
    <row r="39" spans="5:26" x14ac:dyDescent="0.3">
      <c r="T39" s="2"/>
      <c r="U39" s="2"/>
      <c r="V39" s="2"/>
      <c r="W39" s="2"/>
      <c r="X39" s="2"/>
      <c r="Y39" s="2"/>
      <c r="Z39" s="2"/>
    </row>
    <row r="40" spans="5:26" x14ac:dyDescent="0.3">
      <c r="E40" t="s">
        <v>8</v>
      </c>
      <c r="F40">
        <v>3</v>
      </c>
      <c r="G40" t="s">
        <v>4</v>
      </c>
      <c r="H40">
        <v>20.2</v>
      </c>
      <c r="I40">
        <v>5.07</v>
      </c>
      <c r="J40">
        <v>4.93</v>
      </c>
      <c r="K40">
        <v>26.35</v>
      </c>
      <c r="L40">
        <v>11.8</v>
      </c>
      <c r="M40">
        <v>8400</v>
      </c>
      <c r="N40">
        <f>K40-L40</f>
        <v>14.55</v>
      </c>
      <c r="O40">
        <f>(I40+J40)/2</f>
        <v>5</v>
      </c>
      <c r="P40" s="2">
        <f>FiberLength!D34*MgSO4Retention!$C$2*PI()</f>
        <v>3.9584067435231396E-4</v>
      </c>
      <c r="Q40" s="2">
        <f>N40/P40/M40*60*60/$C$4</f>
        <v>15.781339904463533</v>
      </c>
      <c r="R40">
        <f>(866+878)/2</f>
        <v>872</v>
      </c>
      <c r="S40">
        <v>483</v>
      </c>
      <c r="T40" s="2">
        <f t="shared" ref="T40:T71" si="8">1-S40/R40</f>
        <v>0.44610091743119262</v>
      </c>
      <c r="U40" s="2">
        <f>AVERAGE(Q40:Q43)</f>
        <v>16.926683016729726</v>
      </c>
      <c r="V40" s="2">
        <f>AVERAGE(T40:T43)</f>
        <v>0.41915137614678893</v>
      </c>
      <c r="W40" s="2">
        <f>_xlfn.STDEV.S(Q40:Q43)</f>
        <v>0.99883919963217305</v>
      </c>
      <c r="X40" s="2">
        <f>_xlfn.STDEV.S(T40:T43)</f>
        <v>2.3418093872318961E-2</v>
      </c>
      <c r="Y40" s="2">
        <f>_xlfn.CONFIDENCE.T(0.05,W40,4)</f>
        <v>1.5893760602209732</v>
      </c>
      <c r="Z40" s="2">
        <f>_xlfn.CONFIDENCE.T(0.05,X40,4)</f>
        <v>3.7263413160374272E-2</v>
      </c>
    </row>
    <row r="41" spans="5:26" x14ac:dyDescent="0.3">
      <c r="G41" t="s">
        <v>5</v>
      </c>
      <c r="H41">
        <v>20.2</v>
      </c>
      <c r="I41">
        <v>5.07</v>
      </c>
      <c r="J41">
        <v>4.93</v>
      </c>
      <c r="K41">
        <v>28.32</v>
      </c>
      <c r="L41">
        <v>11.75</v>
      </c>
      <c r="M41">
        <v>8400</v>
      </c>
      <c r="N41">
        <f t="shared" ref="N41:N71" si="9">K41-L41</f>
        <v>16.57</v>
      </c>
      <c r="O41">
        <f t="shared" ref="O41:O71" si="10">(I41+J41)/2</f>
        <v>5</v>
      </c>
      <c r="P41" s="2">
        <f>FiberLength!D35*MgSO4Retention!$C$2*PI()</f>
        <v>3.9584067435231396E-4</v>
      </c>
      <c r="Q41" s="2">
        <f t="shared" ref="Q41:Q71" si="11">N41/P41/M41*60*60/$C$4</f>
        <v>17.972288812162244</v>
      </c>
      <c r="R41">
        <f t="shared" ref="R41:R55" si="12">(866+878)/2</f>
        <v>872</v>
      </c>
      <c r="S41">
        <v>531</v>
      </c>
      <c r="T41" s="2">
        <f t="shared" si="8"/>
        <v>0.39105504587155959</v>
      </c>
      <c r="U41" s="2"/>
      <c r="V41" s="2"/>
      <c r="W41" s="2"/>
      <c r="X41" s="2"/>
      <c r="Y41" s="2"/>
      <c r="Z41" s="2"/>
    </row>
    <row r="42" spans="5:26" x14ac:dyDescent="0.3">
      <c r="G42" t="s">
        <v>6</v>
      </c>
      <c r="H42">
        <v>20.2</v>
      </c>
      <c r="I42">
        <v>5.07</v>
      </c>
      <c r="J42">
        <v>4.93</v>
      </c>
      <c r="K42">
        <v>27.84</v>
      </c>
      <c r="L42">
        <v>11.78</v>
      </c>
      <c r="M42">
        <v>8400</v>
      </c>
      <c r="N42">
        <f t="shared" si="9"/>
        <v>16.060000000000002</v>
      </c>
      <c r="O42">
        <f t="shared" si="10"/>
        <v>5</v>
      </c>
      <c r="P42" s="2">
        <f>FiberLength!D36*MgSO4Retention!$C$2*PI()</f>
        <v>3.9364155949480104E-4</v>
      </c>
      <c r="Q42" s="2">
        <f t="shared" si="11"/>
        <v>17.516442011105291</v>
      </c>
      <c r="R42">
        <f t="shared" si="12"/>
        <v>872</v>
      </c>
      <c r="S42">
        <v>499</v>
      </c>
      <c r="T42" s="2">
        <f t="shared" si="8"/>
        <v>0.42775229357798161</v>
      </c>
      <c r="U42" s="2"/>
      <c r="V42" s="2"/>
      <c r="W42" s="2"/>
      <c r="X42" s="2"/>
      <c r="Y42" s="2"/>
      <c r="Z42" s="2"/>
    </row>
    <row r="43" spans="5:26" x14ac:dyDescent="0.3">
      <c r="G43" t="s">
        <v>7</v>
      </c>
      <c r="H43">
        <v>20.2</v>
      </c>
      <c r="I43">
        <v>5.07</v>
      </c>
      <c r="J43">
        <v>4.93</v>
      </c>
      <c r="K43">
        <v>26.83</v>
      </c>
      <c r="L43">
        <v>11.76</v>
      </c>
      <c r="M43">
        <v>8400</v>
      </c>
      <c r="N43">
        <f t="shared" si="9"/>
        <v>15.069999999999999</v>
      </c>
      <c r="O43">
        <f t="shared" si="10"/>
        <v>5</v>
      </c>
      <c r="P43" s="2">
        <f>FiberLength!D37*MgSO4Retention!$C$2*PI()</f>
        <v>3.9364155949480104E-4</v>
      </c>
      <c r="Q43" s="2">
        <f t="shared" si="11"/>
        <v>16.43666133918784</v>
      </c>
      <c r="R43">
        <f t="shared" si="12"/>
        <v>872</v>
      </c>
      <c r="S43">
        <v>513</v>
      </c>
      <c r="T43" s="2">
        <f t="shared" si="8"/>
        <v>0.41169724770642202</v>
      </c>
      <c r="U43" s="2"/>
      <c r="V43" s="2"/>
      <c r="W43" s="2"/>
      <c r="X43" s="2"/>
      <c r="Y43" s="2"/>
      <c r="Z43" s="2"/>
    </row>
    <row r="44" spans="5:26" x14ac:dyDescent="0.3">
      <c r="F44">
        <v>5</v>
      </c>
      <c r="G44" t="s">
        <v>4</v>
      </c>
      <c r="H44">
        <v>20.2</v>
      </c>
      <c r="I44">
        <v>5.07</v>
      </c>
      <c r="J44">
        <v>4.93</v>
      </c>
      <c r="K44">
        <v>21.43</v>
      </c>
      <c r="L44">
        <v>11.83</v>
      </c>
      <c r="M44">
        <v>8400</v>
      </c>
      <c r="N44">
        <f t="shared" si="9"/>
        <v>9.6</v>
      </c>
      <c r="O44">
        <f t="shared" si="10"/>
        <v>5</v>
      </c>
      <c r="P44" s="2">
        <f>FiberLength!D38*MgSO4Retention!$C$2*PI()</f>
        <v>3.8264598520723679E-4</v>
      </c>
      <c r="Q44" s="2">
        <f t="shared" si="11"/>
        <v>10.77147977837539</v>
      </c>
      <c r="R44">
        <f t="shared" si="12"/>
        <v>872</v>
      </c>
      <c r="S44">
        <v>362</v>
      </c>
      <c r="T44" s="2">
        <f t="shared" si="8"/>
        <v>0.58486238532110091</v>
      </c>
      <c r="U44" s="2">
        <f>AVERAGE(Q44:Q47)</f>
        <v>11.216873267588621</v>
      </c>
      <c r="V44" s="2">
        <f>AVERAGE(T44:T47)</f>
        <v>0.5696674311926605</v>
      </c>
      <c r="W44" s="2">
        <f>_xlfn.STDEV.S(Q44:Q47)</f>
        <v>0.45075035484069509</v>
      </c>
      <c r="X44" s="2">
        <f>_xlfn.STDEV.S(T44:T47)</f>
        <v>1.2400001210480576E-2</v>
      </c>
      <c r="Y44" s="2">
        <f>_xlfn.CONFIDENCE.T(0.05,W44,4)</f>
        <v>0.71724440068404549</v>
      </c>
      <c r="Z44" s="2">
        <f>_xlfn.CONFIDENCE.T(0.05,X44,4)</f>
        <v>1.9731169018903715E-2</v>
      </c>
    </row>
    <row r="45" spans="5:26" x14ac:dyDescent="0.3">
      <c r="G45" t="s">
        <v>5</v>
      </c>
      <c r="H45">
        <v>20.2</v>
      </c>
      <c r="I45">
        <v>5.07</v>
      </c>
      <c r="J45">
        <v>4.93</v>
      </c>
      <c r="K45">
        <v>21.37</v>
      </c>
      <c r="L45">
        <v>11.74</v>
      </c>
      <c r="M45">
        <v>8400</v>
      </c>
      <c r="N45">
        <f t="shared" si="9"/>
        <v>9.6300000000000008</v>
      </c>
      <c r="O45">
        <f t="shared" si="10"/>
        <v>5</v>
      </c>
      <c r="P45" s="2">
        <f>FiberLength!D39*MgSO4Retention!$C$2*PI()</f>
        <v>3.7824775549221107E-4</v>
      </c>
      <c r="Q45" s="2">
        <f t="shared" si="11"/>
        <v>10.930781823062848</v>
      </c>
      <c r="R45">
        <f t="shared" si="12"/>
        <v>872</v>
      </c>
      <c r="S45">
        <v>373</v>
      </c>
      <c r="T45" s="2">
        <f t="shared" si="8"/>
        <v>0.57224770642201839</v>
      </c>
      <c r="U45" s="2"/>
      <c r="V45" s="2"/>
      <c r="W45" s="2"/>
      <c r="X45" s="2"/>
      <c r="Y45" s="2"/>
      <c r="Z45" s="2"/>
    </row>
    <row r="46" spans="5:26" x14ac:dyDescent="0.3">
      <c r="G46" t="s">
        <v>6</v>
      </c>
      <c r="H46">
        <v>20.2</v>
      </c>
      <c r="I46">
        <v>5.07</v>
      </c>
      <c r="J46">
        <v>4.93</v>
      </c>
      <c r="K46">
        <v>22.3</v>
      </c>
      <c r="L46">
        <v>11.7</v>
      </c>
      <c r="M46">
        <v>8400</v>
      </c>
      <c r="N46">
        <f t="shared" si="9"/>
        <v>10.600000000000001</v>
      </c>
      <c r="O46">
        <f t="shared" si="10"/>
        <v>5</v>
      </c>
      <c r="P46" s="2">
        <f>FiberLength!D40*MgSO4Retention!$C$2*PI()</f>
        <v>3.8704421492226246E-4</v>
      </c>
      <c r="Q46" s="2">
        <f t="shared" si="11"/>
        <v>11.758355411479389</v>
      </c>
      <c r="R46">
        <f t="shared" si="12"/>
        <v>872</v>
      </c>
      <c r="S46">
        <v>378</v>
      </c>
      <c r="T46" s="2">
        <f t="shared" si="8"/>
        <v>0.5665137614678899</v>
      </c>
      <c r="U46" s="2"/>
      <c r="V46" s="2"/>
      <c r="W46" s="2"/>
      <c r="X46" s="2"/>
      <c r="Y46" s="2"/>
      <c r="Z46" s="2"/>
    </row>
    <row r="47" spans="5:26" x14ac:dyDescent="0.3">
      <c r="G47" t="s">
        <v>7</v>
      </c>
      <c r="H47">
        <v>20.2</v>
      </c>
      <c r="I47">
        <v>5.07</v>
      </c>
      <c r="J47">
        <v>4.93</v>
      </c>
      <c r="K47">
        <v>22.1</v>
      </c>
      <c r="L47">
        <v>11.7</v>
      </c>
      <c r="M47">
        <v>8400</v>
      </c>
      <c r="N47">
        <f t="shared" si="9"/>
        <v>10.400000000000002</v>
      </c>
      <c r="O47">
        <f t="shared" si="10"/>
        <v>5</v>
      </c>
      <c r="P47" s="2">
        <f>FiberLength!D41*MgSO4Retention!$C$2*PI()</f>
        <v>3.9144244463728818E-4</v>
      </c>
      <c r="Q47" s="2">
        <f t="shared" si="11"/>
        <v>11.406876057436863</v>
      </c>
      <c r="R47">
        <f t="shared" si="12"/>
        <v>872</v>
      </c>
      <c r="S47">
        <v>388</v>
      </c>
      <c r="T47" s="2">
        <f t="shared" si="8"/>
        <v>0.55504587155963303</v>
      </c>
      <c r="U47" s="2"/>
      <c r="V47" s="2"/>
      <c r="W47" s="2"/>
      <c r="X47" s="2"/>
      <c r="Y47" s="2"/>
      <c r="Z47" s="2"/>
    </row>
    <row r="48" spans="5:26" x14ac:dyDescent="0.3">
      <c r="F48">
        <v>7</v>
      </c>
      <c r="G48" t="s">
        <v>4</v>
      </c>
      <c r="H48">
        <v>20.2</v>
      </c>
      <c r="I48">
        <v>5.07</v>
      </c>
      <c r="J48">
        <v>4.93</v>
      </c>
      <c r="K48">
        <v>18.77</v>
      </c>
      <c r="L48">
        <v>11.77</v>
      </c>
      <c r="M48">
        <v>8400</v>
      </c>
      <c r="N48">
        <f t="shared" si="9"/>
        <v>7</v>
      </c>
      <c r="O48">
        <f t="shared" si="10"/>
        <v>5</v>
      </c>
      <c r="P48" s="2">
        <f>FiberLength!D42*MgSO4Retention!$C$2*PI()</f>
        <v>3.8924332977977537E-4</v>
      </c>
      <c r="Q48" s="2">
        <f t="shared" si="11"/>
        <v>7.7210819032846185</v>
      </c>
      <c r="R48">
        <f t="shared" si="12"/>
        <v>872</v>
      </c>
      <c r="S48">
        <v>241</v>
      </c>
      <c r="T48" s="2">
        <f t="shared" si="8"/>
        <v>0.72362385321100919</v>
      </c>
      <c r="U48" s="2">
        <f>AVERAGE(Q48:Q51)</f>
        <v>7.6395225143407766</v>
      </c>
      <c r="V48" s="2">
        <f>AVERAGE(T48:T51)</f>
        <v>0.74483944954128434</v>
      </c>
      <c r="W48" s="2">
        <f>_xlfn.STDEV.S(Q48:Q51)</f>
        <v>0.11957570511236897</v>
      </c>
      <c r="X48" s="2">
        <f>_xlfn.STDEV.S(T48:T51)</f>
        <v>1.5054563201464215E-2</v>
      </c>
      <c r="Y48" s="2">
        <f>_xlfn.CONFIDENCE.T(0.05,W48,4)</f>
        <v>0.19027163046827647</v>
      </c>
      <c r="Z48" s="2">
        <f>_xlfn.CONFIDENCE.T(0.05,X48,4)</f>
        <v>2.3955169519079941E-2</v>
      </c>
    </row>
    <row r="49" spans="6:26" x14ac:dyDescent="0.3">
      <c r="G49" t="s">
        <v>5</v>
      </c>
      <c r="H49">
        <v>20.2</v>
      </c>
      <c r="I49">
        <v>5.07</v>
      </c>
      <c r="J49">
        <v>4.93</v>
      </c>
      <c r="K49">
        <v>19.36</v>
      </c>
      <c r="L49">
        <v>12.56</v>
      </c>
      <c r="M49">
        <v>8400</v>
      </c>
      <c r="N49">
        <f t="shared" si="9"/>
        <v>6.7999999999999989</v>
      </c>
      <c r="O49">
        <f t="shared" si="10"/>
        <v>5</v>
      </c>
      <c r="P49" s="2">
        <f>FiberLength!D43*MgSO4Retention!$C$2*PI()</f>
        <v>3.8484510006474965E-4</v>
      </c>
      <c r="Q49" s="2">
        <f t="shared" si="11"/>
        <v>7.5861993296272399</v>
      </c>
      <c r="R49">
        <f t="shared" si="12"/>
        <v>872</v>
      </c>
      <c r="S49">
        <v>219</v>
      </c>
      <c r="T49" s="2">
        <f t="shared" si="8"/>
        <v>0.74885321100917435</v>
      </c>
      <c r="U49" s="2"/>
      <c r="V49" s="2"/>
      <c r="W49" s="2"/>
      <c r="X49" s="2"/>
      <c r="Y49" s="2"/>
      <c r="Z49" s="2"/>
    </row>
    <row r="50" spans="6:26" x14ac:dyDescent="0.3">
      <c r="G50" t="s">
        <v>6</v>
      </c>
      <c r="H50">
        <v>20.2</v>
      </c>
      <c r="I50">
        <v>5.07</v>
      </c>
      <c r="J50">
        <v>4.93</v>
      </c>
      <c r="K50">
        <v>18.47</v>
      </c>
      <c r="L50">
        <v>11.75</v>
      </c>
      <c r="M50">
        <v>8400</v>
      </c>
      <c r="N50">
        <f t="shared" si="9"/>
        <v>6.7199999999999989</v>
      </c>
      <c r="O50">
        <f t="shared" si="10"/>
        <v>5</v>
      </c>
      <c r="P50" s="2">
        <f>FiberLength!D44*MgSO4Retention!$C$2*PI()</f>
        <v>3.8484510006474965E-4</v>
      </c>
      <c r="Q50" s="2">
        <f t="shared" si="11"/>
        <v>7.4969499257492718</v>
      </c>
      <c r="R50">
        <f t="shared" si="12"/>
        <v>872</v>
      </c>
      <c r="S50">
        <v>210</v>
      </c>
      <c r="T50" s="2">
        <f t="shared" si="8"/>
        <v>0.75917431192660545</v>
      </c>
      <c r="U50" s="2"/>
      <c r="V50" s="2"/>
      <c r="W50" s="2"/>
      <c r="X50" s="2"/>
      <c r="Y50" s="2"/>
      <c r="Z50" s="2"/>
    </row>
    <row r="51" spans="6:26" x14ac:dyDescent="0.3">
      <c r="G51" t="s">
        <v>7</v>
      </c>
      <c r="H51">
        <v>20.2</v>
      </c>
      <c r="I51">
        <v>5.07</v>
      </c>
      <c r="J51">
        <v>4.93</v>
      </c>
      <c r="K51">
        <v>18.71</v>
      </c>
      <c r="L51">
        <v>11.72</v>
      </c>
      <c r="M51">
        <v>8400</v>
      </c>
      <c r="N51">
        <f t="shared" si="9"/>
        <v>6.99</v>
      </c>
      <c r="O51">
        <f t="shared" si="10"/>
        <v>5</v>
      </c>
      <c r="P51" s="2">
        <f>FiberLength!D45*MgSO4Retention!$C$2*PI()</f>
        <v>3.8704421492226246E-4</v>
      </c>
      <c r="Q51" s="2">
        <f t="shared" si="11"/>
        <v>7.7538588987019734</v>
      </c>
      <c r="R51">
        <f t="shared" si="12"/>
        <v>872</v>
      </c>
      <c r="S51">
        <v>220</v>
      </c>
      <c r="T51" s="2">
        <f t="shared" si="8"/>
        <v>0.74770642201834869</v>
      </c>
      <c r="U51" s="2"/>
      <c r="V51" s="2"/>
      <c r="W51" s="2"/>
      <c r="X51" s="2"/>
      <c r="Y51" s="2"/>
      <c r="Z51" s="2"/>
    </row>
    <row r="52" spans="6:26" x14ac:dyDescent="0.3">
      <c r="F52">
        <v>9</v>
      </c>
      <c r="G52" t="s">
        <v>4</v>
      </c>
      <c r="H52">
        <v>20.2</v>
      </c>
      <c r="I52">
        <v>5.07</v>
      </c>
      <c r="J52">
        <v>4.93</v>
      </c>
      <c r="K52">
        <v>17.11</v>
      </c>
      <c r="L52">
        <v>11.71</v>
      </c>
      <c r="M52">
        <v>8400</v>
      </c>
      <c r="N52">
        <f t="shared" si="9"/>
        <v>5.3999999999999986</v>
      </c>
      <c r="O52">
        <f t="shared" si="10"/>
        <v>5</v>
      </c>
      <c r="P52" s="2">
        <f>FiberLength!D46*MgSO4Retention!$C$2*PI()</f>
        <v>3.8924332977977537E-4</v>
      </c>
      <c r="Q52" s="2">
        <f t="shared" si="11"/>
        <v>5.9562631825338483</v>
      </c>
      <c r="R52">
        <f t="shared" si="12"/>
        <v>872</v>
      </c>
      <c r="S52">
        <v>144</v>
      </c>
      <c r="T52" s="2">
        <f t="shared" si="8"/>
        <v>0.83486238532110091</v>
      </c>
      <c r="U52" s="2">
        <f>AVERAGE(Q52:Q55)</f>
        <v>5.8978749500162282</v>
      </c>
      <c r="V52" s="2">
        <f>AVERAGE(T52:T55)</f>
        <v>0.82932912844036699</v>
      </c>
      <c r="W52" s="2">
        <f>_xlfn.STDEV.S(Q52:Q55)</f>
        <v>9.3714846546597591E-2</v>
      </c>
      <c r="X52" s="2">
        <f>_xlfn.STDEV.S(T52:T55)</f>
        <v>8.2957455820405167E-3</v>
      </c>
      <c r="Y52" s="2">
        <f>_xlfn.CONFIDENCE.T(0.05,W52,4)</f>
        <v>0.14912123357122464</v>
      </c>
      <c r="Z52" s="2">
        <f>_xlfn.CONFIDENCE.T(0.05,X52,4)</f>
        <v>1.3200382438569247E-2</v>
      </c>
    </row>
    <row r="53" spans="6:26" x14ac:dyDescent="0.3">
      <c r="G53" t="s">
        <v>5</v>
      </c>
      <c r="H53">
        <v>20.2</v>
      </c>
      <c r="I53">
        <v>5.07</v>
      </c>
      <c r="J53">
        <v>4.93</v>
      </c>
      <c r="K53">
        <v>17.04</v>
      </c>
      <c r="L53">
        <v>11.83</v>
      </c>
      <c r="M53">
        <v>8400</v>
      </c>
      <c r="N53">
        <f t="shared" si="9"/>
        <v>5.2099999999999991</v>
      </c>
      <c r="O53">
        <f t="shared" si="10"/>
        <v>5</v>
      </c>
      <c r="P53" s="2">
        <f>FiberLength!D47*MgSO4Retention!$C$2*PI()</f>
        <v>3.8484510006474965E-4</v>
      </c>
      <c r="Q53" s="2">
        <f t="shared" si="11"/>
        <v>5.8123674275526342</v>
      </c>
      <c r="R53">
        <f t="shared" si="12"/>
        <v>872</v>
      </c>
      <c r="S53">
        <v>151.30000000000001</v>
      </c>
      <c r="T53" s="2">
        <f t="shared" si="8"/>
        <v>0.82649082568807342</v>
      </c>
      <c r="U53" s="2"/>
      <c r="V53" s="2"/>
      <c r="W53" s="2"/>
      <c r="X53" s="2"/>
      <c r="Y53" s="2"/>
      <c r="Z53" s="2"/>
    </row>
    <row r="54" spans="6:26" x14ac:dyDescent="0.3">
      <c r="G54" t="s">
        <v>6</v>
      </c>
      <c r="H54">
        <v>20.2</v>
      </c>
      <c r="I54">
        <v>5.07</v>
      </c>
      <c r="J54">
        <v>4.93</v>
      </c>
      <c r="K54">
        <v>17.329999999999998</v>
      </c>
      <c r="L54">
        <v>11.83</v>
      </c>
      <c r="M54">
        <v>8400</v>
      </c>
      <c r="N54">
        <f t="shared" si="9"/>
        <v>5.4999999999999982</v>
      </c>
      <c r="O54">
        <f t="shared" si="10"/>
        <v>5</v>
      </c>
      <c r="P54" s="2">
        <f>FiberLength!D48*MgSO4Retention!$C$2*PI()</f>
        <v>3.9364155949480104E-4</v>
      </c>
      <c r="Q54" s="2">
        <f t="shared" si="11"/>
        <v>5.9987815106524947</v>
      </c>
      <c r="R54">
        <f t="shared" si="12"/>
        <v>872</v>
      </c>
      <c r="S54">
        <v>142.1</v>
      </c>
      <c r="T54" s="2">
        <f t="shared" si="8"/>
        <v>0.83704128440366976</v>
      </c>
      <c r="U54" s="2"/>
      <c r="V54" s="2"/>
      <c r="W54" s="2"/>
      <c r="X54" s="2"/>
      <c r="Y54" s="2"/>
      <c r="Z54" s="2"/>
    </row>
    <row r="55" spans="6:26" x14ac:dyDescent="0.3">
      <c r="G55" t="s">
        <v>7</v>
      </c>
      <c r="H55">
        <v>20.2</v>
      </c>
      <c r="I55">
        <v>5.07</v>
      </c>
      <c r="J55">
        <v>4.93</v>
      </c>
      <c r="K55">
        <v>17.149999999999999</v>
      </c>
      <c r="L55">
        <v>11.84</v>
      </c>
      <c r="M55">
        <v>8400</v>
      </c>
      <c r="N55">
        <f t="shared" si="9"/>
        <v>5.3099999999999987</v>
      </c>
      <c r="O55">
        <f t="shared" si="10"/>
        <v>5</v>
      </c>
      <c r="P55" s="2">
        <f>FiberLength!D49*MgSO4Retention!$C$2*PI()</f>
        <v>3.9144244463728818E-4</v>
      </c>
      <c r="Q55" s="2">
        <f t="shared" si="11"/>
        <v>5.8240876793259337</v>
      </c>
      <c r="R55">
        <f t="shared" si="12"/>
        <v>872</v>
      </c>
      <c r="S55">
        <v>157.9</v>
      </c>
      <c r="T55" s="2">
        <f t="shared" si="8"/>
        <v>0.81892201834862388</v>
      </c>
      <c r="U55" s="2"/>
      <c r="V55" s="2"/>
      <c r="W55" s="2"/>
      <c r="X55" s="2"/>
      <c r="Y55" s="2"/>
      <c r="Z55" s="2"/>
    </row>
    <row r="56" spans="6:26" x14ac:dyDescent="0.3">
      <c r="F56">
        <v>10</v>
      </c>
      <c r="G56" t="s">
        <v>4</v>
      </c>
      <c r="H56">
        <v>20.3</v>
      </c>
      <c r="I56">
        <v>5.13</v>
      </c>
      <c r="J56">
        <v>4.9400000000000004</v>
      </c>
      <c r="K56">
        <v>19.52</v>
      </c>
      <c r="L56">
        <v>11.78</v>
      </c>
      <c r="M56">
        <v>13440</v>
      </c>
      <c r="N56">
        <f t="shared" si="9"/>
        <v>7.74</v>
      </c>
      <c r="O56">
        <f t="shared" si="10"/>
        <v>5.0350000000000001</v>
      </c>
      <c r="P56" s="2">
        <f>FiberLength!D50*MgSO4Retention!$C$2*PI()</f>
        <v>3.9364155949480104E-4</v>
      </c>
      <c r="Q56" s="2">
        <f t="shared" si="11"/>
        <v>5.2762010105057193</v>
      </c>
      <c r="R56">
        <f>(872+885)/2</f>
        <v>878.5</v>
      </c>
      <c r="S56">
        <v>164.8</v>
      </c>
      <c r="T56" s="2">
        <f t="shared" si="8"/>
        <v>0.81240751280591916</v>
      </c>
      <c r="U56" s="2">
        <f>AVERAGE(Q56:Q59)</f>
        <v>5.2912539022645886</v>
      </c>
      <c r="V56" s="2">
        <f>AVERAGE(T56:T59)</f>
        <v>0.81610700056915197</v>
      </c>
      <c r="W56" s="2">
        <f>_xlfn.STDEV.S(Q56:Q59)</f>
        <v>0.32601025396244188</v>
      </c>
      <c r="X56" s="2">
        <f>_xlfn.STDEV.S(T56:T59)</f>
        <v>3.9008021957324056E-3</v>
      </c>
      <c r="Y56" s="2">
        <f>_xlfn.CONFIDENCE.T(0.05,W56,4)</f>
        <v>0.51875506410368843</v>
      </c>
      <c r="Z56" s="2">
        <f>_xlfn.CONFIDENCE.T(0.05,X56,4)</f>
        <v>6.207046767725587E-3</v>
      </c>
    </row>
    <row r="57" spans="6:26" x14ac:dyDescent="0.3">
      <c r="G57" t="s">
        <v>5</v>
      </c>
      <c r="H57">
        <v>20.3</v>
      </c>
      <c r="I57">
        <v>5.13</v>
      </c>
      <c r="J57">
        <v>4.9400000000000004</v>
      </c>
      <c r="K57">
        <v>18.920000000000002</v>
      </c>
      <c r="L57">
        <v>11.75</v>
      </c>
      <c r="M57">
        <v>13440</v>
      </c>
      <c r="N57">
        <f t="shared" si="9"/>
        <v>7.1700000000000017</v>
      </c>
      <c r="O57">
        <f t="shared" si="10"/>
        <v>5.0350000000000001</v>
      </c>
      <c r="P57" s="2">
        <f>FiberLength!D51*MgSO4Retention!$C$2*PI()</f>
        <v>3.9144244463728818E-4</v>
      </c>
      <c r="Q57" s="2">
        <f t="shared" si="11"/>
        <v>4.9151022434989375</v>
      </c>
      <c r="R57">
        <f t="shared" ref="R57:R71" si="13">(872+885)/2</f>
        <v>878.5</v>
      </c>
      <c r="S57">
        <v>156.80000000000001</v>
      </c>
      <c r="T57" s="2">
        <f t="shared" si="8"/>
        <v>0.82151394422310753</v>
      </c>
      <c r="U57" s="2"/>
      <c r="V57" s="2"/>
      <c r="W57" s="2"/>
      <c r="X57" s="2"/>
      <c r="Y57" s="2"/>
      <c r="Z57" s="2"/>
    </row>
    <row r="58" spans="6:26" x14ac:dyDescent="0.3">
      <c r="G58" t="s">
        <v>6</v>
      </c>
      <c r="H58">
        <v>20.3</v>
      </c>
      <c r="I58">
        <v>5.13</v>
      </c>
      <c r="J58">
        <v>4.9400000000000004</v>
      </c>
      <c r="K58">
        <v>19.48</v>
      </c>
      <c r="L58">
        <v>11.76</v>
      </c>
      <c r="M58">
        <v>13440</v>
      </c>
      <c r="N58">
        <f t="shared" si="9"/>
        <v>7.7200000000000006</v>
      </c>
      <c r="O58">
        <f t="shared" si="10"/>
        <v>5.0350000000000001</v>
      </c>
      <c r="P58" s="2">
        <f>FiberLength!D52*MgSO4Retention!$C$2*PI()</f>
        <v>3.9364155949480104E-4</v>
      </c>
      <c r="Q58" s="2">
        <f t="shared" si="11"/>
        <v>5.2625674161633276</v>
      </c>
      <c r="R58">
        <f t="shared" si="13"/>
        <v>878.5</v>
      </c>
      <c r="S58">
        <v>163</v>
      </c>
      <c r="T58" s="2">
        <f t="shared" si="8"/>
        <v>0.81445645987478654</v>
      </c>
      <c r="U58" s="2"/>
      <c r="V58" s="2"/>
      <c r="W58" s="2"/>
      <c r="X58" s="2"/>
      <c r="Y58" s="2"/>
      <c r="Z58" s="2"/>
    </row>
    <row r="59" spans="6:26" x14ac:dyDescent="0.3">
      <c r="G59" t="s">
        <v>7</v>
      </c>
      <c r="H59">
        <v>20.3</v>
      </c>
      <c r="I59">
        <v>5.13</v>
      </c>
      <c r="J59">
        <v>4.9400000000000004</v>
      </c>
      <c r="K59">
        <v>19.7</v>
      </c>
      <c r="L59">
        <v>11.79</v>
      </c>
      <c r="M59">
        <v>13440</v>
      </c>
      <c r="N59">
        <f t="shared" si="9"/>
        <v>7.91</v>
      </c>
      <c r="O59">
        <f t="shared" si="10"/>
        <v>5.0350000000000001</v>
      </c>
      <c r="P59" s="2">
        <f>FiberLength!D53*MgSO4Retention!$C$2*PI()</f>
        <v>3.7165041091967254E-4</v>
      </c>
      <c r="Q59" s="2">
        <f t="shared" si="11"/>
        <v>5.7111449388903717</v>
      </c>
      <c r="R59">
        <f t="shared" si="13"/>
        <v>878.5</v>
      </c>
      <c r="S59">
        <v>161.6</v>
      </c>
      <c r="T59" s="2">
        <f t="shared" si="8"/>
        <v>0.81605008537279455</v>
      </c>
      <c r="U59" s="2"/>
      <c r="V59" s="2"/>
      <c r="W59" s="2"/>
      <c r="X59" s="2"/>
      <c r="Y59" s="2"/>
      <c r="Z59" s="2"/>
    </row>
    <row r="60" spans="6:26" x14ac:dyDescent="0.3">
      <c r="F60">
        <v>11</v>
      </c>
      <c r="G60" t="s">
        <v>4</v>
      </c>
      <c r="H60">
        <v>20.3</v>
      </c>
      <c r="I60">
        <v>5.13</v>
      </c>
      <c r="J60">
        <v>4.9400000000000004</v>
      </c>
      <c r="K60">
        <v>18.190000000000001</v>
      </c>
      <c r="L60">
        <v>11.65</v>
      </c>
      <c r="M60">
        <v>13440</v>
      </c>
      <c r="N60">
        <f t="shared" si="9"/>
        <v>6.5400000000000009</v>
      </c>
      <c r="O60">
        <f t="shared" si="10"/>
        <v>5.0350000000000001</v>
      </c>
      <c r="P60" s="2">
        <f>FiberLength!D54*MgSO4Retention!$C$2*PI()</f>
        <v>3.9364155949480104E-4</v>
      </c>
      <c r="Q60" s="2">
        <f t="shared" si="11"/>
        <v>4.4581853499621973</v>
      </c>
      <c r="R60">
        <f t="shared" si="13"/>
        <v>878.5</v>
      </c>
      <c r="S60">
        <v>182.1</v>
      </c>
      <c r="T60" s="2">
        <f t="shared" si="8"/>
        <v>0.79271485486624926</v>
      </c>
      <c r="U60" s="2">
        <f>AVERAGE(Q60:Q63)</f>
        <v>4.1940344595783516</v>
      </c>
      <c r="V60" s="2">
        <f>AVERAGE(T60:T63)</f>
        <v>0.80648833238474671</v>
      </c>
      <c r="W60" s="2">
        <f>_xlfn.STDEV.S(Q60:Q63)</f>
        <v>0.31046376612930038</v>
      </c>
      <c r="X60" s="2">
        <f>_xlfn.STDEV.S(T60:T63)</f>
        <v>1.2822308700875701E-2</v>
      </c>
      <c r="Y60" s="2">
        <f>_xlfn.CONFIDENCE.T(0.05,W60,4)</f>
        <v>0.49401713272132874</v>
      </c>
      <c r="Z60" s="2">
        <f>_xlfn.CONFIDENCE.T(0.05,X60,4)</f>
        <v>2.0403154475154513E-2</v>
      </c>
    </row>
    <row r="61" spans="6:26" x14ac:dyDescent="0.3">
      <c r="G61" t="s">
        <v>5</v>
      </c>
      <c r="H61">
        <v>20.3</v>
      </c>
      <c r="I61">
        <v>5.13</v>
      </c>
      <c r="J61">
        <v>4.9400000000000004</v>
      </c>
      <c r="K61">
        <v>18.11</v>
      </c>
      <c r="L61">
        <v>11.75</v>
      </c>
      <c r="M61">
        <v>13440</v>
      </c>
      <c r="N61">
        <f t="shared" si="9"/>
        <v>6.3599999999999994</v>
      </c>
      <c r="O61">
        <f t="shared" si="10"/>
        <v>5.0350000000000001</v>
      </c>
      <c r="P61" s="2">
        <f>FiberLength!D55*MgSO4Retention!$C$2*PI()</f>
        <v>3.9364155949480104E-4</v>
      </c>
      <c r="Q61" s="2">
        <f t="shared" si="11"/>
        <v>4.3354830008806688</v>
      </c>
      <c r="R61">
        <f t="shared" si="13"/>
        <v>878.5</v>
      </c>
      <c r="S61">
        <v>165.1</v>
      </c>
      <c r="T61" s="2">
        <f t="shared" si="8"/>
        <v>0.81206602162777464</v>
      </c>
      <c r="U61" s="2"/>
      <c r="V61" s="2"/>
      <c r="W61" s="2"/>
      <c r="X61" s="2"/>
      <c r="Y61" s="2"/>
      <c r="Z61" s="2"/>
    </row>
    <row r="62" spans="6:26" x14ac:dyDescent="0.3">
      <c r="G62" t="s">
        <v>6</v>
      </c>
      <c r="H62">
        <v>20.3</v>
      </c>
      <c r="I62">
        <v>5.13</v>
      </c>
      <c r="J62">
        <v>4.9400000000000004</v>
      </c>
      <c r="K62">
        <v>18.04</v>
      </c>
      <c r="L62">
        <v>11.83</v>
      </c>
      <c r="M62">
        <v>13440</v>
      </c>
      <c r="N62">
        <f t="shared" si="9"/>
        <v>6.2099999999999991</v>
      </c>
      <c r="O62">
        <f t="shared" si="10"/>
        <v>5.0350000000000001</v>
      </c>
      <c r="P62" s="2">
        <f>FiberLength!D56*MgSO4Retention!$C$2*PI()</f>
        <v>3.9364155949480104E-4</v>
      </c>
      <c r="Q62" s="2">
        <f t="shared" si="11"/>
        <v>4.2332310433127276</v>
      </c>
      <c r="R62">
        <f t="shared" si="13"/>
        <v>878.5</v>
      </c>
      <c r="S62">
        <v>176</v>
      </c>
      <c r="T62" s="2">
        <f t="shared" si="8"/>
        <v>0.79965850882185541</v>
      </c>
      <c r="U62" s="2"/>
      <c r="V62" s="2"/>
      <c r="W62" s="2"/>
      <c r="X62" s="2"/>
      <c r="Y62" s="2"/>
      <c r="Z62" s="2"/>
    </row>
    <row r="63" spans="6:26" x14ac:dyDescent="0.3">
      <c r="G63" t="s">
        <v>7</v>
      </c>
      <c r="H63">
        <v>20.3</v>
      </c>
      <c r="I63">
        <v>5.13</v>
      </c>
      <c r="J63">
        <v>4.9400000000000004</v>
      </c>
      <c r="K63">
        <v>17.260000000000002</v>
      </c>
      <c r="L63">
        <v>11.76</v>
      </c>
      <c r="M63">
        <v>13440</v>
      </c>
      <c r="N63">
        <f t="shared" si="9"/>
        <v>5.5000000000000018</v>
      </c>
      <c r="O63">
        <f t="shared" si="10"/>
        <v>5.0350000000000001</v>
      </c>
      <c r="P63" s="2">
        <f>FiberLength!D57*MgSO4Retention!$C$2*PI()</f>
        <v>3.9364155949480104E-4</v>
      </c>
      <c r="Q63" s="2">
        <f t="shared" si="11"/>
        <v>3.7492384441578119</v>
      </c>
      <c r="R63">
        <f t="shared" si="13"/>
        <v>878.5</v>
      </c>
      <c r="S63">
        <v>156.80000000000001</v>
      </c>
      <c r="T63" s="2">
        <f t="shared" si="8"/>
        <v>0.82151394422310753</v>
      </c>
      <c r="U63" s="2"/>
      <c r="V63" s="2"/>
      <c r="W63" s="2"/>
      <c r="X63" s="2"/>
      <c r="Y63" s="2"/>
      <c r="Z63" s="2"/>
    </row>
    <row r="64" spans="6:26" x14ac:dyDescent="0.3">
      <c r="F64">
        <v>12</v>
      </c>
      <c r="G64" t="s">
        <v>4</v>
      </c>
      <c r="H64">
        <v>20.3</v>
      </c>
      <c r="I64">
        <v>5.13</v>
      </c>
      <c r="J64">
        <v>4.9400000000000004</v>
      </c>
      <c r="K64">
        <v>17.55</v>
      </c>
      <c r="L64">
        <v>11.73</v>
      </c>
      <c r="M64">
        <v>13440</v>
      </c>
      <c r="N64">
        <f t="shared" si="9"/>
        <v>5.82</v>
      </c>
      <c r="O64">
        <f t="shared" si="10"/>
        <v>5.0350000000000001</v>
      </c>
      <c r="P64" s="2">
        <f>FiberLength!D58*MgSO4Retention!$C$2*PI()</f>
        <v>3.9584067435231396E-4</v>
      </c>
      <c r="Q64" s="2">
        <f t="shared" si="11"/>
        <v>3.9453349761158822</v>
      </c>
      <c r="R64">
        <f t="shared" si="13"/>
        <v>878.5</v>
      </c>
      <c r="S64">
        <v>162.9</v>
      </c>
      <c r="T64" s="2">
        <f t="shared" si="8"/>
        <v>0.81457029026750138</v>
      </c>
      <c r="U64" s="2">
        <f>AVERAGE(Q64:Q67)</f>
        <v>3.680586658564224</v>
      </c>
      <c r="V64" s="2">
        <f>AVERAGE(T64:T67)</f>
        <v>0.83019351166761524</v>
      </c>
      <c r="W64" s="2">
        <f>_xlfn.STDEV.S(Q64:Q67)</f>
        <v>0.18782497228297035</v>
      </c>
      <c r="X64" s="2">
        <f>_xlfn.STDEV.S(T64:T67)</f>
        <v>1.2409209702617729E-2</v>
      </c>
      <c r="Y64" s="2">
        <f>_xlfn.CONFIDENCE.T(0.05,W64,4)</f>
        <v>0.29887144454097703</v>
      </c>
      <c r="Z64" s="2">
        <f>_xlfn.CONFIDENCE.T(0.05,X64,4)</f>
        <v>1.9745821784793272E-2</v>
      </c>
    </row>
    <row r="65" spans="6:26" x14ac:dyDescent="0.3">
      <c r="G65" t="s">
        <v>5</v>
      </c>
      <c r="H65">
        <v>20.3</v>
      </c>
      <c r="I65">
        <v>5.13</v>
      </c>
      <c r="J65">
        <v>4.9400000000000004</v>
      </c>
      <c r="K65">
        <v>16.86</v>
      </c>
      <c r="L65">
        <v>11.7</v>
      </c>
      <c r="M65">
        <v>13440</v>
      </c>
      <c r="N65">
        <f t="shared" si="9"/>
        <v>5.16</v>
      </c>
      <c r="O65">
        <f t="shared" si="10"/>
        <v>5.0350000000000001</v>
      </c>
      <c r="P65" s="2">
        <f>FiberLength!D59*MgSO4Retention!$C$2*PI()</f>
        <v>3.9364155949480104E-4</v>
      </c>
      <c r="Q65" s="2">
        <f t="shared" si="11"/>
        <v>3.5174673403371464</v>
      </c>
      <c r="R65">
        <f t="shared" si="13"/>
        <v>878.5</v>
      </c>
      <c r="S65">
        <v>152.80000000000001</v>
      </c>
      <c r="T65" s="2">
        <f t="shared" si="8"/>
        <v>0.82606715993170177</v>
      </c>
      <c r="U65" s="2"/>
      <c r="V65" s="2"/>
      <c r="W65" s="2"/>
      <c r="X65" s="2"/>
      <c r="Y65" s="2"/>
      <c r="Z65" s="2"/>
    </row>
    <row r="66" spans="6:26" x14ac:dyDescent="0.3">
      <c r="G66" t="s">
        <v>6</v>
      </c>
      <c r="H66">
        <v>20.3</v>
      </c>
      <c r="I66">
        <v>5.13</v>
      </c>
      <c r="J66">
        <v>4.9400000000000004</v>
      </c>
      <c r="K66">
        <v>17.02</v>
      </c>
      <c r="L66">
        <v>11.79</v>
      </c>
      <c r="M66">
        <v>13440</v>
      </c>
      <c r="N66">
        <f t="shared" si="9"/>
        <v>5.23</v>
      </c>
      <c r="O66">
        <f t="shared" si="10"/>
        <v>5.0350000000000001</v>
      </c>
      <c r="P66" s="2">
        <f>FiberLength!D60*MgSO4Retention!$C$2*PI()</f>
        <v>3.9144244463728818E-4</v>
      </c>
      <c r="Q66" s="2">
        <f t="shared" si="11"/>
        <v>3.585214049302571</v>
      </c>
      <c r="R66">
        <f t="shared" si="13"/>
        <v>878.5</v>
      </c>
      <c r="S66">
        <v>139</v>
      </c>
      <c r="T66" s="2">
        <f t="shared" si="8"/>
        <v>0.84177575412635175</v>
      </c>
      <c r="U66" s="2"/>
      <c r="V66" s="2"/>
      <c r="W66" s="2"/>
      <c r="X66" s="2"/>
      <c r="Y66" s="2"/>
      <c r="Z66" s="2"/>
    </row>
    <row r="67" spans="6:26" x14ac:dyDescent="0.3">
      <c r="G67" t="s">
        <v>7</v>
      </c>
      <c r="H67">
        <v>20.3</v>
      </c>
      <c r="I67">
        <v>5.13</v>
      </c>
      <c r="J67">
        <v>4.9400000000000004</v>
      </c>
      <c r="K67">
        <v>17.079999999999998</v>
      </c>
      <c r="L67">
        <v>11.72</v>
      </c>
      <c r="M67">
        <v>13440</v>
      </c>
      <c r="N67">
        <f t="shared" si="9"/>
        <v>5.3599999999999977</v>
      </c>
      <c r="O67">
        <f t="shared" si="10"/>
        <v>5.0350000000000001</v>
      </c>
      <c r="P67" s="2">
        <f>FiberLength!D61*MgSO4Retention!$C$2*PI()</f>
        <v>3.9144244463728818E-4</v>
      </c>
      <c r="Q67" s="2">
        <f t="shared" si="11"/>
        <v>3.6743302685012953</v>
      </c>
      <c r="R67">
        <f t="shared" si="13"/>
        <v>878.5</v>
      </c>
      <c r="S67">
        <v>142</v>
      </c>
      <c r="T67" s="2">
        <f t="shared" si="8"/>
        <v>0.83836084234490604</v>
      </c>
      <c r="U67" s="2"/>
      <c r="V67" s="2"/>
      <c r="W67" s="2"/>
      <c r="X67" s="2"/>
      <c r="Y67" s="2"/>
      <c r="Z67" s="2"/>
    </row>
    <row r="68" spans="6:26" x14ac:dyDescent="0.3">
      <c r="F68">
        <v>14</v>
      </c>
      <c r="G68" t="s">
        <v>4</v>
      </c>
      <c r="H68">
        <v>20.3</v>
      </c>
      <c r="I68">
        <v>5.13</v>
      </c>
      <c r="J68">
        <v>4.9400000000000004</v>
      </c>
      <c r="K68">
        <v>16.399999999999999</v>
      </c>
      <c r="L68">
        <v>11.72</v>
      </c>
      <c r="M68">
        <v>13440</v>
      </c>
      <c r="N68">
        <f t="shared" si="9"/>
        <v>4.6799999999999979</v>
      </c>
      <c r="O68">
        <f t="shared" si="10"/>
        <v>5.0350000000000001</v>
      </c>
      <c r="P68" s="2">
        <f>FiberLength!D62*MgSO4Retention!$C$2*PI()</f>
        <v>3.9144244463728818E-4</v>
      </c>
      <c r="Q68" s="2">
        <f t="shared" si="11"/>
        <v>3.2081838911541163</v>
      </c>
      <c r="R68">
        <f t="shared" si="13"/>
        <v>878.5</v>
      </c>
      <c r="S68">
        <v>179</v>
      </c>
      <c r="T68" s="2">
        <f t="shared" si="8"/>
        <v>0.79624359704040981</v>
      </c>
      <c r="U68" s="2">
        <f>AVERAGE(Q68:Q71)</f>
        <v>3.3715086281598712</v>
      </c>
      <c r="V68" s="2">
        <f>AVERAGE(T68:T71)</f>
        <v>0.80546385885031313</v>
      </c>
      <c r="W68" s="2">
        <f>_xlfn.STDEV.S(Q68:Q71)</f>
        <v>0.1773192600475556</v>
      </c>
      <c r="X68" s="2">
        <f>_xlfn.STDEV.S(T68:T71)</f>
        <v>8.6201003917172822E-3</v>
      </c>
      <c r="Y68" s="2">
        <f>_xlfn.CONFIDENCE.T(0.05,W68,4)</f>
        <v>0.28215451199699226</v>
      </c>
      <c r="Z68" s="2">
        <f>_xlfn.CONFIDENCE.T(0.05,X68,4)</f>
        <v>1.371650332139766E-2</v>
      </c>
    </row>
    <row r="69" spans="6:26" x14ac:dyDescent="0.3">
      <c r="G69" t="s">
        <v>5</v>
      </c>
      <c r="H69">
        <v>20.3</v>
      </c>
      <c r="I69">
        <v>5.13</v>
      </c>
      <c r="J69">
        <v>4.9400000000000004</v>
      </c>
      <c r="K69">
        <v>17.05</v>
      </c>
      <c r="L69">
        <v>11.72</v>
      </c>
      <c r="M69">
        <v>13440</v>
      </c>
      <c r="N69">
        <f t="shared" si="9"/>
        <v>5.33</v>
      </c>
      <c r="O69">
        <f t="shared" si="10"/>
        <v>5.0350000000000001</v>
      </c>
      <c r="P69" s="2">
        <f>FiberLength!D63*MgSO4Retention!$C$2*PI()</f>
        <v>3.9584067435231396E-4</v>
      </c>
      <c r="Q69" s="2">
        <f t="shared" si="11"/>
        <v>3.6131675984016582</v>
      </c>
      <c r="R69">
        <f t="shared" si="13"/>
        <v>878.5</v>
      </c>
      <c r="S69">
        <v>168.4</v>
      </c>
      <c r="T69" s="2">
        <f t="shared" si="8"/>
        <v>0.8083096186681844</v>
      </c>
      <c r="U69" s="2"/>
      <c r="V69" s="2"/>
      <c r="W69" s="2"/>
      <c r="X69" s="2"/>
      <c r="Y69" s="2"/>
      <c r="Z69" s="2"/>
    </row>
    <row r="70" spans="6:26" x14ac:dyDescent="0.3">
      <c r="G70" t="s">
        <v>6</v>
      </c>
      <c r="H70">
        <v>20.3</v>
      </c>
      <c r="I70">
        <v>5.13</v>
      </c>
      <c r="J70">
        <v>4.9400000000000004</v>
      </c>
      <c r="K70">
        <v>16.75</v>
      </c>
      <c r="L70">
        <v>11.78</v>
      </c>
      <c r="M70">
        <v>13440</v>
      </c>
      <c r="N70">
        <f t="shared" si="9"/>
        <v>4.9700000000000006</v>
      </c>
      <c r="O70">
        <f t="shared" si="10"/>
        <v>5.0350000000000001</v>
      </c>
      <c r="P70" s="2">
        <f>FiberLength!D64*MgSO4Retention!$C$2*PI()</f>
        <v>3.9364155949480104E-4</v>
      </c>
      <c r="Q70" s="2">
        <f t="shared" si="11"/>
        <v>3.387948194084422</v>
      </c>
      <c r="R70">
        <f t="shared" si="13"/>
        <v>878.5</v>
      </c>
      <c r="S70">
        <v>161.6</v>
      </c>
      <c r="T70" s="2">
        <f t="shared" si="8"/>
        <v>0.81605008537279455</v>
      </c>
      <c r="U70" s="2"/>
      <c r="V70" s="2"/>
      <c r="W70" s="2"/>
      <c r="X70" s="2"/>
      <c r="Y70" s="2"/>
      <c r="Z70" s="2"/>
    </row>
    <row r="71" spans="6:26" x14ac:dyDescent="0.3">
      <c r="G71" t="s">
        <v>7</v>
      </c>
      <c r="H71">
        <v>20.3</v>
      </c>
      <c r="I71">
        <v>5.13</v>
      </c>
      <c r="J71">
        <v>4.9400000000000004</v>
      </c>
      <c r="K71">
        <v>16.579999999999998</v>
      </c>
      <c r="L71">
        <v>11.8</v>
      </c>
      <c r="M71">
        <v>13440</v>
      </c>
      <c r="N71">
        <f t="shared" si="9"/>
        <v>4.7799999999999976</v>
      </c>
      <c r="O71">
        <f t="shared" si="10"/>
        <v>5.0350000000000001</v>
      </c>
      <c r="P71" s="2">
        <f>FiberLength!D65*MgSO4Retention!$C$2*PI()</f>
        <v>3.9144244463728818E-4</v>
      </c>
      <c r="Q71" s="2">
        <f t="shared" si="11"/>
        <v>3.276734828999289</v>
      </c>
      <c r="R71">
        <f t="shared" si="13"/>
        <v>878.5</v>
      </c>
      <c r="S71">
        <v>174.6</v>
      </c>
      <c r="T71" s="2">
        <f t="shared" si="8"/>
        <v>0.80125213431986342</v>
      </c>
      <c r="U71" s="2"/>
      <c r="V71" s="2"/>
      <c r="W71" s="2"/>
      <c r="X71" s="2"/>
      <c r="Y71" s="2"/>
      <c r="Z71" s="2"/>
    </row>
  </sheetData>
  <mergeCells count="3">
    <mergeCell ref="U5:V5"/>
    <mergeCell ref="W5:X5"/>
    <mergeCell ref="Y5:Z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996BB-44F2-4555-990D-273181A654BC}">
  <dimension ref="B2:AK31"/>
  <sheetViews>
    <sheetView zoomScaleNormal="100" workbookViewId="0"/>
  </sheetViews>
  <sheetFormatPr defaultRowHeight="14.4" x14ac:dyDescent="0.3"/>
  <cols>
    <col min="2" max="2" width="23.21875" bestFit="1" customWidth="1"/>
    <col min="5" max="5" width="5.44140625" bestFit="1" customWidth="1"/>
    <col min="6" max="6" width="10" bestFit="1" customWidth="1"/>
    <col min="7" max="7" width="8.88671875" customWidth="1"/>
    <col min="8" max="8" width="10" bestFit="1" customWidth="1"/>
    <col min="9" max="9" width="10.21875" bestFit="1" customWidth="1"/>
    <col min="10" max="10" width="11.5546875" bestFit="1" customWidth="1"/>
    <col min="13" max="13" width="10.88671875" bestFit="1" customWidth="1"/>
    <col min="14" max="14" width="20.5546875" customWidth="1"/>
    <col min="15" max="15" width="15.5546875" bestFit="1" customWidth="1"/>
    <col min="16" max="16" width="29.109375" bestFit="1" customWidth="1"/>
    <col min="17" max="17" width="38.33203125" bestFit="1" customWidth="1"/>
    <col min="18" max="18" width="9" bestFit="1" customWidth="1"/>
    <col min="19" max="21" width="8.6640625" bestFit="1" customWidth="1"/>
    <col min="22" max="22" width="13.109375" bestFit="1" customWidth="1"/>
    <col min="23" max="23" width="15.5546875" customWidth="1"/>
    <col min="24" max="27" width="8.6640625" bestFit="1" customWidth="1"/>
    <col min="28" max="28" width="15.5546875" customWidth="1"/>
    <col min="29" max="32" width="8.6640625" bestFit="1" customWidth="1"/>
    <col min="33" max="33" width="15.5546875" bestFit="1" customWidth="1"/>
  </cols>
  <sheetData>
    <row r="2" spans="2:37" x14ac:dyDescent="0.3">
      <c r="B2" t="s">
        <v>36</v>
      </c>
      <c r="C2">
        <v>6.9999999999999999E-4</v>
      </c>
    </row>
    <row r="3" spans="2:37" x14ac:dyDescent="0.3">
      <c r="B3" t="s">
        <v>37</v>
      </c>
      <c r="C3">
        <v>1</v>
      </c>
    </row>
    <row r="4" spans="2:37" x14ac:dyDescent="0.3">
      <c r="B4" t="s">
        <v>38</v>
      </c>
      <c r="C4">
        <v>998.21</v>
      </c>
    </row>
    <row r="5" spans="2:37" x14ac:dyDescent="0.3">
      <c r="B5" t="s">
        <v>39</v>
      </c>
      <c r="C5">
        <v>1.0016000000000001E-3</v>
      </c>
    </row>
    <row r="6" spans="2:37" x14ac:dyDescent="0.3">
      <c r="R6" s="4" t="s">
        <v>35</v>
      </c>
      <c r="S6" s="4"/>
      <c r="T6" s="4"/>
      <c r="U6" s="4"/>
      <c r="V6" t="s">
        <v>43</v>
      </c>
      <c r="W6" s="4" t="s">
        <v>2</v>
      </c>
      <c r="X6" s="4"/>
      <c r="Y6" s="4"/>
      <c r="Z6" s="4"/>
      <c r="AA6" s="4"/>
      <c r="AB6" s="4" t="s">
        <v>44</v>
      </c>
      <c r="AC6" s="4"/>
      <c r="AD6" s="4"/>
      <c r="AE6" s="4"/>
      <c r="AF6" s="4"/>
      <c r="AG6" s="4" t="s">
        <v>17</v>
      </c>
      <c r="AH6" s="4"/>
      <c r="AI6" s="4"/>
      <c r="AJ6" s="4"/>
      <c r="AK6" s="4"/>
    </row>
    <row r="7" spans="2:37" x14ac:dyDescent="0.3">
      <c r="E7" t="s">
        <v>1</v>
      </c>
      <c r="F7" t="s">
        <v>18</v>
      </c>
      <c r="G7" t="s">
        <v>19</v>
      </c>
      <c r="H7" t="s">
        <v>20</v>
      </c>
      <c r="I7" t="s">
        <v>21</v>
      </c>
      <c r="J7" t="s">
        <v>22</v>
      </c>
      <c r="K7" t="s">
        <v>23</v>
      </c>
      <c r="L7" t="s">
        <v>24</v>
      </c>
      <c r="M7" t="s">
        <v>25</v>
      </c>
      <c r="N7" t="s">
        <v>27</v>
      </c>
      <c r="O7" t="s">
        <v>28</v>
      </c>
      <c r="P7" t="s">
        <v>29</v>
      </c>
      <c r="Q7" t="s">
        <v>26</v>
      </c>
      <c r="R7" t="s">
        <v>40</v>
      </c>
      <c r="S7">
        <v>400</v>
      </c>
      <c r="T7">
        <v>1000</v>
      </c>
      <c r="U7">
        <v>3000</v>
      </c>
      <c r="V7" t="s">
        <v>42</v>
      </c>
      <c r="W7" t="s">
        <v>28</v>
      </c>
      <c r="X7" t="s">
        <v>40</v>
      </c>
      <c r="Y7">
        <v>400</v>
      </c>
      <c r="Z7">
        <v>1000</v>
      </c>
      <c r="AA7">
        <v>3000</v>
      </c>
      <c r="AB7" t="s">
        <v>28</v>
      </c>
      <c r="AC7" t="s">
        <v>40</v>
      </c>
      <c r="AD7">
        <v>400</v>
      </c>
      <c r="AE7">
        <v>1000</v>
      </c>
      <c r="AF7">
        <v>3000</v>
      </c>
      <c r="AG7" t="s">
        <v>28</v>
      </c>
      <c r="AH7" t="s">
        <v>40</v>
      </c>
      <c r="AI7">
        <v>400</v>
      </c>
      <c r="AJ7">
        <v>1000</v>
      </c>
      <c r="AK7">
        <v>3000</v>
      </c>
    </row>
    <row r="8" spans="2:37" x14ac:dyDescent="0.3">
      <c r="E8" t="s">
        <v>4</v>
      </c>
      <c r="F8">
        <v>21.3</v>
      </c>
      <c r="G8">
        <v>0.6</v>
      </c>
      <c r="H8">
        <v>0.4</v>
      </c>
      <c r="I8">
        <v>25.25</v>
      </c>
      <c r="J8">
        <v>11.8</v>
      </c>
      <c r="K8">
        <v>2220</v>
      </c>
      <c r="L8">
        <f>I8-J8</f>
        <v>13.45</v>
      </c>
      <c r="M8">
        <f>(G8+H8)/2</f>
        <v>0.5</v>
      </c>
      <c r="N8" s="2">
        <v>3.9584067435231396E-4</v>
      </c>
      <c r="O8" s="2">
        <f>L8/N8/K8*60*60/$C$4</f>
        <v>55.198779678842428</v>
      </c>
      <c r="P8" s="2">
        <f>O8/M8</f>
        <v>110.39755935768486</v>
      </c>
      <c r="Q8" s="2">
        <f>(M8*10^5)/$C$5/(O8/1000/60/60)</f>
        <v>3255732483752.3745</v>
      </c>
      <c r="R8" s="2">
        <v>3.0000000000000001E-3</v>
      </c>
      <c r="S8" s="2">
        <v>2.1999999999999999E-2</v>
      </c>
      <c r="T8" s="2">
        <v>6.0999999999999999E-2</v>
      </c>
      <c r="U8" s="2">
        <v>5.8999999999999997E-2</v>
      </c>
      <c r="V8">
        <v>10000</v>
      </c>
      <c r="W8" s="2">
        <f>AVERAGE(O8:O15)</f>
        <v>53.454580320960787</v>
      </c>
      <c r="X8" s="2">
        <f>AVERAGE(R8:R15)</f>
        <v>4.7499999999999999E-3</v>
      </c>
      <c r="Y8" s="2">
        <f t="shared" ref="Y8:AA8" si="0">AVERAGE(S8:S15)</f>
        <v>2.2875E-2</v>
      </c>
      <c r="Z8" s="2">
        <f t="shared" si="0"/>
        <v>6.0874999999999999E-2</v>
      </c>
      <c r="AA8" s="2">
        <f t="shared" si="0"/>
        <v>5.9749999999999998E-2</v>
      </c>
      <c r="AB8" s="2">
        <f>_xlfn.STDEV.S(O8:O15)</f>
        <v>6.2158595731166963</v>
      </c>
      <c r="AC8" s="2">
        <f>_xlfn.STDEV.S(R8:R15)</f>
        <v>2.1213203435596424E-3</v>
      </c>
      <c r="AD8" s="2">
        <f t="shared" ref="AD8:AF8" si="1">_xlfn.STDEV.S(S8:S15)</f>
        <v>3.720119045714225E-3</v>
      </c>
      <c r="AE8" s="2">
        <f t="shared" si="1"/>
        <v>1.027392677745814E-2</v>
      </c>
      <c r="AF8" s="2">
        <f t="shared" si="1"/>
        <v>1.2680130688826279E-2</v>
      </c>
      <c r="AG8" s="2">
        <f>_xlfn.CONFIDENCE.T(0.05,AB8,8)</f>
        <v>5.196588649037885</v>
      </c>
      <c r="AH8" s="2">
        <f t="shared" ref="AH8:AK8" si="2">_xlfn.CONFIDENCE.T(0.05,AC8,8)</f>
        <v>1.7734681886945884E-3</v>
      </c>
      <c r="AI8" s="2">
        <f t="shared" si="2"/>
        <v>3.1100973531702492E-3</v>
      </c>
      <c r="AJ8" s="2">
        <f t="shared" si="2"/>
        <v>8.5892177332467269E-3</v>
      </c>
      <c r="AK8" s="2">
        <f t="shared" si="2"/>
        <v>1.0600854544857733E-2</v>
      </c>
    </row>
    <row r="9" spans="2:37" x14ac:dyDescent="0.3">
      <c r="E9" t="s">
        <v>5</v>
      </c>
      <c r="F9">
        <v>21.3</v>
      </c>
      <c r="G9">
        <v>0.6</v>
      </c>
      <c r="H9">
        <v>0.4</v>
      </c>
      <c r="I9">
        <v>25.63</v>
      </c>
      <c r="J9">
        <v>11.75</v>
      </c>
      <c r="K9">
        <v>2220</v>
      </c>
      <c r="L9">
        <f t="shared" ref="L9:L31" si="3">I9-J9</f>
        <v>13.879999999999999</v>
      </c>
      <c r="M9">
        <f t="shared" ref="M9:M31" si="4">(G9+H9)/2</f>
        <v>0.5</v>
      </c>
      <c r="N9" s="2">
        <v>3.9584067435231396E-4</v>
      </c>
      <c r="O9" s="2">
        <f t="shared" ref="O9:O31" si="5">L9/N9/K9*60*60/$C$4</f>
        <v>56.963499029169732</v>
      </c>
      <c r="P9" s="2">
        <f t="shared" ref="P9:P31" si="6">O9/M9</f>
        <v>113.92699805833946</v>
      </c>
      <c r="Q9" s="2">
        <f t="shared" ref="Q9:Q31" si="7">(M9*10^5)/$C$5/(O9/1000/60/60)</f>
        <v>3154870454356.5874</v>
      </c>
      <c r="R9" s="2">
        <v>4.0000000000000001E-3</v>
      </c>
      <c r="S9" s="2">
        <v>2.1000000000000001E-2</v>
      </c>
      <c r="T9" s="2">
        <v>5.7000000000000002E-2</v>
      </c>
      <c r="U9" s="2">
        <v>5.8999999999999997E-2</v>
      </c>
      <c r="V9">
        <v>10000</v>
      </c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2:37" x14ac:dyDescent="0.3">
      <c r="E10" t="s">
        <v>6</v>
      </c>
      <c r="F10">
        <v>21.3</v>
      </c>
      <c r="G10">
        <v>0.6</v>
      </c>
      <c r="H10">
        <v>0.4</v>
      </c>
      <c r="I10">
        <v>26.28</v>
      </c>
      <c r="J10">
        <v>11.78</v>
      </c>
      <c r="K10">
        <v>2220</v>
      </c>
      <c r="L10">
        <f t="shared" si="3"/>
        <v>14.500000000000002</v>
      </c>
      <c r="M10">
        <f t="shared" si="4"/>
        <v>0.5</v>
      </c>
      <c r="N10" s="2">
        <v>3.9584067435231396E-4</v>
      </c>
      <c r="O10" s="2">
        <f t="shared" si="5"/>
        <v>59.507978092432353</v>
      </c>
      <c r="P10" s="2">
        <f t="shared" si="6"/>
        <v>119.01595618486471</v>
      </c>
      <c r="Q10" s="2">
        <f t="shared" si="7"/>
        <v>3019972545273.7549</v>
      </c>
      <c r="R10" s="2">
        <v>4.0000000000000001E-3</v>
      </c>
      <c r="S10" s="2">
        <v>0.02</v>
      </c>
      <c r="T10" s="2">
        <v>5.6000000000000001E-2</v>
      </c>
      <c r="U10" s="2">
        <v>5.2999999999999999E-2</v>
      </c>
      <c r="V10">
        <v>10000</v>
      </c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2:37" x14ac:dyDescent="0.3">
      <c r="E11" t="s">
        <v>7</v>
      </c>
      <c r="F11">
        <v>21.3</v>
      </c>
      <c r="G11">
        <v>0.6</v>
      </c>
      <c r="H11">
        <v>0.4</v>
      </c>
      <c r="I11">
        <v>24.68</v>
      </c>
      <c r="J11">
        <v>11.79</v>
      </c>
      <c r="K11">
        <v>2220</v>
      </c>
      <c r="L11">
        <f t="shared" si="3"/>
        <v>12.89</v>
      </c>
      <c r="M11">
        <f t="shared" si="4"/>
        <v>0.5</v>
      </c>
      <c r="N11" s="2">
        <v>3.9584067435231396E-4</v>
      </c>
      <c r="O11" s="2">
        <f t="shared" si="5"/>
        <v>52.900540524927806</v>
      </c>
      <c r="P11" s="2">
        <f t="shared" si="6"/>
        <v>105.80108104985561</v>
      </c>
      <c r="Q11" s="2">
        <f t="shared" si="7"/>
        <v>3397176253411.1274</v>
      </c>
      <c r="R11" s="2">
        <v>3.0000000000000001E-3</v>
      </c>
      <c r="S11" s="2">
        <v>2.1999999999999999E-2</v>
      </c>
      <c r="T11" s="2">
        <v>6.3E-2</v>
      </c>
      <c r="U11" s="2">
        <v>5.5E-2</v>
      </c>
      <c r="V11">
        <v>10000</v>
      </c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2:37" x14ac:dyDescent="0.3">
      <c r="E12" t="s">
        <v>10</v>
      </c>
      <c r="F12">
        <v>21.3</v>
      </c>
      <c r="G12">
        <v>0.6</v>
      </c>
      <c r="H12">
        <v>0.4</v>
      </c>
      <c r="I12">
        <v>26.2</v>
      </c>
      <c r="J12">
        <v>11.83</v>
      </c>
      <c r="K12">
        <v>2220</v>
      </c>
      <c r="L12">
        <f t="shared" si="3"/>
        <v>14.37</v>
      </c>
      <c r="M12">
        <f t="shared" si="4"/>
        <v>0.5</v>
      </c>
      <c r="N12" s="2">
        <v>3.9584067435231396E-4</v>
      </c>
      <c r="O12" s="2">
        <f t="shared" si="5"/>
        <v>58.974458288845035</v>
      </c>
      <c r="P12" s="2">
        <f t="shared" si="6"/>
        <v>117.94891657769007</v>
      </c>
      <c r="Q12" s="2">
        <f t="shared" si="7"/>
        <v>3047293104138.4434</v>
      </c>
      <c r="R12" s="2">
        <v>3.0000000000000001E-3</v>
      </c>
      <c r="S12" s="2">
        <v>1.9E-2</v>
      </c>
      <c r="T12" s="2">
        <v>5.2999999999999999E-2</v>
      </c>
      <c r="U12" s="2">
        <v>4.9000000000000002E-2</v>
      </c>
      <c r="V12">
        <v>10000</v>
      </c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2:37" x14ac:dyDescent="0.3">
      <c r="E13" t="s">
        <v>11</v>
      </c>
      <c r="F13">
        <v>21.3</v>
      </c>
      <c r="G13">
        <v>0.6</v>
      </c>
      <c r="H13">
        <v>0.4</v>
      </c>
      <c r="I13">
        <v>21.91</v>
      </c>
      <c r="J13">
        <v>11.74</v>
      </c>
      <c r="K13">
        <v>2220</v>
      </c>
      <c r="L13">
        <f t="shared" si="3"/>
        <v>10.17</v>
      </c>
      <c r="M13">
        <f t="shared" si="4"/>
        <v>0.5</v>
      </c>
      <c r="N13" s="2">
        <v>3.9584067435231396E-4</v>
      </c>
      <c r="O13" s="2">
        <f t="shared" si="5"/>
        <v>41.737664634485313</v>
      </c>
      <c r="P13" s="2">
        <f t="shared" si="6"/>
        <v>83.475329268970626</v>
      </c>
      <c r="Q13" s="2">
        <f t="shared" si="7"/>
        <v>4305762232691.1934</v>
      </c>
      <c r="R13" s="2">
        <v>6.0000000000000001E-3</v>
      </c>
      <c r="S13" s="2">
        <v>3.1E-2</v>
      </c>
      <c r="T13" s="2">
        <v>8.4000000000000005E-2</v>
      </c>
      <c r="U13" s="2">
        <v>0.09</v>
      </c>
      <c r="V13">
        <v>10000</v>
      </c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2:37" x14ac:dyDescent="0.3">
      <c r="E14" t="s">
        <v>12</v>
      </c>
      <c r="F14">
        <v>21.3</v>
      </c>
      <c r="G14">
        <v>0.6</v>
      </c>
      <c r="H14">
        <v>0.4</v>
      </c>
      <c r="I14">
        <v>25.26</v>
      </c>
      <c r="J14">
        <v>11.7</v>
      </c>
      <c r="K14">
        <v>2220</v>
      </c>
      <c r="L14">
        <f t="shared" si="3"/>
        <v>13.560000000000002</v>
      </c>
      <c r="M14">
        <f t="shared" si="4"/>
        <v>0.5</v>
      </c>
      <c r="N14" s="2">
        <v>3.9584067435231396E-4</v>
      </c>
      <c r="O14" s="2">
        <f t="shared" si="5"/>
        <v>55.650219512647091</v>
      </c>
      <c r="P14" s="2">
        <f t="shared" si="6"/>
        <v>111.30043902529418</v>
      </c>
      <c r="Q14" s="2">
        <f t="shared" si="7"/>
        <v>3229321674518.395</v>
      </c>
      <c r="R14" s="2">
        <v>8.9999999999999993E-3</v>
      </c>
      <c r="S14" s="2">
        <v>2.4E-2</v>
      </c>
      <c r="T14" s="2">
        <v>5.0999999999999997E-2</v>
      </c>
      <c r="U14" s="2">
        <v>5.5E-2</v>
      </c>
      <c r="V14">
        <v>10000</v>
      </c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2:37" x14ac:dyDescent="0.3">
      <c r="E15" t="s">
        <v>13</v>
      </c>
      <c r="F15">
        <v>21.3</v>
      </c>
      <c r="G15">
        <v>0.6</v>
      </c>
      <c r="H15">
        <v>0.4</v>
      </c>
      <c r="I15">
        <v>23.08</v>
      </c>
      <c r="J15">
        <v>11.7</v>
      </c>
      <c r="K15">
        <v>2220</v>
      </c>
      <c r="L15">
        <f t="shared" si="3"/>
        <v>11.379999999999999</v>
      </c>
      <c r="M15">
        <f t="shared" si="4"/>
        <v>0.5</v>
      </c>
      <c r="N15" s="2">
        <v>3.9584067435231396E-4</v>
      </c>
      <c r="O15" s="2">
        <f t="shared" si="5"/>
        <v>46.703502806336559</v>
      </c>
      <c r="P15" s="2">
        <f t="shared" si="6"/>
        <v>93.407005612673117</v>
      </c>
      <c r="Q15" s="2">
        <f t="shared" si="7"/>
        <v>3847943928512.2529</v>
      </c>
      <c r="R15" s="2">
        <v>6.0000000000000001E-3</v>
      </c>
      <c r="S15" s="2">
        <v>2.4E-2</v>
      </c>
      <c r="T15" s="2">
        <v>6.2E-2</v>
      </c>
      <c r="U15" s="2">
        <v>5.8000000000000003E-2</v>
      </c>
      <c r="V15">
        <v>10000</v>
      </c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2:37" x14ac:dyDescent="0.3">
      <c r="E16" t="s">
        <v>4</v>
      </c>
      <c r="F16">
        <v>21</v>
      </c>
      <c r="G16">
        <v>1.1100000000000001</v>
      </c>
      <c r="H16">
        <v>0.89</v>
      </c>
      <c r="I16">
        <v>18.760000000000002</v>
      </c>
      <c r="J16">
        <v>11.8</v>
      </c>
      <c r="K16">
        <v>600</v>
      </c>
      <c r="L16">
        <f t="shared" si="3"/>
        <v>6.9600000000000009</v>
      </c>
      <c r="M16">
        <f t="shared" si="4"/>
        <v>1</v>
      </c>
      <c r="N16" s="2">
        <v>3.9584067435231396E-4</v>
      </c>
      <c r="O16" s="2">
        <f t="shared" si="5"/>
        <v>105.68616909215989</v>
      </c>
      <c r="P16" s="2">
        <f t="shared" si="6"/>
        <v>105.68616909215989</v>
      </c>
      <c r="Q16" s="2">
        <f t="shared" si="7"/>
        <v>3400869983416.3892</v>
      </c>
      <c r="R16" s="2">
        <v>4.0000000000000001E-3</v>
      </c>
      <c r="S16" s="2">
        <v>2.1000000000000001E-2</v>
      </c>
      <c r="T16" s="2">
        <v>4.9000000000000002E-2</v>
      </c>
      <c r="U16" s="2">
        <v>3.1E-2</v>
      </c>
      <c r="V16">
        <v>10000</v>
      </c>
      <c r="W16" s="2">
        <f>AVERAGE(O16:O23)</f>
        <v>101.54831261549127</v>
      </c>
      <c r="X16" s="2">
        <f>AVERAGE(R16:R23)</f>
        <v>1.8749999999999999E-3</v>
      </c>
      <c r="Y16" s="2">
        <f t="shared" ref="Y16" si="8">AVERAGE(S16:S23)</f>
        <v>0.02</v>
      </c>
      <c r="Z16" s="2">
        <f t="shared" ref="Z16" si="9">AVERAGE(T16:T23)</f>
        <v>4.6874999999999993E-2</v>
      </c>
      <c r="AA16" s="2">
        <f t="shared" ref="AA16" si="10">AVERAGE(U16:U23)</f>
        <v>3.1625E-2</v>
      </c>
      <c r="AB16" s="2">
        <f>_xlfn.STDEV.S(O16:O23)</f>
        <v>12.352929248456316</v>
      </c>
      <c r="AC16" s="2">
        <f>_xlfn.STDEV.S(R16:R23)</f>
        <v>1.246423454758225E-3</v>
      </c>
      <c r="AD16" s="2">
        <f t="shared" ref="AD16" si="11">_xlfn.STDEV.S(S16:S23)</f>
        <v>4.3752550946038731E-3</v>
      </c>
      <c r="AE16" s="2">
        <f t="shared" ref="AE16" si="12">_xlfn.STDEV.S(T16:T23)</f>
        <v>1.2414709017935177E-2</v>
      </c>
      <c r="AF16" s="2">
        <f t="shared" ref="AF16" si="13">_xlfn.STDEV.S(U16:U23)</f>
        <v>9.226321043622962E-3</v>
      </c>
      <c r="AG16" s="2">
        <f>_xlfn.CONFIDENCE.T(0.05,AB16,8)</f>
        <v>10.327307295121068</v>
      </c>
      <c r="AH16" s="2">
        <f t="shared" ref="AH16" si="14">_xlfn.CONFIDENCE.T(0.05,AC16,8)</f>
        <v>1.0420360853878603E-3</v>
      </c>
      <c r="AI16" s="2">
        <f t="shared" ref="AI16" si="15">_xlfn.CONFIDENCE.T(0.05,AD16,8)</f>
        <v>3.6578047965558202E-3</v>
      </c>
      <c r="AJ16" s="2">
        <f t="shared" ref="AJ16" si="16">_xlfn.CONFIDENCE.T(0.05,AE16,8)</f>
        <v>1.0378956474938857E-2</v>
      </c>
      <c r="AK16" s="2">
        <f t="shared" ref="AK16" si="17">_xlfn.CONFIDENCE.T(0.05,AF16,8)</f>
        <v>7.7133974221412702E-3</v>
      </c>
    </row>
    <row r="17" spans="5:37" x14ac:dyDescent="0.3">
      <c r="E17" t="s">
        <v>5</v>
      </c>
      <c r="F17">
        <v>21</v>
      </c>
      <c r="G17">
        <v>1.1100000000000001</v>
      </c>
      <c r="H17">
        <v>0.89</v>
      </c>
      <c r="I17">
        <v>18.95</v>
      </c>
      <c r="J17">
        <v>11.75</v>
      </c>
      <c r="K17">
        <v>600</v>
      </c>
      <c r="L17">
        <f t="shared" si="3"/>
        <v>7.1999999999999993</v>
      </c>
      <c r="M17">
        <f t="shared" si="4"/>
        <v>1</v>
      </c>
      <c r="N17" s="2">
        <v>3.9584067435231396E-4</v>
      </c>
      <c r="O17" s="2">
        <f t="shared" si="5"/>
        <v>109.33051975051019</v>
      </c>
      <c r="P17" s="2">
        <f t="shared" si="6"/>
        <v>109.33051975051019</v>
      </c>
      <c r="Q17" s="2">
        <f t="shared" si="7"/>
        <v>3287507650635.8438</v>
      </c>
      <c r="R17" s="2">
        <v>3.0000000000000001E-3</v>
      </c>
      <c r="S17" s="2">
        <v>1.9E-2</v>
      </c>
      <c r="T17" s="2">
        <v>4.4999999999999998E-2</v>
      </c>
      <c r="U17" s="2">
        <v>3.2000000000000001E-2</v>
      </c>
      <c r="V17">
        <v>10000</v>
      </c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5:37" x14ac:dyDescent="0.3">
      <c r="E18" t="s">
        <v>6</v>
      </c>
      <c r="F18">
        <v>21</v>
      </c>
      <c r="G18">
        <v>1.1100000000000001</v>
      </c>
      <c r="H18">
        <v>0.89</v>
      </c>
      <c r="I18">
        <v>19.32</v>
      </c>
      <c r="J18">
        <v>11.78</v>
      </c>
      <c r="K18">
        <v>600</v>
      </c>
      <c r="L18">
        <f t="shared" si="3"/>
        <v>7.5400000000000009</v>
      </c>
      <c r="M18">
        <f t="shared" si="4"/>
        <v>1</v>
      </c>
      <c r="N18" s="2">
        <v>3.9584067435231396E-4</v>
      </c>
      <c r="O18" s="2">
        <f t="shared" si="5"/>
        <v>114.49334984983986</v>
      </c>
      <c r="P18" s="2">
        <f t="shared" si="6"/>
        <v>114.49334984983986</v>
      </c>
      <c r="Q18" s="2">
        <f t="shared" si="7"/>
        <v>3139264600076.6675</v>
      </c>
      <c r="R18" s="2">
        <v>2E-3</v>
      </c>
      <c r="S18" s="2">
        <v>1.7999999999999999E-2</v>
      </c>
      <c r="T18" s="2">
        <v>4.2000000000000003E-2</v>
      </c>
      <c r="U18" s="2">
        <v>2.5999999999999999E-2</v>
      </c>
      <c r="V18">
        <v>10000</v>
      </c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5:37" x14ac:dyDescent="0.3">
      <c r="E19" t="s">
        <v>7</v>
      </c>
      <c r="F19">
        <v>21</v>
      </c>
      <c r="G19">
        <v>1.1100000000000001</v>
      </c>
      <c r="H19">
        <v>0.89</v>
      </c>
      <c r="I19">
        <v>18.46</v>
      </c>
      <c r="J19">
        <v>11.79</v>
      </c>
      <c r="K19">
        <v>600</v>
      </c>
      <c r="L19">
        <f t="shared" si="3"/>
        <v>6.6700000000000017</v>
      </c>
      <c r="M19">
        <f t="shared" si="4"/>
        <v>1</v>
      </c>
      <c r="N19" s="2">
        <v>3.9584067435231396E-4</v>
      </c>
      <c r="O19" s="2">
        <f t="shared" si="5"/>
        <v>101.28257871331991</v>
      </c>
      <c r="P19" s="2">
        <f t="shared" si="6"/>
        <v>101.28257871331991</v>
      </c>
      <c r="Q19" s="2">
        <f t="shared" si="7"/>
        <v>3548733895738.8408</v>
      </c>
      <c r="R19" s="2">
        <v>2E-3</v>
      </c>
      <c r="S19" s="2">
        <v>2.1000000000000001E-2</v>
      </c>
      <c r="T19" s="2">
        <v>5.0999999999999997E-2</v>
      </c>
      <c r="U19" s="2">
        <v>3.1E-2</v>
      </c>
      <c r="V19">
        <v>10000</v>
      </c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5:37" x14ac:dyDescent="0.3">
      <c r="E20" t="s">
        <v>10</v>
      </c>
      <c r="F20">
        <v>21</v>
      </c>
      <c r="G20">
        <v>1.1100000000000001</v>
      </c>
      <c r="H20">
        <v>0.89</v>
      </c>
      <c r="I20">
        <v>19.149999999999999</v>
      </c>
      <c r="J20">
        <v>11.83</v>
      </c>
      <c r="K20">
        <v>600</v>
      </c>
      <c r="L20">
        <f t="shared" si="3"/>
        <v>7.3199999999999985</v>
      </c>
      <c r="M20">
        <f t="shared" si="4"/>
        <v>1</v>
      </c>
      <c r="N20" s="2">
        <v>3.9584067435231396E-4</v>
      </c>
      <c r="O20" s="2">
        <f t="shared" si="5"/>
        <v>111.15269507968534</v>
      </c>
      <c r="P20" s="2">
        <f t="shared" si="6"/>
        <v>111.15269507968534</v>
      </c>
      <c r="Q20" s="2">
        <f t="shared" si="7"/>
        <v>3233614082592.6338</v>
      </c>
      <c r="R20" s="2">
        <v>1E-3</v>
      </c>
      <c r="S20" s="2">
        <v>1.7000000000000001E-2</v>
      </c>
      <c r="T20" s="2">
        <v>3.9E-2</v>
      </c>
      <c r="U20" s="2">
        <v>2.5999999999999999E-2</v>
      </c>
      <c r="V20">
        <v>10000</v>
      </c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5:37" x14ac:dyDescent="0.3">
      <c r="E21" t="s">
        <v>11</v>
      </c>
      <c r="F21">
        <v>21</v>
      </c>
      <c r="G21">
        <v>1.1100000000000001</v>
      </c>
      <c r="H21">
        <v>0.89</v>
      </c>
      <c r="I21">
        <v>16.899999999999999</v>
      </c>
      <c r="J21">
        <v>11.74</v>
      </c>
      <c r="K21">
        <v>600</v>
      </c>
      <c r="L21">
        <f t="shared" si="3"/>
        <v>5.1599999999999984</v>
      </c>
      <c r="M21">
        <f t="shared" si="4"/>
        <v>1</v>
      </c>
      <c r="N21" s="2">
        <v>3.9584067435231396E-4</v>
      </c>
      <c r="O21" s="2">
        <f t="shared" si="5"/>
        <v>78.353539154532285</v>
      </c>
      <c r="P21" s="2">
        <f t="shared" si="6"/>
        <v>78.353539154532285</v>
      </c>
      <c r="Q21" s="2">
        <f t="shared" si="7"/>
        <v>4587219977631.4111</v>
      </c>
      <c r="R21" s="2">
        <v>2E-3</v>
      </c>
      <c r="S21" s="2">
        <v>2.9000000000000001E-2</v>
      </c>
      <c r="T21" s="2">
        <v>7.2999999999999995E-2</v>
      </c>
      <c r="U21" s="2">
        <v>5.2999999999999999E-2</v>
      </c>
      <c r="V21">
        <v>10000</v>
      </c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5:37" x14ac:dyDescent="0.3">
      <c r="E22" t="s">
        <v>12</v>
      </c>
      <c r="F22">
        <v>21</v>
      </c>
      <c r="G22">
        <v>1.1100000000000001</v>
      </c>
      <c r="H22">
        <v>0.89</v>
      </c>
      <c r="I22">
        <v>18.559999999999999</v>
      </c>
      <c r="J22">
        <v>11.7</v>
      </c>
      <c r="K22">
        <v>600</v>
      </c>
      <c r="L22">
        <f t="shared" si="3"/>
        <v>6.8599999999999994</v>
      </c>
      <c r="M22">
        <f t="shared" si="4"/>
        <v>1</v>
      </c>
      <c r="N22" s="2">
        <v>3.9584067435231396E-4</v>
      </c>
      <c r="O22" s="2">
        <f t="shared" si="5"/>
        <v>104.16768965118055</v>
      </c>
      <c r="P22" s="2">
        <f t="shared" si="6"/>
        <v>104.16768965118055</v>
      </c>
      <c r="Q22" s="2">
        <f t="shared" si="7"/>
        <v>3450445347606.1338</v>
      </c>
      <c r="R22" s="2">
        <v>0</v>
      </c>
      <c r="S22" s="2">
        <v>1.4E-2</v>
      </c>
      <c r="T22" s="2">
        <v>0.03</v>
      </c>
      <c r="U22" s="2">
        <v>2.3E-2</v>
      </c>
      <c r="V22">
        <v>10000</v>
      </c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5:37" x14ac:dyDescent="0.3">
      <c r="E23" t="s">
        <v>13</v>
      </c>
      <c r="F23">
        <v>21</v>
      </c>
      <c r="G23">
        <v>1.1100000000000001</v>
      </c>
      <c r="H23">
        <v>0.89</v>
      </c>
      <c r="I23">
        <v>17.489999999999998</v>
      </c>
      <c r="J23">
        <v>11.7</v>
      </c>
      <c r="K23">
        <v>600</v>
      </c>
      <c r="L23">
        <f t="shared" si="3"/>
        <v>5.7899999999999991</v>
      </c>
      <c r="M23">
        <f t="shared" si="4"/>
        <v>1</v>
      </c>
      <c r="N23" s="2">
        <v>3.9584067435231396E-4</v>
      </c>
      <c r="O23" s="2">
        <f t="shared" si="5"/>
        <v>87.919959632701946</v>
      </c>
      <c r="P23" s="2">
        <f t="shared" si="6"/>
        <v>87.919959632701946</v>
      </c>
      <c r="Q23" s="2">
        <f t="shared" si="7"/>
        <v>4088092415298.459</v>
      </c>
      <c r="R23" s="2">
        <v>1E-3</v>
      </c>
      <c r="S23" s="2">
        <v>2.1000000000000001E-2</v>
      </c>
      <c r="T23" s="2">
        <v>4.5999999999999999E-2</v>
      </c>
      <c r="U23" s="2">
        <v>3.1E-2</v>
      </c>
      <c r="V23">
        <v>10000</v>
      </c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5:37" x14ac:dyDescent="0.3">
      <c r="E24" t="s">
        <v>4</v>
      </c>
      <c r="F24">
        <v>20.8</v>
      </c>
      <c r="G24">
        <v>1.6</v>
      </c>
      <c r="H24">
        <v>1.4</v>
      </c>
      <c r="I24">
        <v>27.12</v>
      </c>
      <c r="J24">
        <v>11.8</v>
      </c>
      <c r="K24">
        <v>900</v>
      </c>
      <c r="L24">
        <f t="shared" si="3"/>
        <v>15.32</v>
      </c>
      <c r="M24">
        <f t="shared" si="4"/>
        <v>1.5</v>
      </c>
      <c r="N24" s="2">
        <v>3.9584067435231396E-4</v>
      </c>
      <c r="O24" s="2">
        <f t="shared" si="5"/>
        <v>155.08736690535335</v>
      </c>
      <c r="P24" s="2">
        <f t="shared" si="6"/>
        <v>103.39157793690224</v>
      </c>
      <c r="Q24" s="2">
        <f t="shared" si="7"/>
        <v>3476346210202.3936</v>
      </c>
      <c r="R24" s="2">
        <v>0.04</v>
      </c>
      <c r="S24" s="2">
        <v>1.4999999999999999E-2</v>
      </c>
      <c r="T24" s="2">
        <v>2.9000000000000001E-2</v>
      </c>
      <c r="U24" s="2">
        <v>1.2E-2</v>
      </c>
      <c r="V24">
        <v>10000</v>
      </c>
      <c r="W24" s="2">
        <f>AVERAGE(O24:O31)</f>
        <v>150.12700073148761</v>
      </c>
      <c r="X24" s="2">
        <f>AVERAGE(R24:R31)</f>
        <v>8.0000000000000019E-3</v>
      </c>
      <c r="Y24" s="2">
        <f t="shared" ref="Y24" si="18">AVERAGE(S24:S31)</f>
        <v>1.4624999999999999E-2</v>
      </c>
      <c r="Z24" s="2">
        <f t="shared" ref="Z24" si="19">AVERAGE(T24:T31)</f>
        <v>2.725E-2</v>
      </c>
      <c r="AA24" s="2">
        <f t="shared" ref="AA24" si="20">AVERAGE(U24:U31)</f>
        <v>1.1999999999999999E-2</v>
      </c>
      <c r="AB24" s="2">
        <f>_xlfn.STDEV.S(O24:O31)</f>
        <v>17.829310723982537</v>
      </c>
      <c r="AC24" s="2">
        <f>_xlfn.STDEV.S(R24:R31)</f>
        <v>1.2961481396815718E-2</v>
      </c>
      <c r="AD24" s="2">
        <f t="shared" ref="AD24" si="21">_xlfn.STDEV.S(S24:S31)</f>
        <v>4.0333431719675366E-3</v>
      </c>
      <c r="AE24" s="2">
        <f t="shared" ref="AE24" si="22">_xlfn.STDEV.S(T24:T31)</f>
        <v>9.1768341880130791E-3</v>
      </c>
      <c r="AF24" s="2">
        <f t="shared" ref="AF24" si="23">_xlfn.STDEV.S(U24:U31)</f>
        <v>3.6253078686998685E-3</v>
      </c>
      <c r="AG24" s="2">
        <f>_xlfn.CONFIDENCE.T(0.05,AB24,8)</f>
        <v>14.905676783486379</v>
      </c>
      <c r="AH24" s="2">
        <f t="shared" ref="AH24" si="24">_xlfn.CONFIDENCE.T(0.05,AC24,8)</f>
        <v>1.0836069623052237E-2</v>
      </c>
      <c r="AI24" s="2">
        <f t="shared" ref="AI24" si="25">_xlfn.CONFIDENCE.T(0.05,AD24,8)</f>
        <v>3.3719592758772038E-3</v>
      </c>
      <c r="AJ24" s="2">
        <f t="shared" ref="AJ24" si="26">_xlfn.CONFIDENCE.T(0.05,AE24,8)</f>
        <v>7.6720253755057401E-3</v>
      </c>
      <c r="AK24" s="2">
        <f t="shared" ref="AK24" si="27">_xlfn.CONFIDENCE.T(0.05,AF24,8)</f>
        <v>3.0308332255819088E-3</v>
      </c>
    </row>
    <row r="25" spans="5:37" x14ac:dyDescent="0.3">
      <c r="E25" t="s">
        <v>5</v>
      </c>
      <c r="F25">
        <v>20.8</v>
      </c>
      <c r="G25">
        <v>1.6</v>
      </c>
      <c r="H25">
        <v>1.4</v>
      </c>
      <c r="I25">
        <v>27.11</v>
      </c>
      <c r="J25">
        <v>11.75</v>
      </c>
      <c r="K25">
        <v>900</v>
      </c>
      <c r="L25">
        <f t="shared" si="3"/>
        <v>15.36</v>
      </c>
      <c r="M25">
        <f t="shared" si="4"/>
        <v>1.5</v>
      </c>
      <c r="N25" s="2">
        <v>3.9584067435231396E-4</v>
      </c>
      <c r="O25" s="2">
        <f t="shared" si="5"/>
        <v>155.49229475628118</v>
      </c>
      <c r="P25" s="2">
        <f t="shared" si="6"/>
        <v>103.66152983752079</v>
      </c>
      <c r="Q25" s="2">
        <f t="shared" si="7"/>
        <v>3467293225279.9912</v>
      </c>
      <c r="R25" s="2">
        <v>3.0000000000000001E-3</v>
      </c>
      <c r="S25" s="2">
        <v>1.2999999999999999E-2</v>
      </c>
      <c r="T25" s="2">
        <v>2.5000000000000001E-2</v>
      </c>
      <c r="U25" s="2">
        <v>0.01</v>
      </c>
      <c r="V25">
        <v>10000</v>
      </c>
    </row>
    <row r="26" spans="5:37" x14ac:dyDescent="0.3">
      <c r="E26" t="s">
        <v>6</v>
      </c>
      <c r="F26">
        <v>20.8</v>
      </c>
      <c r="G26">
        <v>1.6</v>
      </c>
      <c r="H26">
        <v>1.4</v>
      </c>
      <c r="I26">
        <v>28.51</v>
      </c>
      <c r="J26">
        <v>11.78</v>
      </c>
      <c r="K26">
        <v>900</v>
      </c>
      <c r="L26">
        <f t="shared" si="3"/>
        <v>16.730000000000004</v>
      </c>
      <c r="M26">
        <f t="shared" si="4"/>
        <v>1.5</v>
      </c>
      <c r="N26" s="2">
        <v>3.9584067435231396E-4</v>
      </c>
      <c r="O26" s="2">
        <f t="shared" si="5"/>
        <v>169.36107365055889</v>
      </c>
      <c r="P26" s="2">
        <f t="shared" si="6"/>
        <v>112.90738243370593</v>
      </c>
      <c r="Q26" s="2">
        <f t="shared" si="7"/>
        <v>3183360665887.6665</v>
      </c>
      <c r="R26" s="2">
        <v>5.0000000000000001E-3</v>
      </c>
      <c r="S26" s="2">
        <v>1.4E-2</v>
      </c>
      <c r="T26" s="2">
        <v>2.3E-2</v>
      </c>
      <c r="U26" s="2">
        <v>8.9999999999999993E-3</v>
      </c>
      <c r="V26">
        <v>10000</v>
      </c>
    </row>
    <row r="27" spans="5:37" x14ac:dyDescent="0.3">
      <c r="E27" t="s">
        <v>7</v>
      </c>
      <c r="F27">
        <v>20.8</v>
      </c>
      <c r="G27">
        <v>1.6</v>
      </c>
      <c r="H27">
        <v>1.4</v>
      </c>
      <c r="I27">
        <v>26.52</v>
      </c>
      <c r="J27">
        <v>11.79</v>
      </c>
      <c r="K27">
        <v>900</v>
      </c>
      <c r="L27">
        <f t="shared" si="3"/>
        <v>14.73</v>
      </c>
      <c r="M27">
        <f t="shared" si="4"/>
        <v>1.5</v>
      </c>
      <c r="N27" s="2">
        <v>3.9584067435231396E-4</v>
      </c>
      <c r="O27" s="2">
        <f t="shared" si="5"/>
        <v>149.11468110416808</v>
      </c>
      <c r="P27" s="2">
        <f t="shared" si="6"/>
        <v>99.409787402778719</v>
      </c>
      <c r="Q27" s="2">
        <f t="shared" si="7"/>
        <v>3615588862206.4263</v>
      </c>
      <c r="R27" s="2">
        <v>4.0000000000000001E-3</v>
      </c>
      <c r="S27" s="2">
        <v>1.6E-2</v>
      </c>
      <c r="T27" s="2">
        <v>0.03</v>
      </c>
      <c r="U27" s="2">
        <v>1.0999999999999999E-2</v>
      </c>
      <c r="V27">
        <v>10000</v>
      </c>
    </row>
    <row r="28" spans="5:37" x14ac:dyDescent="0.3">
      <c r="E28" t="s">
        <v>10</v>
      </c>
      <c r="F28">
        <v>20.8</v>
      </c>
      <c r="G28">
        <v>1.6</v>
      </c>
      <c r="H28">
        <v>1.4</v>
      </c>
      <c r="I28">
        <v>28.24</v>
      </c>
      <c r="J28">
        <v>11.83</v>
      </c>
      <c r="K28">
        <v>900</v>
      </c>
      <c r="L28">
        <f t="shared" si="3"/>
        <v>16.409999999999997</v>
      </c>
      <c r="M28">
        <f t="shared" si="4"/>
        <v>1.5</v>
      </c>
      <c r="N28" s="2">
        <v>3.9584067435231396E-4</v>
      </c>
      <c r="O28" s="2">
        <f t="shared" si="5"/>
        <v>166.12165084313631</v>
      </c>
      <c r="P28" s="2">
        <f t="shared" si="6"/>
        <v>110.74776722875754</v>
      </c>
      <c r="Q28" s="2">
        <f t="shared" si="7"/>
        <v>3245437168817.835</v>
      </c>
      <c r="R28" s="2">
        <v>3.0000000000000001E-3</v>
      </c>
      <c r="S28" s="2">
        <v>1.2E-2</v>
      </c>
      <c r="T28" s="2">
        <v>2.1000000000000001E-2</v>
      </c>
      <c r="U28" s="2">
        <v>8.9999999999999993E-3</v>
      </c>
      <c r="V28">
        <v>10000</v>
      </c>
    </row>
    <row r="29" spans="5:37" x14ac:dyDescent="0.3">
      <c r="E29" t="s">
        <v>11</v>
      </c>
      <c r="F29">
        <v>20.8</v>
      </c>
      <c r="G29">
        <v>1.6</v>
      </c>
      <c r="H29">
        <v>1.4</v>
      </c>
      <c r="I29">
        <v>23.22</v>
      </c>
      <c r="J29">
        <v>11.74</v>
      </c>
      <c r="K29">
        <v>900</v>
      </c>
      <c r="L29">
        <f t="shared" si="3"/>
        <v>11.479999999999999</v>
      </c>
      <c r="M29">
        <f t="shared" si="4"/>
        <v>1.5</v>
      </c>
      <c r="N29" s="2">
        <v>3.9584067435231396E-4</v>
      </c>
      <c r="O29" s="2">
        <f t="shared" si="5"/>
        <v>116.21429321628307</v>
      </c>
      <c r="P29" s="2">
        <f t="shared" si="6"/>
        <v>77.47619547752204</v>
      </c>
      <c r="Q29" s="2">
        <f t="shared" si="7"/>
        <v>4639165848458.2461</v>
      </c>
      <c r="R29" s="2">
        <v>4.0000000000000001E-3</v>
      </c>
      <c r="S29" s="2">
        <v>2.3E-2</v>
      </c>
      <c r="T29" s="2">
        <v>4.7E-2</v>
      </c>
      <c r="U29" s="2">
        <v>0.02</v>
      </c>
      <c r="V29">
        <v>10000</v>
      </c>
    </row>
    <row r="30" spans="5:37" x14ac:dyDescent="0.3">
      <c r="E30" t="s">
        <v>12</v>
      </c>
      <c r="F30">
        <v>20.8</v>
      </c>
      <c r="G30">
        <v>1.6</v>
      </c>
      <c r="H30">
        <v>1.4</v>
      </c>
      <c r="I30">
        <v>27.29</v>
      </c>
      <c r="J30">
        <v>11.7</v>
      </c>
      <c r="K30">
        <v>900</v>
      </c>
      <c r="L30">
        <f t="shared" si="3"/>
        <v>15.59</v>
      </c>
      <c r="M30">
        <f t="shared" si="4"/>
        <v>1.5</v>
      </c>
      <c r="N30" s="2">
        <v>3.9584067435231396E-4</v>
      </c>
      <c r="O30" s="2">
        <f t="shared" si="5"/>
        <v>157.82062989911614</v>
      </c>
      <c r="P30" s="2">
        <f t="shared" si="6"/>
        <v>105.21375326607743</v>
      </c>
      <c r="Q30" s="2">
        <f t="shared" si="7"/>
        <v>3416140085971.8193</v>
      </c>
      <c r="R30" s="2">
        <v>2E-3</v>
      </c>
      <c r="S30" s="2">
        <v>8.9999999999999993E-3</v>
      </c>
      <c r="T30" s="2">
        <v>1.6E-2</v>
      </c>
      <c r="U30" s="2">
        <v>1.0999999999999999E-2</v>
      </c>
      <c r="V30">
        <v>10000</v>
      </c>
    </row>
    <row r="31" spans="5:37" x14ac:dyDescent="0.3">
      <c r="E31" t="s">
        <v>13</v>
      </c>
      <c r="F31">
        <v>20.8</v>
      </c>
      <c r="G31">
        <v>1.6</v>
      </c>
      <c r="H31">
        <v>1.4</v>
      </c>
      <c r="I31">
        <v>24.72</v>
      </c>
      <c r="J31">
        <v>11.7</v>
      </c>
      <c r="K31">
        <v>900</v>
      </c>
      <c r="L31">
        <f t="shared" si="3"/>
        <v>13.02</v>
      </c>
      <c r="M31">
        <f t="shared" si="4"/>
        <v>1.5</v>
      </c>
      <c r="N31" s="2">
        <v>3.9584067435231396E-4</v>
      </c>
      <c r="O31" s="2">
        <f t="shared" si="5"/>
        <v>131.80401547700399</v>
      </c>
      <c r="P31" s="2">
        <f t="shared" si="6"/>
        <v>87.869343651335996</v>
      </c>
      <c r="Q31" s="2">
        <f t="shared" si="7"/>
        <v>4090447307242.7544</v>
      </c>
      <c r="R31" s="2">
        <v>3.0000000000000001E-3</v>
      </c>
      <c r="S31" s="2">
        <v>1.4999999999999999E-2</v>
      </c>
      <c r="T31" s="2">
        <v>2.7E-2</v>
      </c>
      <c r="U31" s="2">
        <v>1.4E-2</v>
      </c>
      <c r="V31">
        <v>10000</v>
      </c>
    </row>
  </sheetData>
  <mergeCells count="4">
    <mergeCell ref="AG6:AK6"/>
    <mergeCell ref="R6:U6"/>
    <mergeCell ref="W6:AA6"/>
    <mergeCell ref="AB6:A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3A31C-3D2D-4305-83C5-7857E564E17C}">
  <dimension ref="B2:BD261"/>
  <sheetViews>
    <sheetView zoomScaleNormal="100" workbookViewId="0"/>
  </sheetViews>
  <sheetFormatPr defaultRowHeight="14.4" x14ac:dyDescent="0.3"/>
  <cols>
    <col min="2" max="2" width="24" bestFit="1" customWidth="1"/>
    <col min="5" max="5" width="10.21875" bestFit="1" customWidth="1"/>
    <col min="6" max="8" width="12.44140625" bestFit="1" customWidth="1"/>
    <col min="9" max="9" width="10.33203125" bestFit="1" customWidth="1"/>
    <col min="10" max="11" width="12.44140625" bestFit="1" customWidth="1"/>
    <col min="12" max="12" width="9.77734375" bestFit="1" customWidth="1"/>
    <col min="13" max="14" width="12.44140625" bestFit="1" customWidth="1"/>
    <col min="15" max="15" width="20.21875" bestFit="1" customWidth="1"/>
    <col min="16" max="16" width="15.21875" bestFit="1" customWidth="1"/>
    <col min="17" max="17" width="12.44140625" bestFit="1" customWidth="1"/>
    <col min="18" max="18" width="9.77734375" bestFit="1" customWidth="1"/>
    <col min="19" max="20" width="12.44140625" bestFit="1" customWidth="1"/>
    <col min="26" max="26" width="21.5546875" bestFit="1" customWidth="1"/>
    <col min="27" max="27" width="38.33203125" bestFit="1" customWidth="1"/>
    <col min="46" max="46" width="12.21875" bestFit="1" customWidth="1"/>
    <col min="49" max="49" width="10.21875" bestFit="1" customWidth="1"/>
  </cols>
  <sheetData>
    <row r="2" spans="2:20" x14ac:dyDescent="0.3">
      <c r="B2" t="s">
        <v>36</v>
      </c>
      <c r="C2">
        <v>6.9999999999999999E-4</v>
      </c>
    </row>
    <row r="3" spans="2:20" x14ac:dyDescent="0.3">
      <c r="B3" t="s">
        <v>37</v>
      </c>
      <c r="C3">
        <v>1</v>
      </c>
    </row>
    <row r="4" spans="2:20" x14ac:dyDescent="0.3">
      <c r="B4" t="s">
        <v>38</v>
      </c>
      <c r="C4">
        <v>998.21</v>
      </c>
    </row>
    <row r="5" spans="2:20" x14ac:dyDescent="0.3">
      <c r="B5" t="s">
        <v>39</v>
      </c>
      <c r="C5">
        <v>1.0016000000000001E-3</v>
      </c>
    </row>
    <row r="6" spans="2:20" x14ac:dyDescent="0.3">
      <c r="I6" s="4" t="s">
        <v>46</v>
      </c>
      <c r="J6" s="4"/>
      <c r="K6" s="4"/>
      <c r="L6" s="4">
        <v>200</v>
      </c>
      <c r="M6" s="4"/>
      <c r="N6" s="4"/>
      <c r="O6" s="4">
        <v>600</v>
      </c>
      <c r="P6" s="4"/>
      <c r="Q6" s="4"/>
      <c r="R6" s="4">
        <v>2000</v>
      </c>
      <c r="S6" s="4"/>
      <c r="T6" s="4"/>
    </row>
    <row r="7" spans="2:20" x14ac:dyDescent="0.3">
      <c r="F7" s="4" t="s">
        <v>28</v>
      </c>
      <c r="G7" s="4"/>
      <c r="H7" s="4"/>
      <c r="I7" s="4" t="s">
        <v>35</v>
      </c>
      <c r="J7" s="4"/>
      <c r="K7" s="4"/>
      <c r="L7" s="4" t="s">
        <v>35</v>
      </c>
      <c r="M7" s="4"/>
      <c r="N7" s="4"/>
      <c r="O7" s="4" t="s">
        <v>35</v>
      </c>
      <c r="P7" s="4"/>
      <c r="Q7" s="4"/>
      <c r="R7" s="4" t="s">
        <v>35</v>
      </c>
      <c r="S7" s="4"/>
      <c r="T7" s="4"/>
    </row>
    <row r="8" spans="2:20" x14ac:dyDescent="0.3">
      <c r="E8" t="s">
        <v>70</v>
      </c>
      <c r="F8" t="s">
        <v>2</v>
      </c>
      <c r="G8" t="s">
        <v>16</v>
      </c>
      <c r="H8" t="s">
        <v>71</v>
      </c>
      <c r="I8" t="s">
        <v>2</v>
      </c>
      <c r="J8" t="s">
        <v>16</v>
      </c>
      <c r="K8" t="s">
        <v>71</v>
      </c>
      <c r="L8" t="s">
        <v>2</v>
      </c>
      <c r="M8" t="s">
        <v>16</v>
      </c>
      <c r="N8" t="s">
        <v>71</v>
      </c>
      <c r="O8" t="s">
        <v>2</v>
      </c>
      <c r="P8" t="s">
        <v>16</v>
      </c>
      <c r="Q8" t="s">
        <v>71</v>
      </c>
      <c r="R8" t="s">
        <v>2</v>
      </c>
      <c r="S8" t="s">
        <v>16</v>
      </c>
      <c r="T8" t="s">
        <v>71</v>
      </c>
    </row>
    <row r="9" spans="2:20" x14ac:dyDescent="0.3">
      <c r="E9">
        <v>2</v>
      </c>
      <c r="F9" s="2">
        <v>22.20407474422754</v>
      </c>
      <c r="G9" s="2">
        <v>0.95200987119126945</v>
      </c>
      <c r="H9" s="2">
        <v>1.5148381070395478</v>
      </c>
      <c r="I9" s="2">
        <v>7.7499999999999999E-3</v>
      </c>
      <c r="J9" s="2">
        <v>1.2583057392117915E-3</v>
      </c>
      <c r="K9" s="2">
        <v>2.0022160922338024E-3</v>
      </c>
      <c r="L9" s="2">
        <v>0.12475</v>
      </c>
      <c r="M9" s="2">
        <v>5.9090326337452835E-3</v>
      </c>
      <c r="N9" s="2">
        <v>9.4024527268154953E-3</v>
      </c>
      <c r="O9" s="2">
        <v>0.36175000000000002</v>
      </c>
      <c r="P9" s="2">
        <v>1.1672617529928762E-2</v>
      </c>
      <c r="Q9" s="2">
        <v>1.8573469013622647E-2</v>
      </c>
      <c r="R9" s="2">
        <v>0.70774999999999999</v>
      </c>
      <c r="S9" s="2">
        <v>1.1757976016304857E-2</v>
      </c>
      <c r="T9" s="2">
        <v>1.8709291437144289E-2</v>
      </c>
    </row>
    <row r="10" spans="2:20" x14ac:dyDescent="0.3">
      <c r="F10" s="2">
        <v>47.96138853244306</v>
      </c>
      <c r="G10" s="2">
        <v>2.1938368901221277</v>
      </c>
      <c r="H10" s="2">
        <v>3.4908332595623293</v>
      </c>
      <c r="I10" s="2">
        <v>1.7000000000000001E-2</v>
      </c>
      <c r="J10" s="2">
        <v>2.8284271247461901E-3</v>
      </c>
      <c r="K10" s="2">
        <v>4.5005932408961379E-3</v>
      </c>
      <c r="L10" s="2">
        <v>0.16550000000000001</v>
      </c>
      <c r="M10" s="2">
        <v>7.5938571665963399E-3</v>
      </c>
      <c r="N10" s="2">
        <v>1.2083345523488095E-2</v>
      </c>
      <c r="O10" s="2">
        <v>0.39300000000000002</v>
      </c>
      <c r="P10" s="2">
        <v>1.0862780491200201E-2</v>
      </c>
      <c r="Q10" s="2">
        <v>1.7284856317597758E-2</v>
      </c>
      <c r="R10" s="2">
        <v>0.65925</v>
      </c>
      <c r="S10" s="2">
        <v>1.1324751652906135E-2</v>
      </c>
      <c r="T10" s="2">
        <v>1.8019944830104242E-2</v>
      </c>
    </row>
    <row r="11" spans="2:20" x14ac:dyDescent="0.3">
      <c r="F11" s="2">
        <v>64.514854703509855</v>
      </c>
      <c r="G11" s="2">
        <v>2.5430265158928913</v>
      </c>
      <c r="H11" s="2">
        <v>4.0464637920887689</v>
      </c>
      <c r="I11" s="2">
        <v>2.5999999999999999E-2</v>
      </c>
      <c r="J11" s="2">
        <v>8.1649658092772541E-4</v>
      </c>
      <c r="K11" s="2">
        <v>1.2992093595721966E-3</v>
      </c>
      <c r="L11" s="2">
        <v>0.216</v>
      </c>
      <c r="M11" s="2">
        <v>8.5244745683629546E-3</v>
      </c>
      <c r="N11" s="2">
        <v>1.3564143933179134E-2</v>
      </c>
      <c r="O11" s="2">
        <v>0.46674999999999994</v>
      </c>
      <c r="P11" s="2">
        <v>1.1870832602082564E-2</v>
      </c>
      <c r="Q11" s="2">
        <v>1.8888868836433776E-2</v>
      </c>
      <c r="R11" s="2">
        <v>0.71124999999999994</v>
      </c>
      <c r="S11" s="2">
        <v>1.1586630226256478E-2</v>
      </c>
      <c r="T11" s="2">
        <v>1.8436646016019305E-2</v>
      </c>
    </row>
    <row r="12" spans="2:20" x14ac:dyDescent="0.3">
      <c r="E12">
        <v>3</v>
      </c>
      <c r="F12" s="2">
        <v>12.323848268648778</v>
      </c>
      <c r="G12" s="2">
        <v>0.45530600661482656</v>
      </c>
      <c r="H12" s="2">
        <v>0.72448291772551199</v>
      </c>
      <c r="I12" s="2">
        <v>9.9999999999999985E-3</v>
      </c>
      <c r="J12" s="2">
        <v>1.4142135623730948E-3</v>
      </c>
      <c r="K12" s="2">
        <v>2.2502966204480685E-3</v>
      </c>
      <c r="L12" s="2">
        <v>0.32474999999999998</v>
      </c>
      <c r="M12" s="2">
        <v>1.5019431857874415E-2</v>
      </c>
      <c r="N12" s="2">
        <v>2.3898919972249768E-2</v>
      </c>
      <c r="O12" s="2">
        <v>0.75575000000000003</v>
      </c>
      <c r="P12" s="2">
        <v>3.6463452021624827E-2</v>
      </c>
      <c r="Q12" s="2">
        <v>5.8020644856809425E-2</v>
      </c>
      <c r="R12" s="2">
        <v>0.93175000000000008</v>
      </c>
      <c r="S12" s="2">
        <v>1.6028620235898836E-2</v>
      </c>
      <c r="T12" s="2">
        <v>2.5504740519362225E-2</v>
      </c>
    </row>
    <row r="13" spans="2:20" x14ac:dyDescent="0.3">
      <c r="F13" s="2">
        <v>26.787461973210803</v>
      </c>
      <c r="G13" s="2">
        <v>1.0054656888383093</v>
      </c>
      <c r="H13" s="2">
        <v>1.5998970040795177</v>
      </c>
      <c r="I13" s="2">
        <v>2.1749999999999999E-2</v>
      </c>
      <c r="J13" s="2">
        <v>4.9999999999999871E-4</v>
      </c>
      <c r="K13" s="2">
        <v>7.9559999999999787E-4</v>
      </c>
      <c r="L13" s="2">
        <v>0.41974999999999996</v>
      </c>
      <c r="M13" s="2">
        <v>1.9085334683992313E-2</v>
      </c>
      <c r="N13" s="2">
        <v>3.0368584549168569E-2</v>
      </c>
      <c r="O13" s="2">
        <v>0.80279999999999996</v>
      </c>
      <c r="P13" s="2">
        <v>3.5766278345204801E-2</v>
      </c>
      <c r="Q13" s="2">
        <v>5.6911302102889874E-2</v>
      </c>
      <c r="R13" s="2">
        <v>0.92825000000000002</v>
      </c>
      <c r="S13" s="2">
        <v>1.9636275953788498E-2</v>
      </c>
      <c r="T13" s="2">
        <v>3.1245242297668258E-2</v>
      </c>
    </row>
    <row r="14" spans="2:20" x14ac:dyDescent="0.3">
      <c r="F14" s="2">
        <v>39.616277648073812</v>
      </c>
      <c r="G14" s="2">
        <v>1.2987572678403854</v>
      </c>
      <c r="H14" s="2">
        <v>2.066582564587621</v>
      </c>
      <c r="I14" s="2">
        <v>4.0750000000000001E-2</v>
      </c>
      <c r="J14" s="2">
        <v>5.0000000000000044E-4</v>
      </c>
      <c r="K14" s="2">
        <v>7.9560000000000069E-4</v>
      </c>
      <c r="L14" s="2">
        <v>0.50475000000000003</v>
      </c>
      <c r="M14" s="2">
        <v>2.0451161336217581E-2</v>
      </c>
      <c r="N14" s="2">
        <v>3.2541887918189412E-2</v>
      </c>
      <c r="O14" s="2">
        <v>0.86175000000000002</v>
      </c>
      <c r="P14" s="2">
        <v>2.706011825546964E-2</v>
      </c>
      <c r="Q14" s="2">
        <v>4.305806016810329E-2</v>
      </c>
      <c r="R14" s="2">
        <v>0.9524999999999999</v>
      </c>
      <c r="S14" s="2">
        <v>1.3304134695650036E-2</v>
      </c>
      <c r="T14" s="2">
        <v>2.1169539127718337E-2</v>
      </c>
    </row>
    <row r="15" spans="2:20" x14ac:dyDescent="0.3">
      <c r="E15">
        <v>4</v>
      </c>
      <c r="F15" s="2">
        <v>9.9714152947082653</v>
      </c>
      <c r="G15" s="2">
        <v>0.39305046245032382</v>
      </c>
      <c r="H15" s="2">
        <v>0.6254218958509552</v>
      </c>
      <c r="I15" s="2">
        <v>1.025E-2</v>
      </c>
      <c r="J15" s="2">
        <v>4.9999999999999958E-4</v>
      </c>
      <c r="K15" s="2">
        <v>7.9559999999999928E-4</v>
      </c>
      <c r="L15" s="2">
        <v>0.44524999999999998</v>
      </c>
      <c r="M15" s="2">
        <v>8.9953691790090988E-3</v>
      </c>
      <c r="N15" s="2">
        <v>1.4313431437639277E-2</v>
      </c>
      <c r="O15" s="2">
        <v>0.9365</v>
      </c>
      <c r="P15" s="2">
        <v>1.652271164185827E-2</v>
      </c>
      <c r="Q15" s="2">
        <v>2.6290938764524877E-2</v>
      </c>
      <c r="R15" s="2">
        <v>0.98649999999999993</v>
      </c>
      <c r="S15" s="2">
        <v>7.1879528842826151E-3</v>
      </c>
      <c r="T15" s="2">
        <v>1.1437470629470496E-2</v>
      </c>
    </row>
    <row r="16" spans="2:20" x14ac:dyDescent="0.3">
      <c r="F16" s="2">
        <v>22.258120661473193</v>
      </c>
      <c r="G16" s="2">
        <v>0.76877771405414141</v>
      </c>
      <c r="H16" s="2">
        <v>1.2232790986029498</v>
      </c>
      <c r="I16" s="2">
        <v>2.6749999999999999E-2</v>
      </c>
      <c r="J16" s="2">
        <v>9.5742710775633896E-4</v>
      </c>
      <c r="K16" s="2">
        <v>1.5234580138618866E-3</v>
      </c>
      <c r="L16" s="2">
        <v>0.54925000000000002</v>
      </c>
      <c r="M16" s="2">
        <v>8.770214744615255E-3</v>
      </c>
      <c r="N16" s="2">
        <v>1.3955165701631793E-2</v>
      </c>
      <c r="O16" s="2">
        <v>0.95474999999999999</v>
      </c>
      <c r="P16" s="2">
        <v>1.3326039671760461E-2</v>
      </c>
      <c r="Q16" s="2">
        <v>2.1204394325705245E-2</v>
      </c>
      <c r="R16" s="2">
        <v>0.98750000000000004</v>
      </c>
      <c r="S16" s="2">
        <v>8.3466560170326175E-3</v>
      </c>
      <c r="T16" s="2">
        <v>1.3281199054302301E-2</v>
      </c>
    </row>
    <row r="17" spans="5:20" x14ac:dyDescent="0.3">
      <c r="F17" s="2">
        <v>33.797086011351112</v>
      </c>
      <c r="G17" s="2">
        <v>1.2365352011975095</v>
      </c>
      <c r="H17" s="2">
        <v>1.967574812145477</v>
      </c>
      <c r="I17" s="2">
        <v>4.5249999999999999E-2</v>
      </c>
      <c r="J17" s="2">
        <v>5.0000000000000044E-4</v>
      </c>
      <c r="K17" s="2">
        <v>7.9560000000000069E-4</v>
      </c>
      <c r="L17" s="2">
        <v>0.62550000000000006</v>
      </c>
      <c r="M17" s="2">
        <v>8.8881944173155973E-3</v>
      </c>
      <c r="N17" s="2">
        <v>1.4142894956832578E-2</v>
      </c>
      <c r="O17" s="2">
        <v>0.97099999999999997</v>
      </c>
      <c r="P17" s="2">
        <v>8.4852813742385784E-3</v>
      </c>
      <c r="Q17" s="2">
        <v>1.3501779722688425E-2</v>
      </c>
      <c r="R17" s="2">
        <v>0.99175000000000002</v>
      </c>
      <c r="S17" s="2">
        <v>4.500000000000004E-3</v>
      </c>
      <c r="T17" s="2">
        <v>7.160400000000006E-3</v>
      </c>
    </row>
    <row r="18" spans="5:20" x14ac:dyDescent="0.3">
      <c r="E18">
        <v>6</v>
      </c>
      <c r="F18" s="2">
        <v>9.0992847520057101</v>
      </c>
      <c r="G18" s="2">
        <v>0.25441450226718193</v>
      </c>
      <c r="H18" s="2">
        <v>0.40482435600753985</v>
      </c>
      <c r="I18" s="2">
        <v>0.01</v>
      </c>
      <c r="J18" s="2">
        <v>1.4142135623730955E-3</v>
      </c>
      <c r="K18" s="2">
        <v>2.2502966204480694E-3</v>
      </c>
      <c r="L18" s="2">
        <v>0.49149999999999999</v>
      </c>
      <c r="M18" s="2">
        <v>4.2031734043061677E-3</v>
      </c>
      <c r="N18" s="2">
        <v>6.6880895209319741E-3</v>
      </c>
      <c r="O18" s="2">
        <v>0.99150000000000005</v>
      </c>
      <c r="P18" s="2">
        <v>1.2909944487358069E-3</v>
      </c>
      <c r="Q18" s="2">
        <v>2.0542303668284159E-3</v>
      </c>
      <c r="R18" s="2">
        <v>0.99824999999999997</v>
      </c>
      <c r="S18" s="2">
        <v>5.0000000000000044E-4</v>
      </c>
      <c r="T18" s="2">
        <v>7.9560000000000069E-4</v>
      </c>
    </row>
    <row r="19" spans="5:20" x14ac:dyDescent="0.3">
      <c r="F19" s="2">
        <v>20.02444000742484</v>
      </c>
      <c r="G19" s="2">
        <v>0.55957121258284204</v>
      </c>
      <c r="H19" s="2">
        <v>1.3901641436971639</v>
      </c>
      <c r="I19" s="2">
        <v>2.2666666666666668E-2</v>
      </c>
      <c r="J19" s="2">
        <v>3.0550504633038928E-3</v>
      </c>
      <c r="K19" s="2">
        <v>7.5897785943406211E-3</v>
      </c>
      <c r="L19" s="2">
        <v>0.59833333333333327</v>
      </c>
      <c r="M19" s="2">
        <v>5.7735026918962634E-4</v>
      </c>
      <c r="N19" s="2">
        <v>1.434333333333335E-3</v>
      </c>
      <c r="O19" s="2">
        <v>0.99399999999999988</v>
      </c>
      <c r="P19" s="2">
        <v>1.0000000000000009E-3</v>
      </c>
      <c r="Q19" s="2">
        <v>2.4843382083229622E-3</v>
      </c>
      <c r="R19" s="2">
        <v>0.999</v>
      </c>
      <c r="S19" s="2">
        <v>0</v>
      </c>
      <c r="T19" s="2">
        <v>0</v>
      </c>
    </row>
    <row r="20" spans="5:20" x14ac:dyDescent="0.3">
      <c r="F20" s="2">
        <v>30.732780964580684</v>
      </c>
      <c r="G20" s="2">
        <v>0.76444534112705109</v>
      </c>
      <c r="H20" s="2">
        <v>1.2163854268013636</v>
      </c>
      <c r="I20" s="2">
        <v>4.7500000000000001E-2</v>
      </c>
      <c r="J20" s="2">
        <v>1.2909944487358067E-3</v>
      </c>
      <c r="K20" s="2">
        <v>2.0542303668284155E-3</v>
      </c>
      <c r="L20" s="2">
        <v>0.66049999999999998</v>
      </c>
      <c r="M20" s="2">
        <v>5.1961524227066361E-3</v>
      </c>
      <c r="N20" s="2">
        <v>8.2681177350107989E-3</v>
      </c>
      <c r="O20" s="2">
        <v>0.99625000000000008</v>
      </c>
      <c r="P20" s="2">
        <v>2.0615528128088323E-3</v>
      </c>
      <c r="Q20" s="2">
        <v>3.2803428357414139E-3</v>
      </c>
      <c r="R20" s="2">
        <v>0.99875000000000003</v>
      </c>
      <c r="S20" s="2">
        <v>5.0000000000000055E-4</v>
      </c>
      <c r="T20" s="2">
        <v>7.9560000000000091E-4</v>
      </c>
    </row>
    <row r="21" spans="5:20" x14ac:dyDescent="0.3">
      <c r="E21">
        <v>7</v>
      </c>
      <c r="F21" s="2">
        <v>8.3460815127972463</v>
      </c>
      <c r="G21" s="2">
        <v>0.44473639369655954</v>
      </c>
      <c r="H21" s="2">
        <v>0.7076645496499655</v>
      </c>
      <c r="I21" s="2">
        <v>5.0000000000000001E-4</v>
      </c>
      <c r="J21" s="2">
        <v>5.7735026918962569E-4</v>
      </c>
      <c r="K21" s="2">
        <v>9.1867974833453241E-4</v>
      </c>
      <c r="L21" s="2">
        <v>0.50024999999999997</v>
      </c>
      <c r="M21" s="2">
        <v>2.0615528128088323E-3</v>
      </c>
      <c r="N21" s="2">
        <v>3.2803428357414139E-3</v>
      </c>
      <c r="O21" s="2">
        <v>0.99374999999999991</v>
      </c>
      <c r="P21" s="2">
        <v>5.0000000000000044E-4</v>
      </c>
      <c r="Q21" s="2">
        <v>7.9560000000000069E-4</v>
      </c>
      <c r="R21" s="2">
        <v>0.99825000000000008</v>
      </c>
      <c r="S21" s="2">
        <v>5.0000000000000044E-4</v>
      </c>
      <c r="T21" s="2">
        <v>7.9560000000000069E-4</v>
      </c>
    </row>
    <row r="22" spans="5:20" x14ac:dyDescent="0.3">
      <c r="F22" s="2">
        <v>18.530510778084157</v>
      </c>
      <c r="G22" s="2">
        <v>1.0960980071863493</v>
      </c>
      <c r="H22" s="2">
        <v>1.744111149034919</v>
      </c>
      <c r="I22" s="2">
        <v>3.4750000000000003E-2</v>
      </c>
      <c r="J22" s="2">
        <v>1.7078251276599315E-3</v>
      </c>
      <c r="K22" s="2">
        <v>2.7174913431324828E-3</v>
      </c>
      <c r="L22" s="2">
        <v>0.63175000000000003</v>
      </c>
      <c r="M22" s="2">
        <v>2.0615528128088323E-3</v>
      </c>
      <c r="N22" s="2">
        <v>3.2803428357414139E-3</v>
      </c>
      <c r="O22" s="2">
        <v>0.99625000000000008</v>
      </c>
      <c r="P22" s="2">
        <v>2.0615528128088323E-3</v>
      </c>
      <c r="Q22" s="2">
        <v>3.2803428357414139E-3</v>
      </c>
      <c r="R22" s="2">
        <v>0.99775000000000003</v>
      </c>
      <c r="S22" s="2">
        <v>1.8929694486000928E-3</v>
      </c>
      <c r="T22" s="2">
        <v>3.0120929866124676E-3</v>
      </c>
    </row>
    <row r="23" spans="5:20" x14ac:dyDescent="0.3">
      <c r="F23" s="2">
        <v>29.216267529889983</v>
      </c>
      <c r="G23" s="2">
        <v>1.638087802906631</v>
      </c>
      <c r="H23" s="2">
        <v>2.6065253119850311</v>
      </c>
      <c r="I23" s="2">
        <v>4.4499999999999998E-2</v>
      </c>
      <c r="J23" s="2">
        <v>1.2909944487358067E-3</v>
      </c>
      <c r="K23" s="2">
        <v>2.0542303668284155E-3</v>
      </c>
      <c r="L23" s="2">
        <v>0.67125000000000012</v>
      </c>
      <c r="M23" s="2">
        <v>2.2173557826083473E-3</v>
      </c>
      <c r="N23" s="2">
        <v>3.5282565212864021E-3</v>
      </c>
      <c r="O23" s="2">
        <v>0.995</v>
      </c>
      <c r="P23" s="2">
        <v>0</v>
      </c>
      <c r="Q23" s="2">
        <v>0</v>
      </c>
      <c r="R23" s="2">
        <v>0.995</v>
      </c>
      <c r="S23" s="2">
        <v>0</v>
      </c>
      <c r="T23" s="2">
        <v>0</v>
      </c>
    </row>
    <row r="24" spans="5:20" x14ac:dyDescent="0.3">
      <c r="E24">
        <v>8</v>
      </c>
      <c r="F24" s="2">
        <v>7.3664770929459635</v>
      </c>
      <c r="G24" s="2">
        <v>0.21994154225827237</v>
      </c>
      <c r="H24" s="2">
        <v>0.34997098204136295</v>
      </c>
      <c r="I24" s="2">
        <v>1.25E-3</v>
      </c>
      <c r="J24" s="2">
        <v>5.0000000000000001E-4</v>
      </c>
      <c r="K24" s="2">
        <v>7.9560000000000004E-4</v>
      </c>
      <c r="L24" s="2">
        <v>0.51049999999999995</v>
      </c>
      <c r="M24" s="2">
        <v>3.109126351029608E-3</v>
      </c>
      <c r="N24" s="2">
        <v>4.9472418497583121E-3</v>
      </c>
      <c r="O24" s="2">
        <v>0.99475000000000002</v>
      </c>
      <c r="P24" s="2">
        <v>5.0000000000000055E-4</v>
      </c>
      <c r="Q24" s="2">
        <v>7.9560000000000091E-4</v>
      </c>
      <c r="R24" s="2">
        <v>0.999</v>
      </c>
      <c r="S24" s="2">
        <v>0</v>
      </c>
      <c r="T24" s="2">
        <v>0</v>
      </c>
    </row>
    <row r="25" spans="5:20" x14ac:dyDescent="0.3">
      <c r="F25" s="2">
        <v>16.273038009161588</v>
      </c>
      <c r="G25" s="2">
        <v>0.3377265778709394</v>
      </c>
      <c r="H25" s="2">
        <v>0.53739053070823872</v>
      </c>
      <c r="I25" s="2">
        <v>3.85E-2</v>
      </c>
      <c r="J25" s="2">
        <v>5.0662280511902221E-3</v>
      </c>
      <c r="K25" s="2">
        <v>8.0613820750538804E-3</v>
      </c>
      <c r="L25" s="2">
        <v>0.64275000000000004</v>
      </c>
      <c r="M25" s="2">
        <v>9.5742710775633896E-4</v>
      </c>
      <c r="N25" s="2">
        <v>1.5234580138618866E-3</v>
      </c>
      <c r="O25" s="2">
        <v>0.99524999999999997</v>
      </c>
      <c r="P25" s="2">
        <v>2.5000000000000022E-3</v>
      </c>
      <c r="Q25" s="2">
        <v>3.9780000000000032E-3</v>
      </c>
      <c r="R25" s="2">
        <v>0.99575000000000002</v>
      </c>
      <c r="S25" s="2">
        <v>1.5000000000000013E-3</v>
      </c>
      <c r="T25" s="2">
        <v>2.3868000000000019E-3</v>
      </c>
    </row>
    <row r="26" spans="5:20" x14ac:dyDescent="0.3">
      <c r="F26" s="2">
        <v>25.665917979790741</v>
      </c>
      <c r="G26" s="2">
        <v>0.49654792451984597</v>
      </c>
      <c r="H26" s="2">
        <v>0.79010705749597887</v>
      </c>
      <c r="I26" s="2">
        <v>4.5749999999999999E-2</v>
      </c>
      <c r="J26" s="2">
        <v>5.0000000000000044E-4</v>
      </c>
      <c r="K26" s="2">
        <v>7.9560000000000069E-4</v>
      </c>
      <c r="L26" s="2">
        <v>0.68200000000000005</v>
      </c>
      <c r="M26" s="2">
        <v>1.6329931618554536E-3</v>
      </c>
      <c r="N26" s="2">
        <v>2.5984187191443976E-3</v>
      </c>
      <c r="O26" s="2">
        <v>0.995</v>
      </c>
      <c r="P26" s="2">
        <v>0</v>
      </c>
      <c r="Q26" s="2">
        <v>0</v>
      </c>
      <c r="R26" s="2">
        <v>0.995</v>
      </c>
      <c r="S26" s="2">
        <v>0</v>
      </c>
      <c r="T26" s="2">
        <v>0</v>
      </c>
    </row>
    <row r="27" spans="5:20" x14ac:dyDescent="0.3">
      <c r="E27">
        <v>9</v>
      </c>
      <c r="F27" s="2">
        <v>7.6349887014118165</v>
      </c>
      <c r="G27" s="2">
        <v>0.1828822673621168</v>
      </c>
      <c r="H27" s="2">
        <v>0.29100226382660022</v>
      </c>
      <c r="I27" s="2">
        <v>2.5000000000000001E-4</v>
      </c>
      <c r="J27" s="2">
        <v>1.4999999999999998E-3</v>
      </c>
      <c r="K27" s="2">
        <v>2.3867999999999997E-3</v>
      </c>
      <c r="L27" s="2">
        <v>0.50675000000000003</v>
      </c>
      <c r="M27" s="2">
        <v>1.5000000000000013E-3</v>
      </c>
      <c r="N27" s="2">
        <v>2.3868000000000019E-3</v>
      </c>
      <c r="O27" s="2">
        <v>0.995</v>
      </c>
      <c r="P27" s="2">
        <v>8.1649658092772682E-4</v>
      </c>
      <c r="Q27" s="2">
        <v>1.2992093595721988E-3</v>
      </c>
      <c r="R27" s="2">
        <v>0.999</v>
      </c>
      <c r="S27" s="2">
        <v>0</v>
      </c>
      <c r="T27" s="2">
        <v>0</v>
      </c>
    </row>
    <row r="28" spans="5:20" x14ac:dyDescent="0.3">
      <c r="F28" s="2">
        <v>16.829813804187335</v>
      </c>
      <c r="G28" s="2">
        <v>0.53141156138748613</v>
      </c>
      <c r="H28" s="2">
        <v>0.84558207647976791</v>
      </c>
      <c r="I28" s="2">
        <v>2.9749999999999999E-2</v>
      </c>
      <c r="J28" s="2">
        <v>9.5742710775633712E-4</v>
      </c>
      <c r="K28" s="2">
        <v>1.5234580138618835E-3</v>
      </c>
      <c r="L28" s="2">
        <v>0.63924999999999998</v>
      </c>
      <c r="M28" s="2">
        <v>9.5742710775633896E-4</v>
      </c>
      <c r="N28" s="2">
        <v>1.5234580138618866E-3</v>
      </c>
      <c r="O28" s="2">
        <v>0.99399999999999999</v>
      </c>
      <c r="P28" s="2">
        <v>0</v>
      </c>
      <c r="Q28" s="2">
        <v>0</v>
      </c>
      <c r="R28" s="2">
        <v>0.995</v>
      </c>
      <c r="S28" s="2">
        <v>0</v>
      </c>
      <c r="T28" s="2">
        <v>0</v>
      </c>
    </row>
    <row r="29" spans="5:20" x14ac:dyDescent="0.3">
      <c r="F29" s="2">
        <v>26.595082780580462</v>
      </c>
      <c r="G29" s="2">
        <v>0.61673155650416456</v>
      </c>
      <c r="H29" s="2">
        <v>0.98134325270942657</v>
      </c>
      <c r="I29" s="2">
        <v>4.3000000000000003E-2</v>
      </c>
      <c r="J29" s="2">
        <v>8.1649658092772389E-4</v>
      </c>
      <c r="K29" s="2">
        <v>1.2992093595721942E-3</v>
      </c>
      <c r="L29" s="2">
        <v>0.68025000000000002</v>
      </c>
      <c r="M29" s="2">
        <v>2.5000000000000022E-3</v>
      </c>
      <c r="N29" s="2">
        <v>3.9780000000000032E-3</v>
      </c>
      <c r="O29" s="2">
        <v>0.995</v>
      </c>
      <c r="P29" s="2">
        <v>0</v>
      </c>
      <c r="Q29" s="2">
        <v>0</v>
      </c>
      <c r="R29" s="2">
        <v>0.995</v>
      </c>
      <c r="S29" s="2">
        <v>0</v>
      </c>
      <c r="T29" s="2">
        <v>0</v>
      </c>
    </row>
    <row r="30" spans="5:20" x14ac:dyDescent="0.3">
      <c r="E30">
        <v>10</v>
      </c>
      <c r="F30" s="2">
        <v>7.0942618760874758</v>
      </c>
      <c r="G30" s="2">
        <v>0.17853031595333255</v>
      </c>
      <c r="H30" s="2">
        <v>0.28407743874494273</v>
      </c>
      <c r="I30" s="2">
        <v>0</v>
      </c>
      <c r="J30" s="2">
        <v>1.8257418583505537E-3</v>
      </c>
      <c r="K30" s="2">
        <v>2.9051204450074009E-3</v>
      </c>
      <c r="L30" s="2">
        <v>0.50700000000000001</v>
      </c>
      <c r="M30" s="2">
        <v>3.162277660168382E-3</v>
      </c>
      <c r="N30" s="2">
        <v>5.0318162128599291E-3</v>
      </c>
      <c r="O30" s="2">
        <v>0.99449999999999994</v>
      </c>
      <c r="P30" s="2">
        <v>5.7735026918962634E-4</v>
      </c>
      <c r="Q30" s="2">
        <v>9.1867974833453338E-4</v>
      </c>
      <c r="R30" s="2">
        <v>0.99875000000000003</v>
      </c>
      <c r="S30" s="2">
        <v>5.0000000000000055E-4</v>
      </c>
      <c r="T30" s="2">
        <v>7.9560000000000091E-4</v>
      </c>
    </row>
    <row r="31" spans="5:20" x14ac:dyDescent="0.3">
      <c r="F31" s="2">
        <v>15.458120709169361</v>
      </c>
      <c r="G31" s="2">
        <v>0.45528130340967971</v>
      </c>
      <c r="H31" s="2">
        <v>0.7244436099854823</v>
      </c>
      <c r="I31" s="2">
        <v>3.8750000000000007E-2</v>
      </c>
      <c r="J31" s="2">
        <v>4.6457866215887838E-3</v>
      </c>
      <c r="K31" s="2">
        <v>7.3923756722720727E-3</v>
      </c>
      <c r="L31" s="2">
        <v>0.64100000000000001</v>
      </c>
      <c r="M31" s="2">
        <v>4.5460605656619558E-3</v>
      </c>
      <c r="N31" s="2">
        <v>7.2336915720813038E-3</v>
      </c>
      <c r="O31" s="2">
        <v>0.99525000000000008</v>
      </c>
      <c r="P31" s="2">
        <v>2.5000000000000022E-3</v>
      </c>
      <c r="Q31" s="2">
        <v>3.9780000000000032E-3</v>
      </c>
      <c r="R31" s="2">
        <v>0.99574999999999991</v>
      </c>
      <c r="S31" s="2">
        <v>1.5000000000000013E-3</v>
      </c>
      <c r="T31" s="2">
        <v>2.3868000000000019E-3</v>
      </c>
    </row>
    <row r="32" spans="5:20" x14ac:dyDescent="0.3">
      <c r="F32" s="2">
        <v>24.400518445641318</v>
      </c>
      <c r="G32" s="2">
        <v>0.44407494771376943</v>
      </c>
      <c r="H32" s="2">
        <v>0.70661205680214989</v>
      </c>
      <c r="I32" s="2">
        <v>4.1000000000000002E-2</v>
      </c>
      <c r="J32" s="2">
        <v>2.7080128015453207E-3</v>
      </c>
      <c r="K32" s="2">
        <v>4.3089899698189145E-3</v>
      </c>
      <c r="L32" s="2">
        <v>0.68625000000000003</v>
      </c>
      <c r="M32" s="2">
        <v>3.201562118716372E-3</v>
      </c>
      <c r="N32" s="2">
        <v>5.0943256433014913E-3</v>
      </c>
      <c r="O32" s="2">
        <v>0.995</v>
      </c>
      <c r="P32" s="2">
        <v>0</v>
      </c>
      <c r="Q32" s="2">
        <v>0</v>
      </c>
      <c r="R32" s="2">
        <v>0.995</v>
      </c>
      <c r="S32" s="2">
        <v>0</v>
      </c>
      <c r="T32" s="2">
        <v>0</v>
      </c>
    </row>
    <row r="34" spans="5:20" x14ac:dyDescent="0.3">
      <c r="I34" s="4" t="s">
        <v>40</v>
      </c>
      <c r="J34" s="4"/>
      <c r="K34" s="4"/>
      <c r="L34" s="4">
        <v>400</v>
      </c>
      <c r="M34" s="4"/>
      <c r="N34" s="4"/>
      <c r="O34" s="4">
        <v>1000</v>
      </c>
      <c r="P34" s="4"/>
      <c r="Q34" s="4"/>
      <c r="R34" s="4">
        <v>3000</v>
      </c>
      <c r="S34" s="4"/>
      <c r="T34" s="4"/>
    </row>
    <row r="35" spans="5:20" x14ac:dyDescent="0.3">
      <c r="F35" s="4" t="s">
        <v>28</v>
      </c>
      <c r="G35" s="4"/>
      <c r="H35" s="4"/>
      <c r="I35" s="4" t="s">
        <v>35</v>
      </c>
      <c r="J35" s="4"/>
      <c r="K35" s="4"/>
      <c r="L35" s="4" t="s">
        <v>35</v>
      </c>
      <c r="M35" s="4"/>
      <c r="N35" s="4"/>
      <c r="O35" s="4" t="s">
        <v>35</v>
      </c>
      <c r="P35" s="4"/>
      <c r="Q35" s="4"/>
      <c r="R35" s="4" t="s">
        <v>35</v>
      </c>
      <c r="S35" s="4"/>
      <c r="T35" s="4"/>
    </row>
    <row r="36" spans="5:20" x14ac:dyDescent="0.3">
      <c r="E36" t="s">
        <v>70</v>
      </c>
      <c r="F36" t="s">
        <v>2</v>
      </c>
      <c r="G36" t="s">
        <v>16</v>
      </c>
      <c r="H36" t="s">
        <v>71</v>
      </c>
      <c r="I36" t="s">
        <v>2</v>
      </c>
      <c r="J36" t="s">
        <v>16</v>
      </c>
      <c r="K36" t="s">
        <v>71</v>
      </c>
      <c r="L36" t="s">
        <v>2</v>
      </c>
      <c r="M36" t="s">
        <v>16</v>
      </c>
      <c r="N36" t="s">
        <v>71</v>
      </c>
      <c r="O36" t="s">
        <v>2</v>
      </c>
      <c r="P36" t="s">
        <v>16</v>
      </c>
      <c r="Q36" t="s">
        <v>71</v>
      </c>
      <c r="R36" t="s">
        <v>2</v>
      </c>
      <c r="S36" t="s">
        <v>16</v>
      </c>
      <c r="T36" t="s">
        <v>71</v>
      </c>
    </row>
    <row r="37" spans="5:20" x14ac:dyDescent="0.3">
      <c r="E37">
        <v>2</v>
      </c>
      <c r="F37" s="2">
        <v>22.653627869320061</v>
      </c>
      <c r="G37" s="2">
        <v>1.1192733745843162</v>
      </c>
      <c r="H37" s="2">
        <v>1.7809877936385639</v>
      </c>
      <c r="I37" s="2">
        <v>2.4E-2</v>
      </c>
      <c r="J37" s="2">
        <v>1.4142135623730965E-3</v>
      </c>
      <c r="K37" s="2">
        <v>2.2502966204480711E-3</v>
      </c>
      <c r="L37" s="2">
        <v>0.25675000000000003</v>
      </c>
      <c r="M37" s="2">
        <v>1.2257650672131274E-2</v>
      </c>
      <c r="N37" s="2">
        <v>1.9504373749495284E-2</v>
      </c>
      <c r="O37" s="2">
        <v>0.50724999999999998</v>
      </c>
      <c r="P37" s="2">
        <v>1.4522970311429649E-2</v>
      </c>
      <c r="Q37" s="2">
        <v>2.3108950359546857E-2</v>
      </c>
      <c r="R37" s="2">
        <v>0.83074999999999999</v>
      </c>
      <c r="S37" s="2">
        <v>1.1354147553500744E-2</v>
      </c>
      <c r="T37" s="2">
        <v>1.8066719587130384E-2</v>
      </c>
    </row>
    <row r="38" spans="5:20" x14ac:dyDescent="0.3">
      <c r="F38" s="2">
        <v>47.437681740590556</v>
      </c>
      <c r="G38" s="2">
        <v>2.6630475641900095</v>
      </c>
      <c r="H38" s="2">
        <v>4.2374412841391429</v>
      </c>
      <c r="I38" s="2">
        <v>4.2500000000000003E-2</v>
      </c>
      <c r="J38" s="2">
        <v>1.2909944487358032E-3</v>
      </c>
      <c r="K38" s="2">
        <v>2.0542303668284099E-3</v>
      </c>
      <c r="L38" s="2">
        <v>0.27474999999999999</v>
      </c>
      <c r="M38" s="2">
        <v>6.8007352543677079E-3</v>
      </c>
      <c r="N38" s="2">
        <v>1.0821329936749896E-2</v>
      </c>
      <c r="O38" s="2">
        <v>0.46174999999999999</v>
      </c>
      <c r="P38" s="2">
        <v>1.1898879499067668E-2</v>
      </c>
      <c r="Q38" s="2">
        <v>1.8933497058916473E-2</v>
      </c>
      <c r="R38" s="2">
        <v>0.70374999999999999</v>
      </c>
      <c r="S38" s="2">
        <v>1.6090887690449696E-2</v>
      </c>
      <c r="T38" s="2">
        <v>2.5603820493043553E-2</v>
      </c>
    </row>
    <row r="39" spans="5:20" x14ac:dyDescent="0.3">
      <c r="F39" s="2">
        <v>58.445314327598823</v>
      </c>
      <c r="G39" s="2">
        <v>2.379142891790146</v>
      </c>
      <c r="H39" s="2">
        <v>3.7856921694164805</v>
      </c>
      <c r="I39" s="2">
        <v>7.0250000000000007E-2</v>
      </c>
      <c r="J39" s="2">
        <v>3.5939764421413002E-3</v>
      </c>
      <c r="K39" s="2">
        <v>5.718735314735237E-3</v>
      </c>
      <c r="L39" s="2">
        <v>0.40200000000000002</v>
      </c>
      <c r="M39" s="2">
        <v>1.7416467303484166E-2</v>
      </c>
      <c r="N39" s="2">
        <v>2.7713082773304004E-2</v>
      </c>
      <c r="O39" s="2">
        <v>0.61674999999999991</v>
      </c>
      <c r="P39" s="2">
        <v>1.7632829230349485E-2</v>
      </c>
      <c r="Q39" s="2">
        <v>2.8057357871332098E-2</v>
      </c>
      <c r="R39" s="2">
        <v>0.84575</v>
      </c>
      <c r="S39" s="2">
        <v>1.3524668819112243E-2</v>
      </c>
      <c r="T39" s="2">
        <v>2.1520453024971402E-2</v>
      </c>
    </row>
    <row r="40" spans="5:20" x14ac:dyDescent="0.3">
      <c r="E40">
        <v>3</v>
      </c>
      <c r="F40" s="2">
        <v>12.85755256878064</v>
      </c>
      <c r="G40" s="2">
        <v>0.52771535608513886</v>
      </c>
      <c r="H40" s="2">
        <v>0.83970067460267295</v>
      </c>
      <c r="I40" s="2">
        <v>4.2999999999999997E-2</v>
      </c>
      <c r="J40" s="2">
        <v>8.1649658092772389E-4</v>
      </c>
      <c r="K40" s="2">
        <v>1.2992093595721942E-3</v>
      </c>
      <c r="L40" s="2">
        <v>0.66</v>
      </c>
      <c r="M40" s="2">
        <v>4.0628397293846895E-2</v>
      </c>
      <c r="N40" s="2">
        <v>6.4647905773969172E-2</v>
      </c>
      <c r="O40" s="2">
        <v>0.84475</v>
      </c>
      <c r="P40" s="2">
        <v>3.0137186331839257E-2</v>
      </c>
      <c r="Q40" s="2">
        <v>4.7954290891222627E-2</v>
      </c>
      <c r="R40" s="2">
        <v>0.96599999999999997</v>
      </c>
      <c r="S40" s="2">
        <v>1.1224972160321834E-2</v>
      </c>
      <c r="T40" s="2">
        <v>1.7861175701504101E-2</v>
      </c>
    </row>
    <row r="41" spans="5:20" x14ac:dyDescent="0.3">
      <c r="F41" s="2">
        <v>27.256123126319213</v>
      </c>
      <c r="G41" s="2">
        <v>1.1756246224900642</v>
      </c>
      <c r="H41" s="2">
        <v>1.8706538993061901</v>
      </c>
      <c r="I41" s="2">
        <v>8.1750000000000003E-2</v>
      </c>
      <c r="J41" s="2">
        <v>1.5000000000000013E-3</v>
      </c>
      <c r="K41" s="2">
        <v>2.3868000000000019E-3</v>
      </c>
      <c r="L41" s="2">
        <v>0.69774999999999998</v>
      </c>
      <c r="M41" s="2">
        <v>4.0508229616544163E-2</v>
      </c>
      <c r="N41" s="2">
        <v>6.4456694965845066E-2</v>
      </c>
      <c r="O41" s="2">
        <v>0.82824999999999993</v>
      </c>
      <c r="P41" s="2">
        <v>3.3230257296626507E-2</v>
      </c>
      <c r="Q41" s="2">
        <v>5.2875985410392096E-2</v>
      </c>
      <c r="R41" s="2">
        <v>0.93500000000000005</v>
      </c>
      <c r="S41" s="2">
        <v>2.4262453846770431E-2</v>
      </c>
      <c r="T41" s="2">
        <v>3.8606416560981106E-2</v>
      </c>
    </row>
    <row r="42" spans="5:20" x14ac:dyDescent="0.3">
      <c r="F42" s="2">
        <v>37.683911396247836</v>
      </c>
      <c r="G42" s="2">
        <v>1.1500520506868497</v>
      </c>
      <c r="H42" s="2">
        <v>1.8299628230529152</v>
      </c>
      <c r="I42" s="2">
        <v>0.127</v>
      </c>
      <c r="J42" s="2">
        <v>4.3969686527576442E-3</v>
      </c>
      <c r="K42" s="2">
        <v>6.9964565202679631E-3</v>
      </c>
      <c r="L42" s="2">
        <v>0.82225000000000004</v>
      </c>
      <c r="M42" s="2">
        <v>2.5991985944389322E-2</v>
      </c>
      <c r="N42" s="2">
        <v>4.1358448034712288E-2</v>
      </c>
      <c r="O42" s="2">
        <v>0.92299999999999993</v>
      </c>
      <c r="P42" s="2">
        <v>1.7606816861658985E-2</v>
      </c>
      <c r="Q42" s="2">
        <v>2.8015966990271774E-2</v>
      </c>
      <c r="R42" s="2">
        <v>0.97599999999999998</v>
      </c>
      <c r="S42" s="2">
        <v>6.6833125519211462E-3</v>
      </c>
      <c r="T42" s="2">
        <v>1.0634486932616927E-2</v>
      </c>
    </row>
    <row r="43" spans="5:20" x14ac:dyDescent="0.3">
      <c r="E43">
        <v>4</v>
      </c>
      <c r="F43" s="2">
        <v>10.547318006837184</v>
      </c>
      <c r="G43" s="2">
        <v>0.43005318367864392</v>
      </c>
      <c r="H43" s="2">
        <v>0.68430062586945795</v>
      </c>
      <c r="I43" s="2">
        <v>5.1999999999999998E-2</v>
      </c>
      <c r="J43" s="2">
        <v>2.5819888974716108E-3</v>
      </c>
      <c r="K43" s="2">
        <v>4.1084607336568267E-3</v>
      </c>
      <c r="L43" s="2">
        <v>0.88100000000000001</v>
      </c>
      <c r="M43" s="2">
        <v>1.6593171286204873E-2</v>
      </c>
      <c r="N43" s="2">
        <v>2.6403054150609194E-2</v>
      </c>
      <c r="O43" s="2">
        <v>0.96625000000000005</v>
      </c>
      <c r="P43" s="2">
        <v>1.2553220038433708E-2</v>
      </c>
      <c r="Q43" s="2">
        <v>1.9974683725155717E-2</v>
      </c>
      <c r="R43" s="2">
        <v>0.99424999999999997</v>
      </c>
      <c r="S43" s="2">
        <v>2.2173557826083469E-3</v>
      </c>
      <c r="T43" s="2">
        <v>3.5282565212864016E-3</v>
      </c>
    </row>
    <row r="44" spans="5:20" x14ac:dyDescent="0.3">
      <c r="F44" s="2">
        <v>22.505514163234363</v>
      </c>
      <c r="G44" s="2">
        <v>0.71003134530917023</v>
      </c>
      <c r="H44" s="2">
        <v>1.1298018766559517</v>
      </c>
      <c r="I44" s="2">
        <v>9.5750000000000002E-2</v>
      </c>
      <c r="J44" s="2">
        <v>3.9475730941090073E-3</v>
      </c>
      <c r="K44" s="2">
        <v>6.2813783073462524E-3</v>
      </c>
      <c r="L44" s="2">
        <v>0.90524999999999989</v>
      </c>
      <c r="M44" s="2">
        <v>1.6173538058610853E-2</v>
      </c>
      <c r="N44" s="2">
        <v>2.5735333758861591E-2</v>
      </c>
      <c r="O44" s="2">
        <v>0.95924999999999994</v>
      </c>
      <c r="P44" s="2">
        <v>1.7250603854165044E-2</v>
      </c>
      <c r="Q44" s="2">
        <v>2.7449160852747418E-2</v>
      </c>
      <c r="R44" s="2">
        <v>0.98974999999999991</v>
      </c>
      <c r="S44" s="2">
        <v>4.9244289008980565E-3</v>
      </c>
      <c r="T44" s="2">
        <v>7.8357512671089879E-3</v>
      </c>
    </row>
    <row r="45" spans="5:20" x14ac:dyDescent="0.3">
      <c r="F45" s="2">
        <v>32.770825622482484</v>
      </c>
      <c r="G45" s="2">
        <v>1.4924347278532837</v>
      </c>
      <c r="H45" s="2">
        <v>2.3747621389601448</v>
      </c>
      <c r="I45" s="2">
        <v>0.1515</v>
      </c>
      <c r="J45" s="2">
        <v>8.4261497731763519E-3</v>
      </c>
      <c r="K45" s="2">
        <v>1.3407689519078211E-2</v>
      </c>
      <c r="L45" s="2">
        <v>0.94550000000000001</v>
      </c>
      <c r="M45" s="2">
        <v>9.1104335791442684E-3</v>
      </c>
      <c r="N45" s="2">
        <v>1.4496521911134359E-2</v>
      </c>
      <c r="O45" s="2">
        <v>0.98849999999999993</v>
      </c>
      <c r="P45" s="2">
        <v>5.4467115461227355E-3</v>
      </c>
      <c r="Q45" s="2">
        <v>8.6668074121904956E-3</v>
      </c>
      <c r="R45" s="2">
        <v>0.99525000000000008</v>
      </c>
      <c r="S45" s="2">
        <v>2.2173557826083473E-3</v>
      </c>
      <c r="T45" s="2">
        <v>3.5282565212864021E-3</v>
      </c>
    </row>
    <row r="46" spans="5:20" x14ac:dyDescent="0.3">
      <c r="E46">
        <v>6</v>
      </c>
      <c r="F46" s="2">
        <v>9.6064401504782726</v>
      </c>
      <c r="G46" s="2">
        <v>0.23865401561733646</v>
      </c>
      <c r="H46" s="2">
        <v>0.37974626965030578</v>
      </c>
      <c r="I46" s="2">
        <v>5.6000000000000001E-2</v>
      </c>
      <c r="J46" s="2">
        <v>1.8257418583505554E-3</v>
      </c>
      <c r="K46" s="2">
        <v>2.9051204450074035E-3</v>
      </c>
      <c r="L46" s="2">
        <v>0.94474999999999998</v>
      </c>
      <c r="M46" s="2">
        <v>5.0000000000000044E-4</v>
      </c>
      <c r="N46" s="2">
        <v>7.9560000000000069E-4</v>
      </c>
      <c r="O46" s="2">
        <v>0.998</v>
      </c>
      <c r="P46" s="2">
        <v>0</v>
      </c>
      <c r="Q46" s="2">
        <v>0</v>
      </c>
      <c r="R46" s="2">
        <v>0.997</v>
      </c>
      <c r="S46" s="2">
        <v>0</v>
      </c>
      <c r="T46" s="2">
        <v>0</v>
      </c>
    </row>
    <row r="47" spans="5:20" x14ac:dyDescent="0.3">
      <c r="F47" s="2">
        <v>20.423660477489776</v>
      </c>
      <c r="G47" s="2">
        <v>0.55822702296226956</v>
      </c>
      <c r="H47" s="2">
        <v>0.88825083893756329</v>
      </c>
      <c r="I47" s="2">
        <v>0.10075000000000001</v>
      </c>
      <c r="J47" s="2">
        <v>1.2583057392117881E-3</v>
      </c>
      <c r="K47" s="2">
        <v>2.0022160922337972E-3</v>
      </c>
      <c r="L47" s="2">
        <v>0.95774999999999988</v>
      </c>
      <c r="M47" s="2">
        <v>3.403429642777026E-3</v>
      </c>
      <c r="N47" s="2">
        <v>5.4155372475868033E-3</v>
      </c>
      <c r="O47" s="2">
        <v>0.99725000000000008</v>
      </c>
      <c r="P47" s="2">
        <v>3.5000000000000031E-3</v>
      </c>
      <c r="Q47" s="2">
        <v>5.569200000000005E-3</v>
      </c>
      <c r="R47" s="2">
        <v>0.99675000000000002</v>
      </c>
      <c r="S47" s="2">
        <v>2.5000000000000022E-3</v>
      </c>
      <c r="T47" s="2">
        <v>3.9780000000000032E-3</v>
      </c>
    </row>
    <row r="48" spans="5:20" x14ac:dyDescent="0.3">
      <c r="F48" s="2">
        <v>30.599371903657534</v>
      </c>
      <c r="G48" s="2">
        <v>0.80138268900076848</v>
      </c>
      <c r="H48" s="2">
        <v>1.2751601347380228</v>
      </c>
      <c r="I48" s="2">
        <v>0.16025</v>
      </c>
      <c r="J48" s="2">
        <v>1.2583057392117928E-3</v>
      </c>
      <c r="K48" s="2">
        <v>2.0022160922338046E-3</v>
      </c>
      <c r="L48" s="2">
        <v>0.97224999999999995</v>
      </c>
      <c r="M48" s="2">
        <v>5.0000000000000055E-4</v>
      </c>
      <c r="N48" s="2">
        <v>7.9560000000000091E-4</v>
      </c>
      <c r="O48" s="2">
        <v>0.99825000000000008</v>
      </c>
      <c r="P48" s="2">
        <v>9.5742710775633896E-4</v>
      </c>
      <c r="Q48" s="2">
        <v>1.5234580138618866E-3</v>
      </c>
      <c r="R48" s="2">
        <v>0.99750000000000005</v>
      </c>
      <c r="S48" s="2">
        <v>1.0000000000000011E-3</v>
      </c>
      <c r="T48" s="2">
        <v>1.5912000000000018E-3</v>
      </c>
    </row>
    <row r="49" spans="5:20" x14ac:dyDescent="0.3">
      <c r="E49">
        <v>7</v>
      </c>
      <c r="F49" s="2">
        <v>8.6419344655734154</v>
      </c>
      <c r="G49" s="2">
        <v>0.47295866230021599</v>
      </c>
      <c r="H49" s="2">
        <v>0.75257182345210372</v>
      </c>
      <c r="I49" s="2">
        <v>6.2E-2</v>
      </c>
      <c r="J49" s="2">
        <v>2.44948974278318E-3</v>
      </c>
      <c r="K49" s="2">
        <v>3.8976280787165959E-3</v>
      </c>
      <c r="L49" s="2">
        <v>0.95424999999999982</v>
      </c>
      <c r="M49" s="2">
        <v>5.0000000000000044E-4</v>
      </c>
      <c r="N49" s="2">
        <v>7.9560000000000069E-4</v>
      </c>
      <c r="O49" s="2">
        <v>0.99825000000000008</v>
      </c>
      <c r="P49" s="2">
        <v>5.0000000000000044E-4</v>
      </c>
      <c r="Q49" s="2">
        <v>7.9560000000000069E-4</v>
      </c>
      <c r="R49" s="2">
        <v>0.99724999999999997</v>
      </c>
      <c r="S49" s="2">
        <v>5.0000000000000055E-4</v>
      </c>
      <c r="T49" s="2">
        <v>7.9560000000000091E-4</v>
      </c>
    </row>
    <row r="50" spans="5:20" x14ac:dyDescent="0.3">
      <c r="F50" s="2">
        <v>18.965064906217094</v>
      </c>
      <c r="G50" s="2">
        <v>1.3350924576403695</v>
      </c>
      <c r="H50" s="2">
        <v>3.3168212041597727</v>
      </c>
      <c r="I50" s="2">
        <v>0.12125</v>
      </c>
      <c r="J50" s="2">
        <v>9.5742710775633896E-4</v>
      </c>
      <c r="K50" s="2">
        <v>1.5234580138618866E-3</v>
      </c>
      <c r="L50" s="2">
        <v>0.97049999999999992</v>
      </c>
      <c r="M50" s="2">
        <v>5.7735026918962623E-4</v>
      </c>
      <c r="N50" s="2">
        <v>9.1867974833453327E-4</v>
      </c>
      <c r="O50" s="2">
        <v>0.999</v>
      </c>
      <c r="P50" s="2">
        <v>0</v>
      </c>
      <c r="Q50" s="2">
        <v>0</v>
      </c>
      <c r="R50" s="2">
        <v>0.998</v>
      </c>
      <c r="S50" s="2">
        <v>0</v>
      </c>
      <c r="T50" s="2">
        <v>0</v>
      </c>
    </row>
    <row r="51" spans="5:20" x14ac:dyDescent="0.3">
      <c r="F51" s="2">
        <v>27.484477881725478</v>
      </c>
      <c r="G51" s="2">
        <v>1.5064101806312484</v>
      </c>
      <c r="H51" s="2">
        <v>2.3969998794204423</v>
      </c>
      <c r="I51" s="2">
        <v>0.17474999999999996</v>
      </c>
      <c r="J51" s="2">
        <v>9.5742710775633896E-4</v>
      </c>
      <c r="K51" s="2">
        <v>1.5234580138618866E-3</v>
      </c>
      <c r="L51" s="2">
        <v>0.97824999999999995</v>
      </c>
      <c r="M51" s="2">
        <v>9.5742710775633896E-4</v>
      </c>
      <c r="N51" s="2">
        <v>1.5234580138618866E-3</v>
      </c>
      <c r="O51" s="2">
        <v>0.999</v>
      </c>
      <c r="P51" s="2">
        <v>0</v>
      </c>
      <c r="Q51" s="2">
        <v>0</v>
      </c>
      <c r="R51" s="2">
        <v>0.998</v>
      </c>
      <c r="S51" s="2">
        <v>0</v>
      </c>
      <c r="T51" s="2">
        <v>0</v>
      </c>
    </row>
    <row r="52" spans="5:20" x14ac:dyDescent="0.3">
      <c r="E52">
        <v>8</v>
      </c>
      <c r="F52" s="2">
        <v>7.6191939009138245</v>
      </c>
      <c r="G52" s="2">
        <v>0.15607994537195335</v>
      </c>
      <c r="H52" s="2">
        <v>0.24835440907585216</v>
      </c>
      <c r="I52" s="2">
        <v>6.3250000000000001E-2</v>
      </c>
      <c r="J52" s="2">
        <v>2.2173557826083473E-3</v>
      </c>
      <c r="K52" s="2">
        <v>3.5282565212864021E-3</v>
      </c>
      <c r="L52" s="2">
        <v>0.9577500000000001</v>
      </c>
      <c r="M52" s="2">
        <v>5.0000000000000044E-4</v>
      </c>
      <c r="N52" s="2">
        <v>7.9560000000000069E-4</v>
      </c>
      <c r="O52" s="2">
        <v>0.999</v>
      </c>
      <c r="P52" s="2">
        <v>0</v>
      </c>
      <c r="Q52" s="2">
        <v>0</v>
      </c>
      <c r="R52" s="2">
        <v>0.998</v>
      </c>
      <c r="S52" s="2">
        <v>0</v>
      </c>
      <c r="T52" s="2">
        <v>0</v>
      </c>
    </row>
    <row r="53" spans="5:20" x14ac:dyDescent="0.3">
      <c r="F53" s="2">
        <v>16.60770521462684</v>
      </c>
      <c r="G53" s="2">
        <v>0.2767670223284614</v>
      </c>
      <c r="H53" s="2">
        <v>0.44039168592904776</v>
      </c>
      <c r="I53" s="2">
        <v>0.1255</v>
      </c>
      <c r="J53" s="2">
        <v>1.7320508075688787E-3</v>
      </c>
      <c r="K53" s="2">
        <v>2.7560392450035995E-3</v>
      </c>
      <c r="L53" s="2">
        <v>0.97299999999999998</v>
      </c>
      <c r="M53" s="2">
        <v>0</v>
      </c>
      <c r="N53" s="2">
        <v>0</v>
      </c>
      <c r="O53" s="2">
        <v>0.999</v>
      </c>
      <c r="P53" s="2">
        <v>0</v>
      </c>
      <c r="Q53" s="2">
        <v>0</v>
      </c>
      <c r="R53" s="2">
        <v>0.998</v>
      </c>
      <c r="S53" s="2">
        <v>0</v>
      </c>
      <c r="T53" s="2">
        <v>0</v>
      </c>
    </row>
    <row r="54" spans="5:20" x14ac:dyDescent="0.3">
      <c r="F54" s="2">
        <v>24.267199566150573</v>
      </c>
      <c r="G54" s="2">
        <v>0.48155892780845466</v>
      </c>
      <c r="H54" s="2">
        <v>0.76625656592881308</v>
      </c>
      <c r="I54" s="2">
        <v>0.17899999999999999</v>
      </c>
      <c r="J54" s="2">
        <v>2.9439202887759515E-3</v>
      </c>
      <c r="K54" s="2">
        <v>4.6843659635002937E-3</v>
      </c>
      <c r="L54" s="2">
        <v>0.98049999999999993</v>
      </c>
      <c r="M54" s="2">
        <v>5.7735026918962634E-4</v>
      </c>
      <c r="N54" s="2">
        <v>9.1867974833453338E-4</v>
      </c>
      <c r="O54" s="2">
        <v>0.999</v>
      </c>
      <c r="P54" s="2">
        <v>0</v>
      </c>
      <c r="Q54" s="2">
        <v>0</v>
      </c>
      <c r="R54" s="2">
        <v>0.998</v>
      </c>
      <c r="S54" s="2">
        <v>0</v>
      </c>
      <c r="T54" s="2">
        <v>0</v>
      </c>
    </row>
    <row r="55" spans="5:20" x14ac:dyDescent="0.3">
      <c r="E55">
        <v>9</v>
      </c>
      <c r="F55" s="2">
        <v>7.7799740770175152</v>
      </c>
      <c r="G55" s="2">
        <v>0.24946366371015408</v>
      </c>
      <c r="H55" s="2">
        <v>0.39694658169559716</v>
      </c>
      <c r="I55" s="2">
        <v>6.0499999999999998E-2</v>
      </c>
      <c r="J55" s="2">
        <v>1.2909944487358067E-3</v>
      </c>
      <c r="K55" s="2">
        <v>2.0542303668284155E-3</v>
      </c>
      <c r="L55" s="2">
        <v>0.95674999999999988</v>
      </c>
      <c r="M55" s="2">
        <v>5.0000000000000044E-4</v>
      </c>
      <c r="N55" s="2">
        <v>7.9560000000000069E-4</v>
      </c>
      <c r="O55" s="2">
        <v>0.999</v>
      </c>
      <c r="P55" s="2">
        <v>0</v>
      </c>
      <c r="Q55" s="2">
        <v>0</v>
      </c>
      <c r="R55" s="2">
        <v>0.998</v>
      </c>
      <c r="S55" s="2">
        <v>0</v>
      </c>
      <c r="T55" s="2">
        <v>0</v>
      </c>
    </row>
    <row r="56" spans="5:20" x14ac:dyDescent="0.3">
      <c r="F56" s="2">
        <v>17.146606135114254</v>
      </c>
      <c r="G56" s="2">
        <v>0.39999201700373632</v>
      </c>
      <c r="H56" s="2">
        <v>0.63646729745634523</v>
      </c>
      <c r="I56" s="2">
        <v>0.1245</v>
      </c>
      <c r="J56" s="2">
        <v>5.7735026918962634E-4</v>
      </c>
      <c r="K56" s="2">
        <v>9.1867974833453338E-4</v>
      </c>
      <c r="L56" s="2">
        <v>0.97274999999999989</v>
      </c>
      <c r="M56" s="2">
        <v>5.0000000000000044E-4</v>
      </c>
      <c r="N56" s="2">
        <v>7.9560000000000069E-4</v>
      </c>
      <c r="O56" s="2">
        <v>0.999</v>
      </c>
      <c r="P56" s="2">
        <v>0</v>
      </c>
      <c r="Q56" s="2">
        <v>0</v>
      </c>
      <c r="R56" s="2">
        <v>0.998</v>
      </c>
      <c r="S56" s="2">
        <v>0</v>
      </c>
      <c r="T56" s="2">
        <v>0</v>
      </c>
    </row>
    <row r="57" spans="5:20" x14ac:dyDescent="0.3">
      <c r="F57" s="2">
        <v>24.865100846036174</v>
      </c>
      <c r="G57" s="2">
        <v>0.7522478286405585</v>
      </c>
      <c r="H57" s="2">
        <v>1.1969767449328566</v>
      </c>
      <c r="I57" s="2">
        <v>0.17774999999999996</v>
      </c>
      <c r="J57" s="2">
        <v>5.0000000000000044E-4</v>
      </c>
      <c r="K57" s="2">
        <v>7.9560000000000069E-4</v>
      </c>
      <c r="L57" s="2">
        <v>0.98</v>
      </c>
      <c r="M57" s="2">
        <v>0</v>
      </c>
      <c r="N57" s="2">
        <v>0</v>
      </c>
      <c r="O57" s="2">
        <v>0.999</v>
      </c>
      <c r="P57" s="2">
        <v>0</v>
      </c>
      <c r="Q57" s="2">
        <v>0</v>
      </c>
      <c r="R57" s="2">
        <v>0.998</v>
      </c>
      <c r="S57" s="2">
        <v>0</v>
      </c>
      <c r="T57" s="2">
        <v>0</v>
      </c>
    </row>
    <row r="58" spans="5:20" x14ac:dyDescent="0.3">
      <c r="E58">
        <v>10</v>
      </c>
      <c r="F58" s="2">
        <v>7.3244302447237235</v>
      </c>
      <c r="G58" s="2">
        <v>0.12964563722983799</v>
      </c>
      <c r="H58" s="2">
        <v>0.20629213796011819</v>
      </c>
      <c r="I58" s="2">
        <v>5.7249999999999995E-2</v>
      </c>
      <c r="J58" s="2">
        <v>1.7078251276599322E-3</v>
      </c>
      <c r="K58" s="2">
        <v>2.7174913431324841E-3</v>
      </c>
      <c r="L58" s="2">
        <v>0.95649999999999991</v>
      </c>
      <c r="M58" s="2">
        <v>1.7320508075688787E-3</v>
      </c>
      <c r="N58" s="2">
        <v>2.7560392450035995E-3</v>
      </c>
      <c r="O58" s="2">
        <v>0.999</v>
      </c>
      <c r="P58" s="2">
        <v>0</v>
      </c>
      <c r="Q58" s="2">
        <v>0</v>
      </c>
      <c r="R58" s="2">
        <v>0.998</v>
      </c>
      <c r="S58" s="2">
        <v>0</v>
      </c>
      <c r="T58" s="2">
        <v>0</v>
      </c>
    </row>
    <row r="59" spans="5:20" x14ac:dyDescent="0.3">
      <c r="F59" s="2">
        <v>16.074113662814181</v>
      </c>
      <c r="G59" s="2">
        <v>0.47743989181164614</v>
      </c>
      <c r="H59" s="2">
        <v>0.75970235585069135</v>
      </c>
      <c r="I59" s="2">
        <v>0.1255</v>
      </c>
      <c r="J59" s="2">
        <v>3.6968455021364759E-3</v>
      </c>
      <c r="K59" s="2">
        <v>5.8824205629995603E-3</v>
      </c>
      <c r="L59" s="2">
        <v>0.97324999999999995</v>
      </c>
      <c r="M59" s="2">
        <v>1.7078251276599345E-3</v>
      </c>
      <c r="N59" s="2">
        <v>2.717491343132488E-3</v>
      </c>
      <c r="O59" s="2">
        <v>0.999</v>
      </c>
      <c r="P59" s="2">
        <v>0</v>
      </c>
      <c r="Q59" s="2">
        <v>0</v>
      </c>
      <c r="R59" s="2">
        <v>0.998</v>
      </c>
      <c r="S59" s="2">
        <v>0</v>
      </c>
      <c r="T59" s="2">
        <v>0</v>
      </c>
    </row>
    <row r="60" spans="5:20" x14ac:dyDescent="0.3">
      <c r="F60" s="2">
        <v>23.223244950477294</v>
      </c>
      <c r="G60" s="2">
        <v>0.69818068114472631</v>
      </c>
      <c r="H60" s="2">
        <v>1.1109450998374886</v>
      </c>
      <c r="I60" s="2">
        <v>0.17874999999999996</v>
      </c>
      <c r="J60" s="2">
        <v>1.5000000000000013E-3</v>
      </c>
      <c r="K60" s="2">
        <v>2.3868000000000019E-3</v>
      </c>
      <c r="L60" s="2">
        <v>0.98049999999999993</v>
      </c>
      <c r="M60" s="2">
        <v>5.7735026918962634E-4</v>
      </c>
      <c r="N60" s="2">
        <v>9.1867974833453338E-4</v>
      </c>
      <c r="O60" s="2">
        <v>0.999</v>
      </c>
      <c r="P60" s="2">
        <v>0</v>
      </c>
      <c r="Q60" s="2">
        <v>0</v>
      </c>
      <c r="R60" s="2">
        <v>0.998</v>
      </c>
      <c r="S60" s="2">
        <v>0</v>
      </c>
      <c r="T60" s="2">
        <v>0</v>
      </c>
    </row>
    <row r="68" spans="3:56" x14ac:dyDescent="0.3">
      <c r="C68" t="s">
        <v>72</v>
      </c>
      <c r="P68" s="4" t="s">
        <v>35</v>
      </c>
      <c r="Q68" s="4"/>
      <c r="R68" s="4"/>
      <c r="S68" s="4"/>
      <c r="T68" s="4"/>
      <c r="U68" s="4"/>
      <c r="V68" s="4"/>
      <c r="W68" s="4"/>
      <c r="AA68" s="4" t="s">
        <v>48</v>
      </c>
      <c r="AB68" s="4"/>
      <c r="AC68" s="4"/>
      <c r="AD68" s="4"/>
      <c r="AE68" s="4"/>
      <c r="AF68" s="4"/>
      <c r="AG68" s="4"/>
      <c r="AH68" s="4"/>
      <c r="AI68" s="4" t="s">
        <v>49</v>
      </c>
      <c r="AJ68" s="4"/>
      <c r="AK68" s="4"/>
      <c r="AL68" s="4"/>
      <c r="AM68" s="4"/>
      <c r="AN68" s="4"/>
      <c r="AO68" s="4"/>
      <c r="AP68" s="4"/>
    </row>
    <row r="69" spans="3:56" x14ac:dyDescent="0.3">
      <c r="D69" t="s">
        <v>14</v>
      </c>
      <c r="E69" t="s">
        <v>1</v>
      </c>
      <c r="F69" t="s">
        <v>18</v>
      </c>
      <c r="G69" t="s">
        <v>19</v>
      </c>
      <c r="H69" t="s">
        <v>20</v>
      </c>
      <c r="I69" t="s">
        <v>21</v>
      </c>
      <c r="J69" t="s">
        <v>22</v>
      </c>
      <c r="K69" t="s">
        <v>23</v>
      </c>
      <c r="L69" t="s">
        <v>24</v>
      </c>
      <c r="M69" t="s">
        <v>25</v>
      </c>
      <c r="N69" t="s">
        <v>27</v>
      </c>
      <c r="O69" t="s">
        <v>28</v>
      </c>
      <c r="P69" t="s">
        <v>46</v>
      </c>
      <c r="Q69" t="s">
        <v>40</v>
      </c>
      <c r="R69">
        <v>200</v>
      </c>
      <c r="S69">
        <v>400</v>
      </c>
      <c r="T69">
        <v>600</v>
      </c>
      <c r="U69">
        <v>1000</v>
      </c>
      <c r="V69">
        <v>2000</v>
      </c>
      <c r="W69">
        <v>3000</v>
      </c>
      <c r="X69" t="s">
        <v>41</v>
      </c>
      <c r="Y69" t="s">
        <v>45</v>
      </c>
      <c r="Z69" t="s">
        <v>47</v>
      </c>
      <c r="AA69" t="s">
        <v>46</v>
      </c>
      <c r="AB69" t="s">
        <v>40</v>
      </c>
      <c r="AC69">
        <v>200</v>
      </c>
      <c r="AD69">
        <v>400</v>
      </c>
      <c r="AE69">
        <v>600</v>
      </c>
      <c r="AF69">
        <v>1000</v>
      </c>
      <c r="AG69">
        <v>2000</v>
      </c>
      <c r="AH69">
        <v>3000</v>
      </c>
      <c r="AI69" t="s">
        <v>46</v>
      </c>
      <c r="AJ69" t="s">
        <v>40</v>
      </c>
      <c r="AK69">
        <v>200</v>
      </c>
      <c r="AL69">
        <v>400</v>
      </c>
      <c r="AM69">
        <v>600</v>
      </c>
      <c r="AN69">
        <v>1000</v>
      </c>
      <c r="AO69">
        <v>2000</v>
      </c>
      <c r="AP69">
        <v>3000</v>
      </c>
      <c r="AS69" t="s">
        <v>59</v>
      </c>
    </row>
    <row r="70" spans="3:56" x14ac:dyDescent="0.3">
      <c r="D70">
        <v>2</v>
      </c>
      <c r="E70" t="s">
        <v>4</v>
      </c>
      <c r="F70">
        <v>20</v>
      </c>
      <c r="G70">
        <v>2.11</v>
      </c>
      <c r="H70">
        <v>1.88</v>
      </c>
      <c r="I70">
        <v>56.39</v>
      </c>
      <c r="J70">
        <v>31.84</v>
      </c>
      <c r="K70">
        <f>80*60</f>
        <v>4800</v>
      </c>
      <c r="L70">
        <f>I70-J70</f>
        <v>24.55</v>
      </c>
      <c r="M70">
        <f>(G70+H70)/2</f>
        <v>1.9949999999999999</v>
      </c>
      <c r="N70" s="2">
        <f>FiberLength!D2*$C$2*PI()</f>
        <v>3.9144244463728818E-4</v>
      </c>
      <c r="O70" s="2">
        <f>L70/N70/K70*60*60/$C$4</f>
        <v>47.121914674772228</v>
      </c>
      <c r="Q70">
        <v>4.2999999999999997E-2</v>
      </c>
      <c r="S70">
        <v>0.27900000000000003</v>
      </c>
      <c r="U70">
        <v>0.46899999999999997</v>
      </c>
      <c r="W70">
        <v>0.71199999999999997</v>
      </c>
      <c r="Y70" s="2">
        <f>8.314*293.15*1000*(1/106*(Q70+AJ70-1)+1/400*(S70+AL70-1)+1/1000*(U70+AN70-1)+1/3000*(W70+AP70-1))/10^5</f>
        <v>9.3463888453571259E-2</v>
      </c>
      <c r="Z70" s="2">
        <f>O70/(M70-Y70)</f>
        <v>24.780972808583805</v>
      </c>
      <c r="AB70" s="2">
        <f t="shared" ref="AB70:AB85" si="0">(($O70/1000/60/60/$AX$85)+(1+0.26*($O70/1000/60/60/$AX$85)^(1.4))^(-1.7))*$AX$85</f>
        <v>3.5556925785953679E-5</v>
      </c>
      <c r="AD70" s="2">
        <f t="shared" ref="AD70:AD85" si="1">(($O70/1000/60/60/$AZ$85)+(1+0.26*($O70/1000/60/60/$AZ$85)^(1.4))^(-1.7))*$AZ$85</f>
        <v>2.7106608867702304E-5</v>
      </c>
      <c r="AF70" s="2">
        <f t="shared" ref="AF70:AF85" si="2">(($O70/1000/60/60/$BB$85)+(1+0.26*($O70/1000/60/60/$BB$85)^(1.4))^(-1.7))*$BB$85</f>
        <v>2.2884487455831013E-5</v>
      </c>
      <c r="AH70" s="2">
        <f t="shared" ref="AH70:AH85" si="3">(($O70/1000/60/60/$BD$85)+(1+0.26*($O70/1000/60/60/$BD$85)^(1.4))^(-1.7))*$BD$85</f>
        <v>1.9169855809625605E-5</v>
      </c>
      <c r="AJ70" s="2">
        <f t="shared" ref="AJ70:AJ85" si="4">(AB70/($O70/1000/60/60)+Q70-1)/(AB70/($O70/1000/60/60)-1)</f>
        <v>1.0250515173301362</v>
      </c>
      <c r="AL70" s="2">
        <f t="shared" ref="AL70:AL85" si="5">(AD70/($O70/1000/60/60)+S70-1)/(AD70/($O70/1000/60/60)-1)</f>
        <v>1.260533593100392</v>
      </c>
      <c r="AN70" s="2">
        <f t="shared" ref="AN70:AN85" si="6">(AF70/($O70/1000/60/60)+U70-1)/(AF70/($O70/1000/60/60)-1)</f>
        <v>1.6267377761109956</v>
      </c>
      <c r="AP70" s="2">
        <f t="shared" ref="AP70:AP85" si="7">(AH70/($O70/1000/60/60)+W70-1)/(AH70/($O70/1000/60/60)-1)</f>
        <v>2.5327303830860113</v>
      </c>
      <c r="AS70" t="s">
        <v>69</v>
      </c>
    </row>
    <row r="71" spans="3:56" x14ac:dyDescent="0.3">
      <c r="E71" t="s">
        <v>5</v>
      </c>
      <c r="F71">
        <v>20</v>
      </c>
      <c r="G71">
        <v>2.11</v>
      </c>
      <c r="H71">
        <v>1.88</v>
      </c>
      <c r="I71">
        <v>54.75</v>
      </c>
      <c r="J71">
        <v>31.8</v>
      </c>
      <c r="K71">
        <f t="shared" ref="K71:K85" si="8">80*60</f>
        <v>4800</v>
      </c>
      <c r="L71">
        <f t="shared" ref="L71:L134" si="9">I71-J71</f>
        <v>22.95</v>
      </c>
      <c r="M71">
        <f t="shared" ref="M71:M134" si="10">(G71+H71)/2</f>
        <v>1.9949999999999999</v>
      </c>
      <c r="N71" s="2">
        <f>FiberLength!D3*$C$2*PI()</f>
        <v>3.9364155949480104E-4</v>
      </c>
      <c r="O71" s="2">
        <f t="shared" ref="O71:O84" si="11">L71/N71/K71*60*60/$C$4</f>
        <v>43.80473862210561</v>
      </c>
      <c r="Q71">
        <v>4.2000000000000003E-2</v>
      </c>
      <c r="S71">
        <v>0.27</v>
      </c>
      <c r="U71">
        <v>0.44800000000000001</v>
      </c>
      <c r="W71">
        <v>0.68200000000000005</v>
      </c>
      <c r="Y71" s="2">
        <f t="shared" ref="Y71:Y84" si="12">8.314*293.15*1000*(1/106*(Q71+AJ71-1)+1/400*(S71+AL71-1)+1/1000*(U71+AN71-1)+1/3000*(W71+AP71-1))/10^5</f>
        <v>8.5414533820569724E-2</v>
      </c>
      <c r="Z71" s="2">
        <f t="shared" ref="Z71:Z85" si="13">O71/(M71-Y71)</f>
        <v>22.939396742344911</v>
      </c>
      <c r="AB71" s="2">
        <f t="shared" si="0"/>
        <v>3.4969772788010331E-5</v>
      </c>
      <c r="AD71" s="2">
        <f t="shared" si="1"/>
        <v>2.6518223168145916E-5</v>
      </c>
      <c r="AF71" s="2">
        <f t="shared" si="2"/>
        <v>2.2279558528381254E-5</v>
      </c>
      <c r="AH71" s="2">
        <f t="shared" si="3"/>
        <v>1.8525842930358055E-5</v>
      </c>
      <c r="AJ71" s="2">
        <f t="shared" si="4"/>
        <v>1.0224129459822382</v>
      </c>
      <c r="AL71" s="2">
        <f t="shared" si="5"/>
        <v>1.2289407944988604</v>
      </c>
      <c r="AN71" s="2">
        <f t="shared" si="6"/>
        <v>1.539110479857585</v>
      </c>
      <c r="AP71" s="2">
        <f t="shared" si="7"/>
        <v>2.3052449092461731</v>
      </c>
      <c r="AS71" t="s">
        <v>60</v>
      </c>
    </row>
    <row r="72" spans="3:56" x14ac:dyDescent="0.3">
      <c r="E72" t="s">
        <v>6</v>
      </c>
      <c r="F72">
        <v>20</v>
      </c>
      <c r="G72">
        <v>2.11</v>
      </c>
      <c r="H72">
        <v>1.88</v>
      </c>
      <c r="I72">
        <v>59.2</v>
      </c>
      <c r="J72">
        <v>33.299999999999997</v>
      </c>
      <c r="K72">
        <f t="shared" si="8"/>
        <v>4800</v>
      </c>
      <c r="L72">
        <f t="shared" si="9"/>
        <v>25.900000000000006</v>
      </c>
      <c r="M72">
        <f t="shared" si="10"/>
        <v>1.9949999999999999</v>
      </c>
      <c r="N72" s="2">
        <f>FiberLength!D4*$C$2*PI()</f>
        <v>3.9144244463728818E-4</v>
      </c>
      <c r="O72" s="2">
        <f t="shared" si="11"/>
        <v>49.713140125319796</v>
      </c>
      <c r="Q72">
        <v>4.3999999999999997E-2</v>
      </c>
      <c r="S72">
        <v>0.28199999999999997</v>
      </c>
      <c r="U72">
        <v>0.47399999999999998</v>
      </c>
      <c r="W72">
        <v>0.71899999999999997</v>
      </c>
      <c r="Y72" s="2">
        <f t="shared" si="12"/>
        <v>9.8667581558123552E-2</v>
      </c>
      <c r="Z72" s="2">
        <f t="shared" si="13"/>
        <v>26.215414366098667</v>
      </c>
      <c r="AB72" s="2">
        <f t="shared" si="0"/>
        <v>3.6014495756463684E-5</v>
      </c>
      <c r="AD72" s="2">
        <f t="shared" si="1"/>
        <v>2.7568353730033143E-5</v>
      </c>
      <c r="AF72" s="2">
        <f t="shared" si="2"/>
        <v>2.3361914678733636E-5</v>
      </c>
      <c r="AH72" s="2">
        <f t="shared" si="3"/>
        <v>1.9681003553442561E-5</v>
      </c>
      <c r="AJ72" s="2">
        <f t="shared" si="4"/>
        <v>1.0273630761602845</v>
      </c>
      <c r="AL72" s="2">
        <f t="shared" si="5"/>
        <v>1.2830259502226542</v>
      </c>
      <c r="AN72" s="2">
        <f t="shared" si="6"/>
        <v>1.6852049391731969</v>
      </c>
      <c r="AP72" s="2">
        <f t="shared" si="7"/>
        <v>2.690933319216652</v>
      </c>
      <c r="AS72" t="s">
        <v>67</v>
      </c>
    </row>
    <row r="73" spans="3:56" x14ac:dyDescent="0.3">
      <c r="E73" t="s">
        <v>7</v>
      </c>
      <c r="F73">
        <v>20</v>
      </c>
      <c r="G73">
        <v>2.11</v>
      </c>
      <c r="H73">
        <v>1.88</v>
      </c>
      <c r="I73">
        <v>58.57</v>
      </c>
      <c r="J73">
        <v>32.840000000000003</v>
      </c>
      <c r="K73">
        <f t="shared" si="8"/>
        <v>4800</v>
      </c>
      <c r="L73">
        <f t="shared" si="9"/>
        <v>25.729999999999997</v>
      </c>
      <c r="M73">
        <f t="shared" si="10"/>
        <v>1.9949999999999999</v>
      </c>
      <c r="N73" s="2">
        <f>FiberLength!D5*$C$2*PI()</f>
        <v>3.9364155949480104E-4</v>
      </c>
      <c r="O73" s="2">
        <f t="shared" si="11"/>
        <v>49.110933540164588</v>
      </c>
      <c r="Q73">
        <v>4.1000000000000002E-2</v>
      </c>
      <c r="S73">
        <v>0.26800000000000002</v>
      </c>
      <c r="U73">
        <v>0.45600000000000002</v>
      </c>
      <c r="W73">
        <v>0.70199999999999996</v>
      </c>
      <c r="Y73" s="2">
        <f t="shared" si="12"/>
        <v>9.3391805382751047E-2</v>
      </c>
      <c r="Z73" s="2">
        <f t="shared" si="13"/>
        <v>25.826000160905657</v>
      </c>
      <c r="AB73" s="2">
        <f t="shared" si="0"/>
        <v>3.5908217205496864E-5</v>
      </c>
      <c r="AD73" s="2">
        <f t="shared" si="1"/>
        <v>2.7460853922261119E-5</v>
      </c>
      <c r="AF73" s="2">
        <f t="shared" si="2"/>
        <v>2.325056011349727E-5</v>
      </c>
      <c r="AH73" s="2">
        <f t="shared" si="3"/>
        <v>1.9561578111133839E-5</v>
      </c>
      <c r="AJ73" s="2">
        <f t="shared" si="4"/>
        <v>1.0251195387565466</v>
      </c>
      <c r="AL73" s="2">
        <f t="shared" si="5"/>
        <v>1.2645672790042322</v>
      </c>
      <c r="AN73" s="2">
        <f t="shared" si="6"/>
        <v>1.6474092117756922</v>
      </c>
      <c r="AP73" s="2">
        <f t="shared" si="7"/>
        <v>2.6177693948317082</v>
      </c>
      <c r="AS73" t="s">
        <v>61</v>
      </c>
    </row>
    <row r="74" spans="3:56" x14ac:dyDescent="0.3">
      <c r="D74">
        <v>3</v>
      </c>
      <c r="E74" t="s">
        <v>4</v>
      </c>
      <c r="F74">
        <v>20</v>
      </c>
      <c r="G74">
        <v>2.11</v>
      </c>
      <c r="H74">
        <v>1.88</v>
      </c>
      <c r="I74">
        <v>45.12</v>
      </c>
      <c r="J74">
        <v>31.51</v>
      </c>
      <c r="K74">
        <f t="shared" si="8"/>
        <v>4800</v>
      </c>
      <c r="L74">
        <f t="shared" si="9"/>
        <v>13.609999999999996</v>
      </c>
      <c r="M74">
        <f t="shared" si="10"/>
        <v>1.9949999999999999</v>
      </c>
      <c r="N74" s="2">
        <f>FiberLength!D6*$C$2*PI()</f>
        <v>3.9144244463728818E-4</v>
      </c>
      <c r="O74" s="2">
        <f t="shared" si="11"/>
        <v>26.123391394038691</v>
      </c>
      <c r="Q74">
        <v>8.3000000000000004E-2</v>
      </c>
      <c r="S74">
        <v>0.70299999999999996</v>
      </c>
      <c r="U74">
        <v>0.83599999999999997</v>
      </c>
      <c r="W74">
        <v>0.93899999999999995</v>
      </c>
      <c r="X74">
        <v>2011</v>
      </c>
      <c r="Y74" s="2">
        <f t="shared" si="12"/>
        <v>0.13419254598714689</v>
      </c>
      <c r="Z74" s="2">
        <f t="shared" si="13"/>
        <v>14.038739654499606</v>
      </c>
      <c r="AB74" s="2">
        <f t="shared" si="0"/>
        <v>3.1773467942605538E-5</v>
      </c>
      <c r="AD74" s="2">
        <f t="shared" si="1"/>
        <v>2.3389886283057953E-5</v>
      </c>
      <c r="AF74" s="2">
        <f t="shared" si="2"/>
        <v>1.9134999783681791E-5</v>
      </c>
      <c r="AH74" s="2">
        <f t="shared" si="3"/>
        <v>1.5270095115228273E-5</v>
      </c>
      <c r="AJ74" s="2">
        <f t="shared" si="4"/>
        <v>1.0245662205974286</v>
      </c>
      <c r="AL74" s="2">
        <f t="shared" si="5"/>
        <v>1.3161963008920567</v>
      </c>
      <c r="AN74" s="2">
        <f t="shared" si="6"/>
        <v>1.5107068140852968</v>
      </c>
      <c r="AP74" s="2">
        <f t="shared" si="7"/>
        <v>1.8502861854952977</v>
      </c>
      <c r="AS74" t="s">
        <v>62</v>
      </c>
    </row>
    <row r="75" spans="3:56" ht="28.8" x14ac:dyDescent="0.3">
      <c r="E75" t="s">
        <v>5</v>
      </c>
      <c r="F75">
        <v>20</v>
      </c>
      <c r="G75">
        <v>2.11</v>
      </c>
      <c r="H75">
        <v>1.88</v>
      </c>
      <c r="I75">
        <v>50.08</v>
      </c>
      <c r="J75">
        <v>35.53</v>
      </c>
      <c r="K75">
        <f t="shared" si="8"/>
        <v>4800</v>
      </c>
      <c r="L75">
        <f t="shared" si="9"/>
        <v>14.549999999999997</v>
      </c>
      <c r="M75">
        <f t="shared" si="10"/>
        <v>1.9949999999999999</v>
      </c>
      <c r="N75" s="2">
        <f>FiberLength!D7*$C$2*PI()</f>
        <v>3.8924332977977537E-4</v>
      </c>
      <c r="O75" s="2">
        <f t="shared" si="11"/>
        <v>28.085435423197797</v>
      </c>
      <c r="Q75">
        <v>8.1000000000000003E-2</v>
      </c>
      <c r="S75">
        <v>0.68500000000000005</v>
      </c>
      <c r="U75">
        <v>0.82099999999999995</v>
      </c>
      <c r="W75">
        <v>0.93200000000000005</v>
      </c>
      <c r="X75">
        <v>2058</v>
      </c>
      <c r="Y75" s="2">
        <f t="shared" si="12"/>
        <v>0.13526538450504266</v>
      </c>
      <c r="Z75" s="2">
        <f t="shared" si="13"/>
        <v>15.101851193818332</v>
      </c>
      <c r="AB75" s="2">
        <f t="shared" si="0"/>
        <v>3.2137027083087225E-5</v>
      </c>
      <c r="AD75" s="2">
        <f t="shared" si="1"/>
        <v>2.3740228422016294E-5</v>
      </c>
      <c r="AF75" s="2">
        <f t="shared" si="2"/>
        <v>1.9481082887227832E-5</v>
      </c>
      <c r="AH75" s="2">
        <f t="shared" si="3"/>
        <v>1.5619347879098071E-5</v>
      </c>
      <c r="AJ75" s="2">
        <f t="shared" si="4"/>
        <v>1.025967078928461</v>
      </c>
      <c r="AL75" s="2">
        <f t="shared" si="5"/>
        <v>1.3352863163166917</v>
      </c>
      <c r="AN75" s="2">
        <f t="shared" si="6"/>
        <v>1.5483967224174433</v>
      </c>
      <c r="AP75" s="2">
        <f t="shared" si="7"/>
        <v>1.9300534411306265</v>
      </c>
      <c r="AS75" s="3" t="s">
        <v>63</v>
      </c>
    </row>
    <row r="76" spans="3:56" x14ac:dyDescent="0.3">
      <c r="E76" t="s">
        <v>6</v>
      </c>
      <c r="F76">
        <v>20</v>
      </c>
      <c r="G76">
        <v>2.11</v>
      </c>
      <c r="H76">
        <v>1.88</v>
      </c>
      <c r="I76">
        <v>44.8</v>
      </c>
      <c r="J76">
        <v>31.29</v>
      </c>
      <c r="K76">
        <f t="shared" si="8"/>
        <v>4800</v>
      </c>
      <c r="L76">
        <f t="shared" si="9"/>
        <v>13.509999999999998</v>
      </c>
      <c r="M76">
        <f t="shared" si="10"/>
        <v>1.9949999999999999</v>
      </c>
      <c r="N76" s="2">
        <f>FiberLength!D8*$C$2*PI()</f>
        <v>3.8484510006474965E-4</v>
      </c>
      <c r="O76" s="2">
        <f t="shared" si="11"/>
        <v>26.375987889810588</v>
      </c>
      <c r="Q76">
        <v>8.3000000000000004E-2</v>
      </c>
      <c r="S76">
        <v>0.75</v>
      </c>
      <c r="U76">
        <v>0.86799999999999999</v>
      </c>
      <c r="W76">
        <v>0.96399999999999997</v>
      </c>
      <c r="X76">
        <v>1824</v>
      </c>
      <c r="Y76" s="2">
        <f t="shared" si="12"/>
        <v>0.14052306890466298</v>
      </c>
      <c r="Z76" s="2">
        <f t="shared" si="13"/>
        <v>14.222871930917874</v>
      </c>
      <c r="AB76" s="2">
        <f t="shared" si="0"/>
        <v>3.1820450400276202E-5</v>
      </c>
      <c r="AD76" s="2">
        <f t="shared" si="1"/>
        <v>2.3435098846524419E-5</v>
      </c>
      <c r="AF76" s="2">
        <f t="shared" si="2"/>
        <v>1.9179582522192274E-5</v>
      </c>
      <c r="AH76" s="2">
        <f t="shared" si="3"/>
        <v>1.5314948679580903E-5</v>
      </c>
      <c r="AJ76" s="2">
        <f t="shared" si="4"/>
        <v>1.0248272368704876</v>
      </c>
      <c r="AL76" s="2">
        <f t="shared" si="5"/>
        <v>1.3411254595210584</v>
      </c>
      <c r="AN76" s="2">
        <f t="shared" si="6"/>
        <v>1.5365381834645928</v>
      </c>
      <c r="AP76" s="2">
        <f t="shared" si="7"/>
        <v>1.8841576246499947</v>
      </c>
      <c r="AS76" t="s">
        <v>66</v>
      </c>
    </row>
    <row r="77" spans="3:56" x14ac:dyDescent="0.3">
      <c r="E77" t="s">
        <v>7</v>
      </c>
      <c r="F77">
        <v>20</v>
      </c>
      <c r="G77">
        <v>2.11</v>
      </c>
      <c r="H77">
        <v>1.88</v>
      </c>
      <c r="I77">
        <v>46.5</v>
      </c>
      <c r="J77">
        <v>31.6</v>
      </c>
      <c r="K77">
        <f t="shared" si="8"/>
        <v>4800</v>
      </c>
      <c r="L77">
        <f t="shared" si="9"/>
        <v>14.899999999999999</v>
      </c>
      <c r="M77">
        <f t="shared" si="10"/>
        <v>1.9949999999999999</v>
      </c>
      <c r="N77" s="2">
        <f>FiberLength!D9*$C$2*PI()</f>
        <v>3.9364155949480104E-4</v>
      </c>
      <c r="O77" s="2">
        <f t="shared" si="11"/>
        <v>28.439677798229784</v>
      </c>
      <c r="Q77">
        <v>0.08</v>
      </c>
      <c r="S77">
        <v>0.65300000000000002</v>
      </c>
      <c r="U77">
        <v>0.78800000000000003</v>
      </c>
      <c r="W77">
        <v>0.90500000000000003</v>
      </c>
      <c r="X77">
        <v>2623</v>
      </c>
      <c r="Y77" s="2">
        <f t="shared" si="12"/>
        <v>0.13097774702605627</v>
      </c>
      <c r="Z77" s="2">
        <f t="shared" si="13"/>
        <v>15.257155730225787</v>
      </c>
      <c r="AB77" s="2">
        <f t="shared" si="0"/>
        <v>3.2202343974110955E-5</v>
      </c>
      <c r="AD77" s="2">
        <f t="shared" si="1"/>
        <v>2.380329223796543E-5</v>
      </c>
      <c r="AF77" s="2">
        <f t="shared" si="2"/>
        <v>1.9543534304933653E-5</v>
      </c>
      <c r="AH77" s="2">
        <f t="shared" si="3"/>
        <v>1.5682631650267295E-5</v>
      </c>
      <c r="AJ77" s="2">
        <f t="shared" si="4"/>
        <v>1.0260053315492512</v>
      </c>
      <c r="AL77" s="2">
        <f t="shared" si="5"/>
        <v>1.3243738747529656</v>
      </c>
      <c r="AN77" s="2">
        <f t="shared" si="6"/>
        <v>1.5346384920742544</v>
      </c>
      <c r="AP77" s="2">
        <f t="shared" si="7"/>
        <v>1.9186271566928399</v>
      </c>
      <c r="AS77" t="s">
        <v>64</v>
      </c>
    </row>
    <row r="78" spans="3:56" x14ac:dyDescent="0.3">
      <c r="D78">
        <v>4</v>
      </c>
      <c r="E78" t="s">
        <v>4</v>
      </c>
      <c r="F78">
        <v>20</v>
      </c>
      <c r="G78">
        <v>2.11</v>
      </c>
      <c r="H78">
        <v>1.88</v>
      </c>
      <c r="I78">
        <v>44.07</v>
      </c>
      <c r="J78">
        <v>32.21</v>
      </c>
      <c r="K78">
        <f t="shared" si="8"/>
        <v>4800</v>
      </c>
      <c r="L78">
        <f t="shared" si="9"/>
        <v>11.86</v>
      </c>
      <c r="M78">
        <f t="shared" si="10"/>
        <v>1.9949999999999999</v>
      </c>
      <c r="N78" s="2">
        <f>FiberLength!D10*$C$2*PI()</f>
        <v>3.9144244463728818E-4</v>
      </c>
      <c r="O78" s="2">
        <f t="shared" si="11"/>
        <v>22.764395439625194</v>
      </c>
      <c r="Q78">
        <v>9.9000000000000005E-2</v>
      </c>
      <c r="S78">
        <v>0.92900000000000005</v>
      </c>
      <c r="U78">
        <v>0.98499999999999999</v>
      </c>
      <c r="W78">
        <v>0.997</v>
      </c>
      <c r="X78">
        <v>328</v>
      </c>
      <c r="Y78" s="2">
        <f t="shared" si="12"/>
        <v>0.1575761922290555</v>
      </c>
      <c r="Z78" s="2">
        <f t="shared" si="13"/>
        <v>12.389300358114784</v>
      </c>
      <c r="AB78" s="2">
        <f t="shared" si="0"/>
        <v>3.1143142113391879E-5</v>
      </c>
      <c r="AD78" s="2">
        <f t="shared" si="1"/>
        <v>2.2784870230092296E-5</v>
      </c>
      <c r="AF78" s="2">
        <f t="shared" si="2"/>
        <v>1.8540568459824272E-5</v>
      </c>
      <c r="AH78" s="2">
        <f t="shared" si="3"/>
        <v>1.4675918560419655E-5</v>
      </c>
      <c r="AJ78" s="2">
        <f t="shared" si="4"/>
        <v>1.0252227424760896</v>
      </c>
      <c r="AL78" s="2">
        <f t="shared" si="5"/>
        <v>1.3568632715348767</v>
      </c>
      <c r="AN78" s="2">
        <f t="shared" si="6"/>
        <v>1.5098246425538926</v>
      </c>
      <c r="AP78" s="2">
        <f t="shared" si="7"/>
        <v>1.7548029247908972</v>
      </c>
      <c r="AS78" t="s">
        <v>65</v>
      </c>
    </row>
    <row r="79" spans="3:56" x14ac:dyDescent="0.3">
      <c r="E79" t="s">
        <v>5</v>
      </c>
      <c r="F79">
        <v>20</v>
      </c>
      <c r="G79">
        <v>2.11</v>
      </c>
      <c r="H79">
        <v>1.88</v>
      </c>
      <c r="I79">
        <v>43.83</v>
      </c>
      <c r="J79">
        <v>31.84</v>
      </c>
      <c r="K79">
        <f t="shared" si="8"/>
        <v>4800</v>
      </c>
      <c r="L79">
        <f t="shared" si="9"/>
        <v>11.989999999999998</v>
      </c>
      <c r="M79">
        <f t="shared" si="10"/>
        <v>1.9949999999999999</v>
      </c>
      <c r="N79" s="2">
        <f>FiberLength!D11*$C$2*PI()</f>
        <v>3.9144244463728818E-4</v>
      </c>
      <c r="O79" s="2">
        <f t="shared" si="11"/>
        <v>23.013920853381631</v>
      </c>
      <c r="Q79">
        <v>9.9000000000000005E-2</v>
      </c>
      <c r="S79">
        <v>0.89800000000000002</v>
      </c>
      <c r="U79">
        <v>0.94899999999999995</v>
      </c>
      <c r="W79">
        <v>0.98799999999999999</v>
      </c>
      <c r="X79">
        <v>431</v>
      </c>
      <c r="Y79" s="2">
        <f t="shared" si="12"/>
        <v>0.15407337325540721</v>
      </c>
      <c r="Z79" s="2">
        <f t="shared" si="13"/>
        <v>12.501270022954884</v>
      </c>
      <c r="AB79" s="2">
        <f t="shared" si="0"/>
        <v>3.1190346831833345E-5</v>
      </c>
      <c r="AD79" s="2">
        <f t="shared" si="1"/>
        <v>2.2830087816097838E-5</v>
      </c>
      <c r="AF79" s="2">
        <f t="shared" si="2"/>
        <v>1.8584862357706396E-5</v>
      </c>
      <c r="AH79" s="2">
        <f t="shared" si="3"/>
        <v>1.4719947950331513E-5</v>
      </c>
      <c r="AJ79" s="2">
        <f t="shared" si="4"/>
        <v>1.0255219477757673</v>
      </c>
      <c r="AL79" s="2">
        <f t="shared" si="5"/>
        <v>1.349247353132232</v>
      </c>
      <c r="AN79" s="2">
        <f t="shared" si="6"/>
        <v>1.4975945063135321</v>
      </c>
      <c r="AP79" s="2">
        <f t="shared" si="7"/>
        <v>1.7584840848466625</v>
      </c>
      <c r="AS79" t="s">
        <v>68</v>
      </c>
    </row>
    <row r="80" spans="3:56" x14ac:dyDescent="0.3">
      <c r="E80" t="s">
        <v>6</v>
      </c>
      <c r="F80">
        <v>20</v>
      </c>
      <c r="G80">
        <v>2.11</v>
      </c>
      <c r="H80">
        <v>1.88</v>
      </c>
      <c r="I80">
        <v>42.54</v>
      </c>
      <c r="J80">
        <v>31.3</v>
      </c>
      <c r="K80">
        <f t="shared" si="8"/>
        <v>4800</v>
      </c>
      <c r="L80">
        <f t="shared" si="9"/>
        <v>11.239999999999998</v>
      </c>
      <c r="M80">
        <f t="shared" si="10"/>
        <v>1.9949999999999999</v>
      </c>
      <c r="N80" s="2">
        <f>FiberLength!D12*$C$2*PI()</f>
        <v>3.9364155949480104E-4</v>
      </c>
      <c r="O80" s="2">
        <f t="shared" si="11"/>
        <v>21.453824057188108</v>
      </c>
      <c r="Q80">
        <v>9.0999999999999998E-2</v>
      </c>
      <c r="S80">
        <v>0.89300000000000002</v>
      </c>
      <c r="U80">
        <v>0.95</v>
      </c>
      <c r="W80">
        <v>0.98799999999999999</v>
      </c>
      <c r="X80">
        <v>456</v>
      </c>
      <c r="Y80" s="2">
        <f t="shared" si="12"/>
        <v>0.14787702230380967</v>
      </c>
      <c r="Z80" s="2">
        <f t="shared" si="13"/>
        <v>11.614724258341599</v>
      </c>
      <c r="AB80" s="2">
        <f t="shared" si="0"/>
        <v>3.0894110234212877E-5</v>
      </c>
      <c r="AD80" s="2">
        <f t="shared" si="1"/>
        <v>2.254653114320061E-5</v>
      </c>
      <c r="AF80" s="2">
        <f t="shared" si="2"/>
        <v>1.8307426006347084E-5</v>
      </c>
      <c r="AH80" s="2">
        <f t="shared" si="3"/>
        <v>1.4444804411481735E-5</v>
      </c>
      <c r="AJ80" s="2">
        <f t="shared" si="4"/>
        <v>1.0217489955002703</v>
      </c>
      <c r="AL80" s="2">
        <f t="shared" si="5"/>
        <v>1.3208353981477974</v>
      </c>
      <c r="AN80" s="2">
        <f t="shared" si="6"/>
        <v>1.4584881631701458</v>
      </c>
      <c r="AP80" s="2">
        <f t="shared" si="7"/>
        <v>1.6938832218431659</v>
      </c>
      <c r="AW80" s="4" t="s">
        <v>50</v>
      </c>
      <c r="AX80" s="4"/>
      <c r="AY80" s="4"/>
      <c r="AZ80" s="4"/>
      <c r="BA80" s="4"/>
      <c r="BB80" s="4"/>
      <c r="BC80" s="4"/>
      <c r="BD80" s="4"/>
    </row>
    <row r="81" spans="4:56" x14ac:dyDescent="0.3">
      <c r="E81" t="s">
        <v>7</v>
      </c>
      <c r="F81">
        <v>20</v>
      </c>
      <c r="G81">
        <v>2.11</v>
      </c>
      <c r="H81">
        <v>1.88</v>
      </c>
      <c r="I81">
        <v>43.63</v>
      </c>
      <c r="J81">
        <v>31.69</v>
      </c>
      <c r="K81">
        <f t="shared" si="8"/>
        <v>4800</v>
      </c>
      <c r="L81">
        <f t="shared" si="9"/>
        <v>11.940000000000001</v>
      </c>
      <c r="M81">
        <f t="shared" si="10"/>
        <v>1.9949999999999999</v>
      </c>
      <c r="N81" s="2">
        <f>FiberLength!D13*$C$2*PI()</f>
        <v>3.9364155949480104E-4</v>
      </c>
      <c r="O81" s="2">
        <f t="shared" si="11"/>
        <v>22.789916302742533</v>
      </c>
      <c r="Q81">
        <v>9.4E-2</v>
      </c>
      <c r="S81">
        <v>0.90100000000000002</v>
      </c>
      <c r="U81">
        <v>0.95299999999999996</v>
      </c>
      <c r="W81">
        <v>0.98599999999999999</v>
      </c>
      <c r="X81">
        <v>412</v>
      </c>
      <c r="Y81" s="2">
        <f t="shared" si="12"/>
        <v>0.15248973777192948</v>
      </c>
      <c r="Z81" s="2">
        <f t="shared" si="13"/>
        <v>12.368949454416413</v>
      </c>
      <c r="AB81" s="2">
        <f t="shared" si="0"/>
        <v>3.1147973094443144E-5</v>
      </c>
      <c r="AD81" s="2">
        <f t="shared" si="1"/>
        <v>2.2789497234434713E-5</v>
      </c>
      <c r="AF81" s="2">
        <f t="shared" si="2"/>
        <v>1.8545100011459264E-5</v>
      </c>
      <c r="AH81" s="2">
        <f t="shared" si="3"/>
        <v>1.468042126308669E-5</v>
      </c>
      <c r="AJ81" s="2">
        <f t="shared" si="4"/>
        <v>1.0239778969102469</v>
      </c>
      <c r="AL81" s="2">
        <f t="shared" si="5"/>
        <v>1.3465472848932294</v>
      </c>
      <c r="AN81" s="2">
        <f t="shared" si="6"/>
        <v>1.4939181994448136</v>
      </c>
      <c r="AP81" s="2">
        <f t="shared" si="7"/>
        <v>1.7475434567268786</v>
      </c>
      <c r="AW81" t="s">
        <v>46</v>
      </c>
      <c r="AX81" t="s">
        <v>40</v>
      </c>
      <c r="AY81">
        <v>200</v>
      </c>
      <c r="AZ81">
        <v>400</v>
      </c>
      <c r="BA81">
        <v>600</v>
      </c>
      <c r="BB81">
        <v>1000</v>
      </c>
      <c r="BC81">
        <v>2000</v>
      </c>
      <c r="BD81">
        <v>3000</v>
      </c>
    </row>
    <row r="82" spans="4:56" x14ac:dyDescent="0.3">
      <c r="D82">
        <v>6</v>
      </c>
      <c r="E82" t="s">
        <v>4</v>
      </c>
      <c r="F82">
        <v>20</v>
      </c>
      <c r="G82">
        <v>2.11</v>
      </c>
      <c r="H82">
        <v>1.88</v>
      </c>
      <c r="I82">
        <v>41.71</v>
      </c>
      <c r="J82">
        <v>31.15</v>
      </c>
      <c r="K82">
        <f t="shared" si="8"/>
        <v>4800</v>
      </c>
      <c r="L82">
        <f t="shared" si="9"/>
        <v>10.560000000000002</v>
      </c>
      <c r="M82">
        <f t="shared" si="10"/>
        <v>1.9949999999999999</v>
      </c>
      <c r="N82" s="2">
        <f>FiberLength!D14*$C$2*PI()</f>
        <v>3.9144244463728818E-4</v>
      </c>
      <c r="O82" s="2">
        <f t="shared" si="11"/>
        <v>20.269141302060888</v>
      </c>
      <c r="Q82">
        <v>0.10100000000000001</v>
      </c>
      <c r="S82">
        <v>0.95899999999999996</v>
      </c>
      <c r="U82">
        <v>0.999</v>
      </c>
      <c r="W82">
        <v>0.998</v>
      </c>
      <c r="X82">
        <v>290</v>
      </c>
      <c r="Y82" s="2">
        <f t="shared" si="12"/>
        <v>0.15533737876192355</v>
      </c>
      <c r="Z82" s="2">
        <f t="shared" si="13"/>
        <v>11.017857876799138</v>
      </c>
      <c r="AB82" s="2">
        <f t="shared" si="0"/>
        <v>3.0667317585017464E-5</v>
      </c>
      <c r="AD82" s="2">
        <f t="shared" si="1"/>
        <v>2.2329749426671398E-5</v>
      </c>
      <c r="AF82" s="2">
        <f t="shared" si="2"/>
        <v>1.8095823686388446E-5</v>
      </c>
      <c r="AH82" s="2">
        <f t="shared" si="3"/>
        <v>1.4235947778162451E-5</v>
      </c>
      <c r="AJ82" s="2">
        <f t="shared" si="4"/>
        <v>1.0227128652482274</v>
      </c>
      <c r="AL82" s="2">
        <f t="shared" si="5"/>
        <v>1.3233327876898804</v>
      </c>
      <c r="AN82" s="2">
        <f t="shared" si="6"/>
        <v>1.4512200639430004</v>
      </c>
      <c r="AP82" s="2">
        <f t="shared" si="7"/>
        <v>1.6529511383481297</v>
      </c>
      <c r="AS82" t="s">
        <v>51</v>
      </c>
      <c r="AT82">
        <v>1</v>
      </c>
      <c r="AW82" s="2">
        <v>1.0000297197368601E-9</v>
      </c>
      <c r="AX82" s="2">
        <v>7.9407186988486296E-10</v>
      </c>
      <c r="AY82" s="2">
        <v>6.0436378896196598E-10</v>
      </c>
      <c r="AZ82" s="2">
        <v>4.4859614497435898E-10</v>
      </c>
      <c r="BA82" s="2">
        <v>3.7682203945105899E-10</v>
      </c>
      <c r="BB82" s="2">
        <v>3.0251111296922297E-10</v>
      </c>
      <c r="BC82" s="2">
        <v>2.2454243879001901E-10</v>
      </c>
      <c r="BD82" s="2">
        <v>1.8861628811590901E-10</v>
      </c>
    </row>
    <row r="83" spans="4:56" x14ac:dyDescent="0.3">
      <c r="E83" t="s">
        <v>5</v>
      </c>
      <c r="F83">
        <v>20</v>
      </c>
      <c r="G83">
        <v>2.11</v>
      </c>
      <c r="H83">
        <v>1.88</v>
      </c>
      <c r="I83">
        <v>42.18</v>
      </c>
      <c r="J83">
        <v>31.82</v>
      </c>
      <c r="K83">
        <f t="shared" si="8"/>
        <v>4800</v>
      </c>
      <c r="L83">
        <f t="shared" si="9"/>
        <v>10.36</v>
      </c>
      <c r="M83">
        <f t="shared" si="10"/>
        <v>1.9949999999999999</v>
      </c>
      <c r="N83" s="2">
        <f>FiberLength!D15*$C$2*PI()</f>
        <v>3.9364155949480104E-4</v>
      </c>
      <c r="O83" s="2">
        <f t="shared" si="11"/>
        <v>19.774165234205409</v>
      </c>
      <c r="Q83">
        <v>0.10199999999999999</v>
      </c>
      <c r="S83">
        <v>0.96099999999999997</v>
      </c>
      <c r="U83">
        <v>0.999</v>
      </c>
      <c r="W83">
        <v>0.998</v>
      </c>
      <c r="X83">
        <v>288</v>
      </c>
      <c r="Y83" s="2">
        <f t="shared" si="12"/>
        <v>0.15463896167558031</v>
      </c>
      <c r="Z83" s="2">
        <f t="shared" si="13"/>
        <v>10.744720640363617</v>
      </c>
      <c r="AB83" s="2">
        <f t="shared" si="0"/>
        <v>3.0572058417289491E-5</v>
      </c>
      <c r="AD83" s="2">
        <f t="shared" si="1"/>
        <v>2.2238762029123429E-5</v>
      </c>
      <c r="AF83" s="2">
        <f t="shared" si="2"/>
        <v>1.8007130083676912E-5</v>
      </c>
      <c r="AH83" s="2">
        <f t="shared" si="3"/>
        <v>1.4148653420895219E-5</v>
      </c>
      <c r="AJ83" s="2">
        <f t="shared" si="4"/>
        <v>1.0223399166981164</v>
      </c>
      <c r="AL83" s="2">
        <f t="shared" si="5"/>
        <v>1.3152169464344208</v>
      </c>
      <c r="AN83" s="2">
        <f t="shared" si="6"/>
        <v>1.4384846170299563</v>
      </c>
      <c r="AP83" s="2">
        <f t="shared" si="7"/>
        <v>1.6333116743839897</v>
      </c>
      <c r="AS83" t="s">
        <v>52</v>
      </c>
      <c r="AT83" s="2">
        <v>1.0016000000000001E-3</v>
      </c>
      <c r="AV83" t="s">
        <v>56</v>
      </c>
      <c r="AW83" s="2">
        <f t="shared" ref="AW83:BD83" si="14">$AT$83/$AT$85/AW82</f>
        <v>1003.366259200179</v>
      </c>
      <c r="AX83" s="2">
        <f t="shared" si="14"/>
        <v>1263.6086442992432</v>
      </c>
      <c r="AY83" s="2">
        <f t="shared" si="14"/>
        <v>1660.2518173777</v>
      </c>
      <c r="AZ83" s="2">
        <f t="shared" si="14"/>
        <v>2236.7469944235236</v>
      </c>
      <c r="BA83" s="2">
        <f t="shared" si="14"/>
        <v>2662.7850123710614</v>
      </c>
      <c r="BB83" s="2">
        <f t="shared" si="14"/>
        <v>3316.8899784632399</v>
      </c>
      <c r="BC83" s="2">
        <f t="shared" si="14"/>
        <v>4468.6255497549982</v>
      </c>
      <c r="BD83" s="2">
        <f t="shared" si="14"/>
        <v>5319.7742835696508</v>
      </c>
    </row>
    <row r="84" spans="4:56" x14ac:dyDescent="0.3">
      <c r="E84" t="s">
        <v>6</v>
      </c>
      <c r="F84">
        <v>20</v>
      </c>
      <c r="G84">
        <v>2.11</v>
      </c>
      <c r="H84">
        <v>1.88</v>
      </c>
      <c r="I84">
        <v>42.52</v>
      </c>
      <c r="J84">
        <v>31.52</v>
      </c>
      <c r="K84">
        <f t="shared" si="8"/>
        <v>4800</v>
      </c>
      <c r="L84">
        <f t="shared" si="9"/>
        <v>11.000000000000004</v>
      </c>
      <c r="M84">
        <f t="shared" si="10"/>
        <v>1.9949999999999999</v>
      </c>
      <c r="N84" s="2">
        <f>FiberLength!D16*$C$2*PI()</f>
        <v>3.9144244463728818E-4</v>
      </c>
      <c r="O84" s="2">
        <f t="shared" si="11"/>
        <v>21.113688856313427</v>
      </c>
      <c r="Q84">
        <v>0.10100000000000001</v>
      </c>
      <c r="S84">
        <v>0.95299999999999996</v>
      </c>
      <c r="U84">
        <v>0.99199999999999999</v>
      </c>
      <c r="W84">
        <v>0.99299999999999999</v>
      </c>
      <c r="X84">
        <v>294</v>
      </c>
      <c r="Y84" s="2">
        <f t="shared" si="12"/>
        <v>0.15648802101038101</v>
      </c>
      <c r="Z84" s="2">
        <f t="shared" si="13"/>
        <v>11.484118187751358</v>
      </c>
      <c r="AB84" s="2">
        <f t="shared" si="0"/>
        <v>3.0829164503667123E-5</v>
      </c>
      <c r="AD84" s="2">
        <f t="shared" si="1"/>
        <v>2.2484427602975476E-5</v>
      </c>
      <c r="AF84" s="2">
        <f t="shared" si="2"/>
        <v>1.8246763752665367E-5</v>
      </c>
      <c r="AH84" s="2">
        <f t="shared" si="3"/>
        <v>1.4384842612273717E-5</v>
      </c>
      <c r="AJ84" s="2">
        <f t="shared" si="4"/>
        <v>1.0237281812417847</v>
      </c>
      <c r="AL84" s="2">
        <f t="shared" si="5"/>
        <v>1.336307224306615</v>
      </c>
      <c r="AN84" s="2">
        <f t="shared" si="6"/>
        <v>1.4698808479638044</v>
      </c>
      <c r="AP84" s="2">
        <f t="shared" si="7"/>
        <v>1.6835572395171725</v>
      </c>
      <c r="AS84" t="s">
        <v>53</v>
      </c>
      <c r="AT84" s="2">
        <v>3.5E-4</v>
      </c>
      <c r="AV84" t="s">
        <v>57</v>
      </c>
      <c r="AW84" s="2">
        <f t="shared" ref="AW84:BD84" si="15">1.62*($AT$86*AW83*2*$AT$84/0.18)^(1/3)-1.2-0.28*($AT$86*AW83*2*$AT$84/0.18)^(-1/3)</f>
        <v>21.399563095054987</v>
      </c>
      <c r="AX84" s="2">
        <f t="shared" si="15"/>
        <v>23.208400551499334</v>
      </c>
      <c r="AY84" s="2">
        <f t="shared" si="15"/>
        <v>25.537128025725949</v>
      </c>
      <c r="AZ84" s="2">
        <f t="shared" si="15"/>
        <v>28.333302442112647</v>
      </c>
      <c r="BA84" s="2">
        <f t="shared" si="15"/>
        <v>30.102320247202481</v>
      </c>
      <c r="BB84" s="2">
        <f t="shared" si="15"/>
        <v>32.482337600629563</v>
      </c>
      <c r="BC84" s="2">
        <f t="shared" si="15"/>
        <v>36.003271773163483</v>
      </c>
      <c r="BD84" s="2">
        <f t="shared" si="15"/>
        <v>38.230882282827146</v>
      </c>
    </row>
    <row r="85" spans="4:56" x14ac:dyDescent="0.3">
      <c r="E85" t="s">
        <v>7</v>
      </c>
      <c r="F85">
        <v>20</v>
      </c>
      <c r="G85">
        <v>2.11</v>
      </c>
      <c r="H85">
        <v>1.88</v>
      </c>
      <c r="I85">
        <v>41.72</v>
      </c>
      <c r="J85">
        <v>30.96</v>
      </c>
      <c r="K85">
        <f t="shared" si="8"/>
        <v>4800</v>
      </c>
      <c r="L85">
        <f t="shared" si="9"/>
        <v>10.759999999999998</v>
      </c>
      <c r="M85">
        <f t="shared" si="10"/>
        <v>1.9949999999999999</v>
      </c>
      <c r="N85" s="2">
        <f>FiberLength!D17*$C$2*PI()</f>
        <v>3.9364155949480104E-4</v>
      </c>
      <c r="O85" s="2">
        <f>L85/N85/K85*60*60/$C$4</f>
        <v>20.537646517379361</v>
      </c>
      <c r="Q85">
        <v>9.9000000000000005E-2</v>
      </c>
      <c r="S85">
        <v>0.95799999999999996</v>
      </c>
      <c r="U85">
        <v>0.999</v>
      </c>
      <c r="W85">
        <v>0.998</v>
      </c>
      <c r="X85">
        <v>290</v>
      </c>
      <c r="Y85" s="2">
        <f>8.314*293.15*1000*(1/106*(Q85+AJ85-1)+1/400*(S85+AL85-1)+1/1000*(U85+AN85-1)+1/3000*(W85+AP85-1))/10^5</f>
        <v>0.15531302609924286</v>
      </c>
      <c r="Z85" s="2">
        <f t="shared" si="13"/>
        <v>11.163663606223521</v>
      </c>
      <c r="AB85" s="2">
        <f t="shared" si="0"/>
        <v>3.0718865853232435E-5</v>
      </c>
      <c r="AD85" s="2">
        <f t="shared" si="1"/>
        <v>2.2379001756613271E-5</v>
      </c>
      <c r="AF85" s="2">
        <f t="shared" si="2"/>
        <v>1.8143863257475478E-5</v>
      </c>
      <c r="AH85" s="2">
        <f t="shared" si="3"/>
        <v>1.4283290075731649E-5</v>
      </c>
      <c r="AJ85" s="2">
        <f t="shared" si="4"/>
        <v>1.0225787995161602</v>
      </c>
      <c r="AL85" s="2">
        <f t="shared" si="5"/>
        <v>1.3277715709976132</v>
      </c>
      <c r="AN85" s="2">
        <f t="shared" si="6"/>
        <v>1.4581730502834696</v>
      </c>
      <c r="AP85" s="2">
        <f t="shared" si="7"/>
        <v>1.6637018319351033</v>
      </c>
      <c r="AS85" t="s">
        <v>54</v>
      </c>
      <c r="AT85">
        <v>998.21</v>
      </c>
      <c r="AV85" t="s">
        <v>58</v>
      </c>
      <c r="AW85" s="2">
        <f t="shared" ref="AW85:BD85" si="16">AW84/(2*$AT$84/AW82)</f>
        <v>3.0571712977770135E-5</v>
      </c>
      <c r="AX85" s="2">
        <f t="shared" si="16"/>
        <v>2.6327340032808517E-5</v>
      </c>
      <c r="AY85" s="2">
        <f t="shared" si="16"/>
        <v>2.204816493262078E-5</v>
      </c>
      <c r="AZ85" s="2">
        <f t="shared" si="16"/>
        <v>1.8157443214177608E-5</v>
      </c>
      <c r="BA85" s="2">
        <f t="shared" si="16"/>
        <v>1.6204596725371064E-5</v>
      </c>
      <c r="BB85" s="2">
        <f t="shared" si="16"/>
        <v>1.403752585629784E-5</v>
      </c>
      <c r="BC85" s="2">
        <f t="shared" si="16"/>
        <v>1.1548946354808544E-5</v>
      </c>
      <c r="BD85" s="2">
        <f t="shared" si="16"/>
        <v>1.0301381582261609E-5</v>
      </c>
    </row>
    <row r="86" spans="4:56" x14ac:dyDescent="0.3">
      <c r="D86">
        <v>2</v>
      </c>
      <c r="E86" t="s">
        <v>4</v>
      </c>
      <c r="F86">
        <v>19.899999999999999</v>
      </c>
      <c r="G86">
        <v>2.0699999999999998</v>
      </c>
      <c r="H86">
        <v>1.93</v>
      </c>
      <c r="I86">
        <v>30.3</v>
      </c>
      <c r="J86">
        <v>12.48</v>
      </c>
      <c r="K86">
        <f>57*60</f>
        <v>3420</v>
      </c>
      <c r="L86">
        <f t="shared" si="9"/>
        <v>17.82</v>
      </c>
      <c r="M86">
        <f>(G86+H86)/2</f>
        <v>2</v>
      </c>
      <c r="N86" s="2">
        <f>FiberLength!D2*$C$2*PI()</f>
        <v>3.9144244463728818E-4</v>
      </c>
      <c r="O86" s="2">
        <f t="shared" ref="O86:O149" si="17">L86/N86/K86*60*60/$C$4</f>
        <v>48.005860978565259</v>
      </c>
      <c r="P86">
        <v>1.7000000000000001E-2</v>
      </c>
      <c r="R86">
        <v>0.161</v>
      </c>
      <c r="T86">
        <v>0.38300000000000001</v>
      </c>
      <c r="V86">
        <v>0.64400000000000002</v>
      </c>
      <c r="Y86" s="2">
        <f>8.314*293.15*1000*(1/62*(P86+AI86-1)+1/200*(R86+AK86-1)+1/600*(T86+AM86-1)+1/2000*(V86+AO86-1))/10^5</f>
        <v>9.9506126673121142E-2</v>
      </c>
      <c r="Z86" s="2">
        <f>O86/(M86-Y86)</f>
        <v>25.259676788396785</v>
      </c>
      <c r="AA86" s="2">
        <f t="shared" ref="AA86:AA100" si="18">(($O86/1000/60/60/$AW$85)+(1+0.26*($O86/1000/60/60/$AW$85)^(1.4))^(-1.7))*$AW$85</f>
        <v>4.0099333651435084E-5</v>
      </c>
      <c r="AC86" s="2">
        <f t="shared" ref="AC86:AC100" si="19">(($O86/1000/60/60/$AY$85)+(1+0.26*($O86/1000/60/60/$AY$85)^(1.4))^(-1.7))*$AY$85</f>
        <v>3.1284549343811713E-5</v>
      </c>
      <c r="AE86" s="2">
        <f t="shared" ref="AE86:AE100" si="20">(($O86/1000/60/60/$BA$85)+(1+0.26*($O86/1000/60/60/$BA$85)^(1.4))^(-1.7))*$BA$85</f>
        <v>2.525607829324181E-5</v>
      </c>
      <c r="AG86" s="2">
        <f t="shared" ref="AG86:AG100" si="21">(($O86/1000/60/60/$BC$85)+(1+0.26*($O86/1000/60/60/$BC$85)^(1.4))^(-1.7))*$BC$85</f>
        <v>2.0557606266576753E-5</v>
      </c>
      <c r="AI86" s="2">
        <f t="shared" ref="AI86:AI100" si="22">(AA86/($O86/1000/60/60)+P86-1)/(AA86/($O86/1000/60/60)-1)</f>
        <v>1.0084700041247256</v>
      </c>
      <c r="AK86" s="2">
        <f t="shared" ref="AK86:AK100" si="23">(AC86/($O86/1000/60/60)+R86-1)/(AC86/($O86/1000/60/60)-1)</f>
        <v>1.1196088059142064</v>
      </c>
      <c r="AM86" s="2">
        <f t="shared" ref="AM86:AM100" si="24">(AE86/($O86/1000/60/60)+T86-1)/(AE86/($O86/1000/60/60)-1)</f>
        <v>1.4284238002269951</v>
      </c>
      <c r="AO86" s="2">
        <f t="shared" ref="AO86:AO100" si="25">(AG86/($O86/1000/60/60)+V86-1)/(AG86/($O86/1000/60/60)-1)</f>
        <v>2.1889986658571154</v>
      </c>
      <c r="AS86" t="s">
        <v>55</v>
      </c>
      <c r="AT86" s="2">
        <f>AT85*2*AT84*AT82/AT83</f>
        <v>697.63079073482425</v>
      </c>
    </row>
    <row r="87" spans="4:56" x14ac:dyDescent="0.3">
      <c r="E87" t="s">
        <v>5</v>
      </c>
      <c r="F87">
        <v>19.899999999999999</v>
      </c>
      <c r="G87">
        <v>2.0699999999999998</v>
      </c>
      <c r="H87">
        <v>1.93</v>
      </c>
      <c r="I87">
        <v>28.5</v>
      </c>
      <c r="J87">
        <v>11.75</v>
      </c>
      <c r="K87">
        <f t="shared" ref="K87:K100" si="26">57*60</f>
        <v>3420</v>
      </c>
      <c r="L87">
        <f t="shared" si="9"/>
        <v>16.75</v>
      </c>
      <c r="M87">
        <f t="shared" si="10"/>
        <v>2</v>
      </c>
      <c r="N87" s="2">
        <f>FiberLength!D3*$C$2*PI()</f>
        <v>3.9364155949480104E-4</v>
      </c>
      <c r="O87" s="2">
        <f t="shared" si="17"/>
        <v>44.871268397065727</v>
      </c>
      <c r="P87">
        <v>1.9E-2</v>
      </c>
      <c r="R87">
        <v>0.17499999999999999</v>
      </c>
      <c r="T87">
        <v>0.40699999999999997</v>
      </c>
      <c r="V87">
        <v>0.67100000000000004</v>
      </c>
      <c r="Y87" s="2">
        <f t="shared" ref="Y87:Y100" si="27">8.314*293.15*1000*(1/62*(P87+AI87-1)+1/200*(R87+AK87-1)+1/600*(T87+AM87-1)+1/2000*(V87+AO87-1))/10^5</f>
        <v>0.10193709515241905</v>
      </c>
      <c r="Z87" s="2">
        <f t="shared" ref="Z87:Z100" si="28">O87/(M87-Y87)</f>
        <v>23.640559162958297</v>
      </c>
      <c r="AA87" s="2">
        <f t="shared" si="18"/>
        <v>3.9540334516697251E-5</v>
      </c>
      <c r="AC87" s="2">
        <f t="shared" si="19"/>
        <v>3.0731878004551423E-5</v>
      </c>
      <c r="AE87" s="2">
        <f t="shared" si="20"/>
        <v>2.4693570330242948E-5</v>
      </c>
      <c r="AG87" s="2">
        <f t="shared" si="21"/>
        <v>1.9962172182395765E-5</v>
      </c>
      <c r="AI87" s="2">
        <f t="shared" si="22"/>
        <v>1.0087464827596799</v>
      </c>
      <c r="AK87" s="2">
        <f t="shared" si="23"/>
        <v>1.1194047286816486</v>
      </c>
      <c r="AM87" s="2">
        <f t="shared" si="24"/>
        <v>1.4148180273803781</v>
      </c>
      <c r="AO87" s="2">
        <f t="shared" si="25"/>
        <v>2.1154418336310536</v>
      </c>
    </row>
    <row r="88" spans="4:56" x14ac:dyDescent="0.3">
      <c r="E88" t="s">
        <v>6</v>
      </c>
      <c r="F88">
        <v>19.899999999999999</v>
      </c>
      <c r="G88">
        <v>2.0699999999999998</v>
      </c>
      <c r="H88">
        <v>1.93</v>
      </c>
      <c r="I88">
        <v>30.22</v>
      </c>
      <c r="J88">
        <v>11.72</v>
      </c>
      <c r="K88">
        <f t="shared" si="26"/>
        <v>3420</v>
      </c>
      <c r="L88">
        <f t="shared" si="9"/>
        <v>18.5</v>
      </c>
      <c r="M88">
        <f t="shared" si="10"/>
        <v>2</v>
      </c>
      <c r="N88" s="2">
        <f>FiberLength!D4*$C$2*PI()</f>
        <v>3.9144244463728818E-4</v>
      </c>
      <c r="O88" s="2">
        <f t="shared" si="17"/>
        <v>49.837734461473467</v>
      </c>
      <c r="P88">
        <v>1.9E-2</v>
      </c>
      <c r="R88">
        <v>0.16800000000000001</v>
      </c>
      <c r="T88">
        <v>0.39600000000000002</v>
      </c>
      <c r="V88">
        <v>0.66300000000000003</v>
      </c>
      <c r="Y88" s="2">
        <f t="shared" si="27"/>
        <v>0.10674522098392743</v>
      </c>
      <c r="Z88" s="2">
        <f t="shared" si="28"/>
        <v>26.323839249662011</v>
      </c>
      <c r="AA88" s="2">
        <f t="shared" si="18"/>
        <v>4.0424880485464247E-5</v>
      </c>
      <c r="AC88" s="2">
        <f t="shared" si="19"/>
        <v>3.1607782371390828E-5</v>
      </c>
      <c r="AE88" s="2">
        <f t="shared" si="20"/>
        <v>2.5586846744315589E-5</v>
      </c>
      <c r="AG88" s="2">
        <f t="shared" si="21"/>
        <v>2.0909754142186866E-5</v>
      </c>
      <c r="AI88" s="2">
        <f t="shared" si="22"/>
        <v>1.0098954832660063</v>
      </c>
      <c r="AK88" s="2">
        <f t="shared" si="23"/>
        <v>1.1309257616665125</v>
      </c>
      <c r="AM88" s="2">
        <f t="shared" si="24"/>
        <v>1.4668428877626964</v>
      </c>
      <c r="AO88" s="2">
        <f t="shared" si="25"/>
        <v>2.2989709381587793</v>
      </c>
    </row>
    <row r="89" spans="4:56" x14ac:dyDescent="0.3">
      <c r="E89" t="s">
        <v>7</v>
      </c>
      <c r="F89">
        <v>19.899999999999999</v>
      </c>
      <c r="G89">
        <v>2.0699999999999998</v>
      </c>
      <c r="H89">
        <v>1.93</v>
      </c>
      <c r="I89">
        <v>30.11</v>
      </c>
      <c r="J89">
        <v>11.77</v>
      </c>
      <c r="K89">
        <f t="shared" si="26"/>
        <v>3420</v>
      </c>
      <c r="L89">
        <f t="shared" si="9"/>
        <v>18.34</v>
      </c>
      <c r="M89">
        <f t="shared" si="10"/>
        <v>2</v>
      </c>
      <c r="N89" s="2">
        <f>FiberLength!D5*$C$2*PI()</f>
        <v>3.9364155949480104E-4</v>
      </c>
      <c r="O89" s="2">
        <f t="shared" si="17"/>
        <v>49.130690292667779</v>
      </c>
      <c r="P89">
        <v>1.2999999999999999E-2</v>
      </c>
      <c r="R89">
        <v>0.158</v>
      </c>
      <c r="T89">
        <v>0.38600000000000001</v>
      </c>
      <c r="V89">
        <v>0.65900000000000003</v>
      </c>
      <c r="Y89" s="2">
        <f t="shared" si="27"/>
        <v>9.8921469049291458E-2</v>
      </c>
      <c r="Z89" s="2">
        <f t="shared" si="28"/>
        <v>25.843587991127361</v>
      </c>
      <c r="AA89" s="2">
        <f t="shared" si="18"/>
        <v>4.0299317611748515E-5</v>
      </c>
      <c r="AC89" s="2">
        <f t="shared" si="19"/>
        <v>3.1482990566195063E-5</v>
      </c>
      <c r="AE89" s="2">
        <f t="shared" si="20"/>
        <v>2.5458991901302619E-5</v>
      </c>
      <c r="AG89" s="2">
        <f t="shared" si="21"/>
        <v>2.0773467456663709E-5</v>
      </c>
      <c r="AI89" s="2">
        <f t="shared" si="22"/>
        <v>1.0066567996042028</v>
      </c>
      <c r="AK89" s="2">
        <f t="shared" si="23"/>
        <v>1.1208983290044989</v>
      </c>
      <c r="AM89" s="2">
        <f t="shared" si="24"/>
        <v>1.4459947538942723</v>
      </c>
      <c r="AO89" s="2">
        <f t="shared" si="25"/>
        <v>2.2620794698521149</v>
      </c>
    </row>
    <row r="90" spans="4:56" x14ac:dyDescent="0.3">
      <c r="D90">
        <v>3</v>
      </c>
      <c r="E90" t="s">
        <v>4</v>
      </c>
      <c r="F90">
        <v>19.899999999999999</v>
      </c>
      <c r="G90">
        <v>2.0699999999999998</v>
      </c>
      <c r="H90">
        <v>1.93</v>
      </c>
      <c r="I90">
        <v>21.29</v>
      </c>
      <c r="J90">
        <v>11.72</v>
      </c>
      <c r="K90">
        <f t="shared" si="26"/>
        <v>3420</v>
      </c>
      <c r="L90">
        <f t="shared" si="9"/>
        <v>9.5699999999999985</v>
      </c>
      <c r="M90">
        <f t="shared" si="10"/>
        <v>2</v>
      </c>
      <c r="N90" s="2">
        <f>FiberLength!D6*$C$2*PI()</f>
        <v>3.9144244463728818E-4</v>
      </c>
      <c r="O90" s="2">
        <f t="shared" si="17"/>
        <v>25.780925340340595</v>
      </c>
      <c r="P90">
        <v>2.1000000000000001E-2</v>
      </c>
      <c r="R90">
        <v>0.42199999999999999</v>
      </c>
      <c r="T90">
        <v>0.81</v>
      </c>
      <c r="V90">
        <v>0.93400000000000005</v>
      </c>
      <c r="X90">
        <v>1246</v>
      </c>
      <c r="Y90" s="2">
        <f t="shared" si="27"/>
        <v>0.14965244731738306</v>
      </c>
      <c r="Z90" s="2">
        <f t="shared" si="28"/>
        <v>13.93301777439792</v>
      </c>
      <c r="AA90" s="2">
        <f t="shared" si="18"/>
        <v>3.6039998420591684E-5</v>
      </c>
      <c r="AC90" s="2">
        <f t="shared" si="19"/>
        <v>2.7328457557359707E-5</v>
      </c>
      <c r="AE90" s="2">
        <f t="shared" si="20"/>
        <v>2.1314367139507401E-5</v>
      </c>
      <c r="AG90" s="2">
        <f t="shared" si="21"/>
        <v>1.6499077258628971E-5</v>
      </c>
      <c r="AI90" s="2">
        <f t="shared" si="22"/>
        <v>1.0052076130253873</v>
      </c>
      <c r="AK90" s="2">
        <f t="shared" si="23"/>
        <v>1.1498529261367398</v>
      </c>
      <c r="AM90" s="2">
        <f t="shared" si="24"/>
        <v>1.4098571762716776</v>
      </c>
      <c r="AO90" s="2">
        <f t="shared" si="25"/>
        <v>1.7163125103217336</v>
      </c>
    </row>
    <row r="91" spans="4:56" x14ac:dyDescent="0.3">
      <c r="E91" t="s">
        <v>5</v>
      </c>
      <c r="F91">
        <v>19.899999999999999</v>
      </c>
      <c r="G91">
        <v>2.0699999999999998</v>
      </c>
      <c r="H91">
        <v>1.93</v>
      </c>
      <c r="I91">
        <v>22.09</v>
      </c>
      <c r="J91">
        <v>11.79</v>
      </c>
      <c r="K91">
        <f t="shared" si="26"/>
        <v>3420</v>
      </c>
      <c r="L91">
        <f t="shared" si="9"/>
        <v>10.3</v>
      </c>
      <c r="M91">
        <f t="shared" si="10"/>
        <v>2</v>
      </c>
      <c r="N91" s="2">
        <f>FiberLength!D7*$C$2*PI()</f>
        <v>3.8924332977977537E-4</v>
      </c>
      <c r="O91" s="2">
        <f t="shared" si="17"/>
        <v>27.904260913625119</v>
      </c>
      <c r="P91">
        <v>2.1999999999999999E-2</v>
      </c>
      <c r="R91">
        <v>0.41199999999999998</v>
      </c>
      <c r="T91">
        <v>0.79020000000000001</v>
      </c>
      <c r="V91">
        <v>0.92400000000000004</v>
      </c>
      <c r="X91">
        <v>1335</v>
      </c>
      <c r="Y91" s="2">
        <f t="shared" si="27"/>
        <v>0.15145987708518693</v>
      </c>
      <c r="Z91" s="2">
        <f t="shared" si="28"/>
        <v>15.095296319359925</v>
      </c>
      <c r="AA91" s="2">
        <f t="shared" si="18"/>
        <v>3.6441204686884011E-5</v>
      </c>
      <c r="AC91" s="2">
        <f t="shared" si="19"/>
        <v>2.7714620953702458E-5</v>
      </c>
      <c r="AE91" s="2">
        <f t="shared" si="20"/>
        <v>2.1690981837649283E-5</v>
      </c>
      <c r="AG91" s="2">
        <f t="shared" si="21"/>
        <v>1.6874296642147256E-5</v>
      </c>
      <c r="AI91" s="2">
        <f t="shared" si="22"/>
        <v>1.0059437404498106</v>
      </c>
      <c r="AK91" s="2">
        <f t="shared" si="23"/>
        <v>1.1599668223087696</v>
      </c>
      <c r="AM91" s="2">
        <f t="shared" si="24"/>
        <v>1.4393883728057049</v>
      </c>
      <c r="AO91" s="2">
        <f t="shared" si="25"/>
        <v>1.7850493128054541</v>
      </c>
    </row>
    <row r="92" spans="4:56" x14ac:dyDescent="0.3">
      <c r="E92" t="s">
        <v>6</v>
      </c>
      <c r="F92">
        <v>19.899999999999999</v>
      </c>
      <c r="G92">
        <v>2.0699999999999998</v>
      </c>
      <c r="H92">
        <v>1.93</v>
      </c>
      <c r="I92">
        <v>21.3</v>
      </c>
      <c r="J92">
        <v>11.77</v>
      </c>
      <c r="K92">
        <f t="shared" si="26"/>
        <v>3420</v>
      </c>
      <c r="L92">
        <f t="shared" si="9"/>
        <v>9.5300000000000011</v>
      </c>
      <c r="M92">
        <f t="shared" si="10"/>
        <v>2</v>
      </c>
      <c r="N92" s="2">
        <f>FiberLength!D8*$C$2*PI()</f>
        <v>3.8484510006474965E-4</v>
      </c>
      <c r="O92" s="2">
        <f t="shared" si="17"/>
        <v>26.113279529382517</v>
      </c>
      <c r="P92">
        <v>2.1999999999999999E-2</v>
      </c>
      <c r="R92">
        <v>0.44500000000000001</v>
      </c>
      <c r="T92">
        <v>0.84799999999999998</v>
      </c>
      <c r="V92">
        <v>0.95099999999999996</v>
      </c>
      <c r="X92">
        <v>1143</v>
      </c>
      <c r="Y92" s="2">
        <f t="shared" si="27"/>
        <v>0.15735405509426864</v>
      </c>
      <c r="Z92" s="2">
        <f t="shared" si="28"/>
        <v>14.17162076175109</v>
      </c>
      <c r="AA92" s="2">
        <f t="shared" si="18"/>
        <v>3.6103064887092366E-5</v>
      </c>
      <c r="AC92" s="2">
        <f t="shared" si="19"/>
        <v>2.73891145274736E-5</v>
      </c>
      <c r="AE92" s="2">
        <f t="shared" si="20"/>
        <v>2.1373427599973411E-5</v>
      </c>
      <c r="AG92" s="2">
        <f t="shared" si="21"/>
        <v>1.6557738708377736E-5</v>
      </c>
      <c r="AI92" s="2">
        <f t="shared" si="22"/>
        <v>1.0055315287223674</v>
      </c>
      <c r="AK92" s="2">
        <f t="shared" si="23"/>
        <v>1.1603090758727141</v>
      </c>
      <c r="AM92" s="2">
        <f t="shared" si="24"/>
        <v>1.4356403567965714</v>
      </c>
      <c r="AO92" s="2">
        <f t="shared" si="25"/>
        <v>1.7414252982220704</v>
      </c>
    </row>
    <row r="93" spans="4:56" x14ac:dyDescent="0.3">
      <c r="E93" t="s">
        <v>7</v>
      </c>
      <c r="F93">
        <v>19.899999999999999</v>
      </c>
      <c r="G93">
        <v>2.0699999999999998</v>
      </c>
      <c r="H93">
        <v>1.93</v>
      </c>
      <c r="I93">
        <v>21.93</v>
      </c>
      <c r="J93">
        <v>11.72</v>
      </c>
      <c r="K93">
        <f t="shared" si="26"/>
        <v>3420</v>
      </c>
      <c r="L93">
        <f t="shared" si="9"/>
        <v>10.209999999999999</v>
      </c>
      <c r="M93">
        <f t="shared" si="10"/>
        <v>2</v>
      </c>
      <c r="N93" s="2">
        <f>FiberLength!D9*$C$2*PI()</f>
        <v>3.9364155949480104E-4</v>
      </c>
      <c r="O93" s="2">
        <f t="shared" si="17"/>
        <v>27.351382109494981</v>
      </c>
      <c r="P93">
        <v>2.1999999999999999E-2</v>
      </c>
      <c r="R93">
        <v>0.4</v>
      </c>
      <c r="T93">
        <v>0.76300000000000001</v>
      </c>
      <c r="V93">
        <v>0.90400000000000003</v>
      </c>
      <c r="X93">
        <v>1812</v>
      </c>
      <c r="Y93" s="2">
        <f t="shared" si="27"/>
        <v>0.1461352032541475</v>
      </c>
      <c r="Z93" s="2">
        <f t="shared" si="28"/>
        <v>14.753709201181081</v>
      </c>
      <c r="AA93" s="2">
        <f t="shared" si="18"/>
        <v>3.6337120101379479E-5</v>
      </c>
      <c r="AC93" s="2">
        <f t="shared" si="19"/>
        <v>2.7614371213808279E-5</v>
      </c>
      <c r="AE93" s="2">
        <f t="shared" si="20"/>
        <v>2.1593068004776359E-5</v>
      </c>
      <c r="AG93" s="2">
        <f t="shared" si="21"/>
        <v>1.6776481993100315E-5</v>
      </c>
      <c r="AI93" s="2">
        <f t="shared" si="22"/>
        <v>1.0058159416108106</v>
      </c>
      <c r="AK93" s="2">
        <f t="shared" si="23"/>
        <v>1.1518248550970334</v>
      </c>
      <c r="AM93" s="2">
        <f t="shared" si="24"/>
        <v>1.4142037999622312</v>
      </c>
      <c r="AO93" s="2">
        <f t="shared" si="25"/>
        <v>1.7482654807627811</v>
      </c>
    </row>
    <row r="94" spans="4:56" x14ac:dyDescent="0.3">
      <c r="D94">
        <v>4</v>
      </c>
      <c r="E94" t="s">
        <v>4</v>
      </c>
      <c r="F94">
        <v>19.899999999999999</v>
      </c>
      <c r="G94">
        <v>2.0699999999999998</v>
      </c>
      <c r="H94">
        <v>1.93</v>
      </c>
      <c r="I94">
        <v>20.079999999999998</v>
      </c>
      <c r="J94">
        <v>11.72</v>
      </c>
      <c r="K94">
        <f t="shared" si="26"/>
        <v>3420</v>
      </c>
      <c r="L94">
        <f t="shared" si="9"/>
        <v>8.3599999999999977</v>
      </c>
      <c r="M94">
        <f t="shared" si="10"/>
        <v>2</v>
      </c>
      <c r="N94" s="2">
        <f>FiberLength!D10*$C$2*PI()</f>
        <v>3.9144244463728818E-4</v>
      </c>
      <c r="O94" s="2">
        <f t="shared" si="17"/>
        <v>22.521268113400975</v>
      </c>
      <c r="P94">
        <v>2.5999999999999999E-2</v>
      </c>
      <c r="R94">
        <v>0.55800000000000005</v>
      </c>
      <c r="T94">
        <v>0.97299999999999998</v>
      </c>
      <c r="V94">
        <v>0.999</v>
      </c>
      <c r="X94">
        <v>368</v>
      </c>
      <c r="Y94" s="2">
        <f t="shared" si="27"/>
        <v>0.17784695988601745</v>
      </c>
      <c r="Z94" s="2">
        <f t="shared" si="28"/>
        <v>12.359701747111311</v>
      </c>
      <c r="AA94" s="2">
        <f t="shared" si="18"/>
        <v>3.5415670319845792E-5</v>
      </c>
      <c r="AC94" s="2">
        <f t="shared" si="19"/>
        <v>2.6728718605054651E-5</v>
      </c>
      <c r="AE94" s="2">
        <f t="shared" si="20"/>
        <v>2.0732174151540981E-5</v>
      </c>
      <c r="AG94" s="2">
        <f t="shared" si="21"/>
        <v>1.5924287939626886E-5</v>
      </c>
      <c r="AI94" s="2">
        <f t="shared" si="22"/>
        <v>1.0055780153553131</v>
      </c>
      <c r="AK94" s="2">
        <f t="shared" si="23"/>
        <v>1.1705089053183297</v>
      </c>
      <c r="AM94" s="2">
        <f t="shared" si="24"/>
        <v>1.4204812314523927</v>
      </c>
      <c r="AO94" s="2">
        <f t="shared" si="25"/>
        <v>1.6464011361997704</v>
      </c>
    </row>
    <row r="95" spans="4:56" x14ac:dyDescent="0.3">
      <c r="E95" t="s">
        <v>5</v>
      </c>
      <c r="F95">
        <v>19.899999999999999</v>
      </c>
      <c r="G95">
        <v>2.0699999999999998</v>
      </c>
      <c r="H95">
        <v>1.93</v>
      </c>
      <c r="I95">
        <v>20.329999999999998</v>
      </c>
      <c r="J95">
        <v>11.79</v>
      </c>
      <c r="K95">
        <f t="shared" si="26"/>
        <v>3420</v>
      </c>
      <c r="L95">
        <f t="shared" si="9"/>
        <v>8.5399999999999991</v>
      </c>
      <c r="M95">
        <f t="shared" si="10"/>
        <v>2</v>
      </c>
      <c r="N95" s="2">
        <f>FiberLength!D11*$C$2*PI()</f>
        <v>3.9144244463728818E-4</v>
      </c>
      <c r="O95" s="2">
        <f t="shared" si="17"/>
        <v>23.006175800053157</v>
      </c>
      <c r="P95">
        <v>2.7E-2</v>
      </c>
      <c r="R95">
        <v>0.54700000000000004</v>
      </c>
      <c r="T95">
        <v>0.94299999999999995</v>
      </c>
      <c r="V95">
        <v>0.98</v>
      </c>
      <c r="X95">
        <v>405</v>
      </c>
      <c r="Y95" s="2">
        <f t="shared" si="27"/>
        <v>0.17560335302204247</v>
      </c>
      <c r="Z95" s="2">
        <f t="shared" si="28"/>
        <v>12.610292744268083</v>
      </c>
      <c r="AA95" s="2">
        <f t="shared" si="18"/>
        <v>3.5509247100966657E-5</v>
      </c>
      <c r="AC95" s="2">
        <f t="shared" si="19"/>
        <v>2.681853628096242E-5</v>
      </c>
      <c r="AE95" s="2">
        <f t="shared" si="20"/>
        <v>2.0819173470980509E-5</v>
      </c>
      <c r="AG95" s="2">
        <f t="shared" si="21"/>
        <v>1.6009790584278953E-5</v>
      </c>
      <c r="AI95" s="2">
        <f t="shared" si="22"/>
        <v>1.0059256305387105</v>
      </c>
      <c r="AK95" s="2">
        <f t="shared" si="23"/>
        <v>1.1711216103128488</v>
      </c>
      <c r="AM95" s="2">
        <f t="shared" si="24"/>
        <v>1.4176671923913822</v>
      </c>
      <c r="AO95" s="2">
        <f t="shared" si="25"/>
        <v>1.6510729882884063</v>
      </c>
    </row>
    <row r="96" spans="4:56" x14ac:dyDescent="0.3">
      <c r="E96" t="s">
        <v>6</v>
      </c>
      <c r="F96">
        <v>19.899999999999999</v>
      </c>
      <c r="G96">
        <v>2.0699999999999998</v>
      </c>
      <c r="H96">
        <v>1.93</v>
      </c>
      <c r="I96">
        <v>19.66</v>
      </c>
      <c r="J96">
        <v>11.75</v>
      </c>
      <c r="K96">
        <f t="shared" si="26"/>
        <v>3420</v>
      </c>
      <c r="L96">
        <f t="shared" si="9"/>
        <v>7.91</v>
      </c>
      <c r="M96">
        <f t="shared" si="10"/>
        <v>2</v>
      </c>
      <c r="N96" s="2">
        <f>FiberLength!D12*$C$2*PI()</f>
        <v>3.9364155949480104E-4</v>
      </c>
      <c r="O96" s="2">
        <f t="shared" si="17"/>
        <v>21.189954210196408</v>
      </c>
      <c r="P96">
        <v>2.5999999999999999E-2</v>
      </c>
      <c r="R96">
        <v>0.53800000000000003</v>
      </c>
      <c r="T96">
        <v>0.94699999999999995</v>
      </c>
      <c r="V96">
        <v>0.98299999999999998</v>
      </c>
      <c r="X96">
        <v>400</v>
      </c>
      <c r="Y96" s="2">
        <f t="shared" si="27"/>
        <v>0.16971728992390042</v>
      </c>
      <c r="Z96" s="2">
        <f t="shared" si="28"/>
        <v>11.577421397001215</v>
      </c>
      <c r="AA96" s="2">
        <f t="shared" si="18"/>
        <v>3.5157390338076629E-5</v>
      </c>
      <c r="AC96" s="2">
        <f t="shared" si="19"/>
        <v>2.6480915914698266E-5</v>
      </c>
      <c r="AE96" s="2">
        <f t="shared" si="20"/>
        <v>2.0492457473060027E-5</v>
      </c>
      <c r="AG96" s="2">
        <f t="shared" si="21"/>
        <v>1.5689370588511309E-5</v>
      </c>
      <c r="AI96" s="2">
        <f t="shared" si="22"/>
        <v>1.0052282816373537</v>
      </c>
      <c r="AK96" s="2">
        <f t="shared" si="23"/>
        <v>1.1537630003865293</v>
      </c>
      <c r="AM96" s="2">
        <f t="shared" si="24"/>
        <v>1.381623862998244</v>
      </c>
      <c r="AO96" s="2">
        <f t="shared" si="25"/>
        <v>1.5902146347580253</v>
      </c>
    </row>
    <row r="97" spans="4:41" x14ac:dyDescent="0.3">
      <c r="E97" t="s">
        <v>7</v>
      </c>
      <c r="F97">
        <v>19.899999999999999</v>
      </c>
      <c r="G97">
        <v>2.0699999999999998</v>
      </c>
      <c r="H97">
        <v>1.93</v>
      </c>
      <c r="I97">
        <v>20.079999999999998</v>
      </c>
      <c r="J97">
        <v>11.75</v>
      </c>
      <c r="K97">
        <f t="shared" si="26"/>
        <v>3420</v>
      </c>
      <c r="L97">
        <f t="shared" si="9"/>
        <v>8.3299999999999983</v>
      </c>
      <c r="M97">
        <f t="shared" si="10"/>
        <v>2</v>
      </c>
      <c r="N97" s="2">
        <f>FiberLength!D13*$C$2*PI()</f>
        <v>3.9364155949480104E-4</v>
      </c>
      <c r="O97" s="2">
        <f t="shared" si="17"/>
        <v>22.31508452224223</v>
      </c>
      <c r="P97">
        <v>2.8000000000000001E-2</v>
      </c>
      <c r="R97">
        <v>0.55400000000000005</v>
      </c>
      <c r="T97">
        <v>0.95599999999999996</v>
      </c>
      <c r="V97">
        <v>0.98799999999999999</v>
      </c>
      <c r="X97">
        <v>386</v>
      </c>
      <c r="Y97" s="2">
        <f t="shared" si="27"/>
        <v>0.17646000611849008</v>
      </c>
      <c r="Z97" s="2">
        <f t="shared" si="28"/>
        <v>12.237233401579138</v>
      </c>
      <c r="AA97" s="2">
        <f t="shared" si="18"/>
        <v>3.5375802454530205E-5</v>
      </c>
      <c r="AC97" s="2">
        <f t="shared" si="19"/>
        <v>2.6690458734639308E-5</v>
      </c>
      <c r="AE97" s="2">
        <f t="shared" si="20"/>
        <v>2.0695133576654584E-5</v>
      </c>
      <c r="AG97" s="2">
        <f t="shared" si="21"/>
        <v>1.5887924771340968E-5</v>
      </c>
      <c r="AI97" s="2">
        <f t="shared" si="22"/>
        <v>1.0059485474844327</v>
      </c>
      <c r="AK97" s="2">
        <f t="shared" si="23"/>
        <v>1.1675811552094559</v>
      </c>
      <c r="AM97" s="2">
        <f t="shared" si="24"/>
        <v>1.4087810907191436</v>
      </c>
      <c r="AO97" s="2">
        <f t="shared" si="25"/>
        <v>1.6320639447792238</v>
      </c>
    </row>
    <row r="98" spans="4:41" x14ac:dyDescent="0.3">
      <c r="D98">
        <v>6</v>
      </c>
      <c r="E98" t="s">
        <v>4</v>
      </c>
      <c r="F98">
        <v>19.899999999999999</v>
      </c>
      <c r="G98">
        <v>2.0699999999999998</v>
      </c>
      <c r="H98">
        <v>1.93</v>
      </c>
      <c r="I98">
        <v>19.22</v>
      </c>
      <c r="J98">
        <v>11.75</v>
      </c>
      <c r="K98">
        <f t="shared" si="26"/>
        <v>3420</v>
      </c>
      <c r="L98">
        <f t="shared" si="9"/>
        <v>7.4699999999999989</v>
      </c>
      <c r="M98">
        <f t="shared" si="10"/>
        <v>2</v>
      </c>
      <c r="N98" s="2">
        <f>FiberLength!D14*$C$2*PI()</f>
        <v>3.9144244463728818E-4</v>
      </c>
      <c r="O98" s="2">
        <f t="shared" si="17"/>
        <v>20.123668996065234</v>
      </c>
      <c r="P98">
        <v>2.5999999999999999E-2</v>
      </c>
      <c r="R98">
        <v>0.59799999999999998</v>
      </c>
      <c r="T98">
        <v>0.99399999999999999</v>
      </c>
      <c r="V98">
        <v>0.999</v>
      </c>
      <c r="X98">
        <v>331</v>
      </c>
      <c r="Y98" s="2">
        <f t="shared" si="27"/>
        <v>0.17948951501936186</v>
      </c>
      <c r="Z98" s="2">
        <f t="shared" si="28"/>
        <v>11.053860530926444</v>
      </c>
      <c r="AA98" s="2">
        <f t="shared" si="18"/>
        <v>3.4949008517644157E-5</v>
      </c>
      <c r="AC98" s="2">
        <f t="shared" si="19"/>
        <v>2.6281072997047146E-5</v>
      </c>
      <c r="AE98" s="2">
        <f t="shared" si="20"/>
        <v>2.0299439474653897E-5</v>
      </c>
      <c r="AG98" s="2">
        <f t="shared" si="21"/>
        <v>1.5500908813559995E-5</v>
      </c>
      <c r="AI98" s="2">
        <f t="shared" si="22"/>
        <v>1.004950342725871</v>
      </c>
      <c r="AK98" s="2">
        <f t="shared" si="23"/>
        <v>1.161555186759391</v>
      </c>
      <c r="AM98" s="2">
        <f t="shared" si="24"/>
        <v>1.3777393342733359</v>
      </c>
      <c r="AO98" s="2">
        <f t="shared" si="25"/>
        <v>1.5634464452323029</v>
      </c>
    </row>
    <row r="99" spans="4:41" x14ac:dyDescent="0.3">
      <c r="E99" t="s">
        <v>5</v>
      </c>
      <c r="F99">
        <v>19.899999999999999</v>
      </c>
      <c r="G99">
        <v>2.0699999999999998</v>
      </c>
      <c r="H99">
        <v>1.93</v>
      </c>
      <c r="I99">
        <v>19.079999999999998</v>
      </c>
      <c r="J99">
        <v>11.83</v>
      </c>
      <c r="K99">
        <f t="shared" si="26"/>
        <v>3420</v>
      </c>
      <c r="L99">
        <f t="shared" si="9"/>
        <v>7.2499999999999982</v>
      </c>
      <c r="M99">
        <f t="shared" si="10"/>
        <v>2</v>
      </c>
      <c r="N99" s="2">
        <f>FiberLength!D15*$C$2*PI()</f>
        <v>3.9364155949480104E-4</v>
      </c>
      <c r="O99" s="2">
        <f t="shared" si="17"/>
        <v>19.421892291267248</v>
      </c>
      <c r="P99">
        <v>2.1999999999999999E-2</v>
      </c>
      <c r="R99">
        <v>0.59799999999999998</v>
      </c>
      <c r="T99">
        <v>0.995</v>
      </c>
      <c r="V99">
        <v>0.999</v>
      </c>
      <c r="X99">
        <v>330</v>
      </c>
      <c r="Y99" s="2">
        <f t="shared" si="27"/>
        <v>0.17597973383769594</v>
      </c>
      <c r="Z99" s="2">
        <f t="shared" si="28"/>
        <v>10.647848958460562</v>
      </c>
      <c r="AA99" s="2">
        <f t="shared" si="18"/>
        <v>3.4811083313412873E-5</v>
      </c>
      <c r="AC99" s="2">
        <f t="shared" si="19"/>
        <v>2.6148829093456224E-5</v>
      </c>
      <c r="AE99" s="2">
        <f t="shared" si="20"/>
        <v>2.0171845553325667E-5</v>
      </c>
      <c r="AG99" s="2">
        <f t="shared" si="21"/>
        <v>1.5376648707759127E-5</v>
      </c>
      <c r="AI99" s="2">
        <f t="shared" si="22"/>
        <v>1.0040348410696494</v>
      </c>
      <c r="AK99" s="2">
        <f t="shared" si="23"/>
        <v>1.1554502276628185</v>
      </c>
      <c r="AM99" s="2">
        <f t="shared" si="24"/>
        <v>1.3632699781846784</v>
      </c>
      <c r="AO99" s="2">
        <f t="shared" si="25"/>
        <v>1.5399467677038059</v>
      </c>
    </row>
    <row r="100" spans="4:41" x14ac:dyDescent="0.3">
      <c r="E100" t="s">
        <v>6</v>
      </c>
      <c r="F100">
        <v>19.899999999999999</v>
      </c>
      <c r="G100">
        <v>2.0699999999999998</v>
      </c>
      <c r="H100">
        <v>1.93</v>
      </c>
      <c r="I100">
        <v>19.41</v>
      </c>
      <c r="J100">
        <v>11.79</v>
      </c>
      <c r="K100">
        <f t="shared" si="26"/>
        <v>3420</v>
      </c>
      <c r="L100">
        <f t="shared" si="9"/>
        <v>7.620000000000001</v>
      </c>
      <c r="M100">
        <f t="shared" si="10"/>
        <v>2</v>
      </c>
      <c r="N100" s="2">
        <f>FiberLength!D16*$C$2*PI()</f>
        <v>3.9144244463728818E-4</v>
      </c>
      <c r="O100" s="2">
        <f t="shared" si="17"/>
        <v>20.527758734942047</v>
      </c>
      <c r="P100">
        <v>0.02</v>
      </c>
      <c r="R100">
        <v>0.59899999999999998</v>
      </c>
      <c r="T100">
        <v>0.99299999999999999</v>
      </c>
      <c r="V100">
        <v>0.999</v>
      </c>
      <c r="X100">
        <v>330</v>
      </c>
      <c r="Y100" s="2">
        <f t="shared" si="27"/>
        <v>0.17775989926996486</v>
      </c>
      <c r="Z100" s="2">
        <f t="shared" si="28"/>
        <v>11.265122925742943</v>
      </c>
      <c r="AA100" s="2">
        <f t="shared" si="18"/>
        <v>3.5028143493470291E-5</v>
      </c>
      <c r="AC100" s="2">
        <f t="shared" si="19"/>
        <v>2.6356957941029201E-5</v>
      </c>
      <c r="AE100" s="2">
        <f t="shared" si="20"/>
        <v>2.0372702987144802E-5</v>
      </c>
      <c r="AG100" s="2">
        <f t="shared" si="21"/>
        <v>1.5572372501384386E-5</v>
      </c>
      <c r="AI100" s="2">
        <f t="shared" si="22"/>
        <v>1.0038888068479705</v>
      </c>
      <c r="AK100" s="2">
        <f t="shared" si="23"/>
        <v>1.1653654605564323</v>
      </c>
      <c r="AM100" s="2">
        <f t="shared" si="24"/>
        <v>1.3859596929492337</v>
      </c>
      <c r="AO100" s="2">
        <f t="shared" si="25"/>
        <v>1.577135525733854</v>
      </c>
    </row>
    <row r="101" spans="4:41" x14ac:dyDescent="0.3">
      <c r="E101" t="s">
        <v>7</v>
      </c>
      <c r="N101" s="2"/>
      <c r="O101" s="2"/>
      <c r="Y101" s="2"/>
      <c r="Z101" s="2"/>
      <c r="AA101" s="2"/>
      <c r="AC101" s="2"/>
      <c r="AE101" s="2"/>
      <c r="AG101" s="2"/>
      <c r="AI101" s="2"/>
      <c r="AK101" s="2"/>
      <c r="AM101" s="2"/>
      <c r="AO101" s="2"/>
    </row>
    <row r="102" spans="4:41" x14ac:dyDescent="0.3">
      <c r="D102">
        <v>2</v>
      </c>
      <c r="E102" t="s">
        <v>4</v>
      </c>
      <c r="F102">
        <v>19.600000000000001</v>
      </c>
      <c r="G102">
        <v>3.07</v>
      </c>
      <c r="H102">
        <v>2.93</v>
      </c>
      <c r="I102">
        <v>23.07</v>
      </c>
      <c r="J102">
        <v>12.48</v>
      </c>
      <c r="K102">
        <f>25*60</f>
        <v>1500</v>
      </c>
      <c r="L102">
        <f t="shared" si="9"/>
        <v>10.59</v>
      </c>
      <c r="M102">
        <f t="shared" si="10"/>
        <v>3</v>
      </c>
      <c r="N102" s="2">
        <f>FiberLength!D2*$C$2*PI()</f>
        <v>3.9144244463728818E-4</v>
      </c>
      <c r="O102" s="2">
        <f t="shared" si="17"/>
        <v>65.045517087522654</v>
      </c>
      <c r="P102">
        <v>2.5000000000000001E-2</v>
      </c>
      <c r="R102">
        <v>0.20899999999999999</v>
      </c>
      <c r="T102">
        <v>0.45400000000000001</v>
      </c>
      <c r="V102">
        <v>0.69499999999999995</v>
      </c>
      <c r="Y102" s="2">
        <f t="shared" ref="Y102" si="29">8.314*293.15*1000*(1/62*(P102+AI102-1)+1/200*(R102+AK102-1)+1/600*(T102+AM102-1)+1/2000*(V102+AO102-1))/10^5</f>
        <v>0.15585870249510483</v>
      </c>
      <c r="Z102" s="2">
        <f t="shared" ref="Z102" si="30">O102/(M102-Y102)</f>
        <v>22.870001973736574</v>
      </c>
      <c r="AA102" s="2">
        <f t="shared" ref="AA102:AA117" si="31">(($O102/1000/60/60/$AW$85)+(1+0.26*($O102/1000/60/60/$AW$85)^(1.4))^(-1.7))*$AW$85</f>
        <v>4.3110931025014935E-5</v>
      </c>
      <c r="AC102" s="2">
        <f t="shared" ref="AC102:AC117" si="32">(($O102/1000/60/60/$AY$85)+(1+0.26*($O102/1000/60/60/$AY$85)^(1.4))^(-1.7))*$AY$85</f>
        <v>3.4314765140841104E-5</v>
      </c>
      <c r="AE102" s="2">
        <f t="shared" ref="AE102:AE117" si="33">(($O102/1000/60/60/$BA$85)+(1+0.26*($O102/1000/60/60/$BA$85)^(1.4))^(-1.7))*$BA$85</f>
        <v>2.8404000818257901E-5</v>
      </c>
      <c r="AG102" s="2">
        <f t="shared" ref="AG102:AG117" si="34">(($O102/1000/60/60/$BC$85)+(1+0.26*($O102/1000/60/60/$BC$85)^(1.4))^(-1.7))*$BC$85</f>
        <v>2.3954674519677866E-5</v>
      </c>
      <c r="AI102" s="2">
        <f t="shared" ref="AI102:AI117" si="35">(AA102/($O102/1000/60/60)+P102-1)/(AA102/($O102/1000/60/60)-1)</f>
        <v>1.0180373683976656</v>
      </c>
      <c r="AK102" s="2">
        <f t="shared" ref="AK102:AK117" si="36">(AC102/($O102/1000/60/60)+R102-1)/(AC102/($O102/1000/60/60)-1)</f>
        <v>1.232433958201884</v>
      </c>
      <c r="AM102" s="2">
        <f t="shared" ref="AM102:AM117" si="37">(AE102/($O102/1000/60/60)+T102-1)/(AE102/($O102/1000/60/60)-1)</f>
        <v>1.7936454982895649</v>
      </c>
      <c r="AO102" s="2">
        <f t="shared" ref="AO102:AO117" si="38">(AG102/($O102/1000/60/60)+V102-1)/(AG102/($O102/1000/60/60)-1)</f>
        <v>3.1332627313507642</v>
      </c>
    </row>
    <row r="103" spans="4:41" x14ac:dyDescent="0.3">
      <c r="E103" t="s">
        <v>5</v>
      </c>
      <c r="F103">
        <v>19.600000000000001</v>
      </c>
      <c r="G103">
        <v>3.07</v>
      </c>
      <c r="H103">
        <v>2.93</v>
      </c>
      <c r="I103">
        <v>21.71</v>
      </c>
      <c r="J103">
        <v>11.75</v>
      </c>
      <c r="K103">
        <f t="shared" ref="K103:K117" si="39">25*60</f>
        <v>1500</v>
      </c>
      <c r="L103">
        <f t="shared" si="9"/>
        <v>9.9600000000000009</v>
      </c>
      <c r="M103">
        <f t="shared" si="10"/>
        <v>3</v>
      </c>
      <c r="N103" s="2">
        <f>FiberLength!D3*$C$2*PI()</f>
        <v>3.9364155949480104E-4</v>
      </c>
      <c r="O103" s="2">
        <f t="shared" si="17"/>
        <v>60.834188643300664</v>
      </c>
      <c r="P103">
        <v>2.7E-2</v>
      </c>
      <c r="R103">
        <v>0.22800000000000001</v>
      </c>
      <c r="T103">
        <v>0.48199999999999998</v>
      </c>
      <c r="V103">
        <v>0.72199999999999998</v>
      </c>
      <c r="Y103" s="2">
        <f t="shared" ref="Y103:Y117" si="40">8.314*293.15*1000*(1/62*(P103+AI103-1)+1/200*(R103+AK103-1)+1/600*(T103+AM103-1)+1/2000*(V103+AO103-1))/10^5</f>
        <v>0.15689995292858425</v>
      </c>
      <c r="Z103" s="2">
        <f t="shared" ref="Z103:Z118" si="41">O103/(M103-Y103)</f>
        <v>21.397132579264653</v>
      </c>
      <c r="AA103" s="2">
        <f t="shared" si="31"/>
        <v>4.236849007851548E-5</v>
      </c>
      <c r="AC103" s="2">
        <f t="shared" si="32"/>
        <v>3.3559356364658935E-5</v>
      </c>
      <c r="AE103" s="2">
        <f t="shared" si="33"/>
        <v>2.7610026375076007E-5</v>
      </c>
      <c r="AG103" s="2">
        <f t="shared" si="34"/>
        <v>2.3089843735070423E-5</v>
      </c>
      <c r="AI103" s="2">
        <f t="shared" si="35"/>
        <v>1.0179134097237212</v>
      </c>
      <c r="AK103" s="2">
        <f t="shared" si="36"/>
        <v>1.2312489489884251</v>
      </c>
      <c r="AM103" s="2">
        <f t="shared" si="37"/>
        <v>1.7603897663318775</v>
      </c>
      <c r="AO103" s="2">
        <f t="shared" si="38"/>
        <v>2.9705591959942721</v>
      </c>
    </row>
    <row r="104" spans="4:41" x14ac:dyDescent="0.3">
      <c r="E104" t="s">
        <v>6</v>
      </c>
      <c r="F104">
        <v>19.600000000000001</v>
      </c>
      <c r="G104">
        <v>3.07</v>
      </c>
      <c r="H104">
        <v>2.93</v>
      </c>
      <c r="I104">
        <v>22.57</v>
      </c>
      <c r="J104">
        <v>11.72</v>
      </c>
      <c r="K104">
        <f t="shared" si="39"/>
        <v>1500</v>
      </c>
      <c r="L104">
        <f t="shared" si="9"/>
        <v>10.85</v>
      </c>
      <c r="M104">
        <f t="shared" si="10"/>
        <v>3</v>
      </c>
      <c r="N104" s="2">
        <f>FiberLength!D4*$C$2*PI()</f>
        <v>3.9144244463728818E-4</v>
      </c>
      <c r="O104" s="2">
        <f t="shared" si="17"/>
        <v>66.642479735563796</v>
      </c>
      <c r="P104">
        <v>2.5999999999999999E-2</v>
      </c>
      <c r="R104">
        <v>0.216</v>
      </c>
      <c r="T104">
        <v>0.46899999999999997</v>
      </c>
      <c r="V104">
        <v>0.71599999999999997</v>
      </c>
      <c r="Y104" s="2">
        <f t="shared" si="40"/>
        <v>0.16476366017021618</v>
      </c>
      <c r="Z104" s="2">
        <f t="shared" si="41"/>
        <v>23.505088023654753</v>
      </c>
      <c r="AA104" s="2">
        <f t="shared" si="31"/>
        <v>4.3392552853900322E-5</v>
      </c>
      <c r="AC104" s="2">
        <f t="shared" si="32"/>
        <v>3.4602719021985152E-5</v>
      </c>
      <c r="AE104" s="2">
        <f t="shared" si="33"/>
        <v>2.8708057450492643E-5</v>
      </c>
      <c r="AG104" s="2">
        <f t="shared" si="34"/>
        <v>2.4286854420665822E-5</v>
      </c>
      <c r="AI104" s="2">
        <f t="shared" si="35"/>
        <v>1.0193445431291999</v>
      </c>
      <c r="AK104" s="2">
        <f t="shared" si="36"/>
        <v>1.248497227561542</v>
      </c>
      <c r="AM104" s="2">
        <f t="shared" si="37"/>
        <v>1.851492240673505</v>
      </c>
      <c r="AO104" s="2">
        <f t="shared" si="38"/>
        <v>3.2951209829969801</v>
      </c>
    </row>
    <row r="105" spans="4:41" x14ac:dyDescent="0.3">
      <c r="E105" t="s">
        <v>7</v>
      </c>
      <c r="F105">
        <v>19.600000000000001</v>
      </c>
      <c r="G105">
        <v>3.07</v>
      </c>
      <c r="H105">
        <v>2.93</v>
      </c>
      <c r="I105">
        <v>22.5</v>
      </c>
      <c r="J105">
        <v>11.77</v>
      </c>
      <c r="K105">
        <f t="shared" si="39"/>
        <v>1500</v>
      </c>
      <c r="L105">
        <f t="shared" si="9"/>
        <v>10.73</v>
      </c>
      <c r="M105">
        <f t="shared" si="10"/>
        <v>3</v>
      </c>
      <c r="N105" s="2">
        <f>FiberLength!D5*$C$2*PI()</f>
        <v>3.9364155949480104E-4</v>
      </c>
      <c r="O105" s="2">
        <f t="shared" si="17"/>
        <v>65.537233347652219</v>
      </c>
      <c r="P105">
        <v>2.5999999999999999E-2</v>
      </c>
      <c r="R105">
        <v>0.21099999999999999</v>
      </c>
      <c r="T105">
        <v>0.46200000000000002</v>
      </c>
      <c r="V105">
        <v>0.71199999999999997</v>
      </c>
      <c r="Y105" s="2">
        <f t="shared" si="40"/>
        <v>0.15990478724820395</v>
      </c>
      <c r="Z105" s="2">
        <f t="shared" si="41"/>
        <v>23.0757169877247</v>
      </c>
      <c r="AA105" s="2">
        <f t="shared" si="31"/>
        <v>4.319763430084444E-5</v>
      </c>
      <c r="AC105" s="2">
        <f t="shared" si="32"/>
        <v>3.4403335827779609E-5</v>
      </c>
      <c r="AE105" s="2">
        <f t="shared" si="33"/>
        <v>2.8497445419222419E-5</v>
      </c>
      <c r="AG105" s="2">
        <f t="shared" si="34"/>
        <v>2.405670977376615E-5</v>
      </c>
      <c r="AI105" s="2">
        <f t="shared" si="35"/>
        <v>1.0189383969799684</v>
      </c>
      <c r="AK105" s="2">
        <f t="shared" si="36"/>
        <v>1.23713297507197</v>
      </c>
      <c r="AM105" s="2">
        <f t="shared" si="37"/>
        <v>1.8171466791082886</v>
      </c>
      <c r="AO105" s="2">
        <f t="shared" si="38"/>
        <v>3.2149657412013588</v>
      </c>
    </row>
    <row r="106" spans="4:41" x14ac:dyDescent="0.3">
      <c r="D106">
        <v>3</v>
      </c>
      <c r="E106" t="s">
        <v>4</v>
      </c>
      <c r="F106">
        <v>19.600000000000001</v>
      </c>
      <c r="G106">
        <v>3.07</v>
      </c>
      <c r="H106">
        <v>2.93</v>
      </c>
      <c r="I106">
        <v>17.87</v>
      </c>
      <c r="J106">
        <v>11.72</v>
      </c>
      <c r="K106">
        <f t="shared" si="39"/>
        <v>1500</v>
      </c>
      <c r="L106">
        <f t="shared" si="9"/>
        <v>6.15</v>
      </c>
      <c r="M106">
        <f t="shared" si="10"/>
        <v>3</v>
      </c>
      <c r="N106" s="2">
        <f>FiberLength!D6*$C$2*PI()</f>
        <v>3.9144244463728818E-4</v>
      </c>
      <c r="O106" s="2">
        <f t="shared" si="17"/>
        <v>37.774308790204387</v>
      </c>
      <c r="P106">
        <v>4.1000000000000002E-2</v>
      </c>
      <c r="R106">
        <v>0.50700000000000001</v>
      </c>
      <c r="T106">
        <v>0.86599999999999999</v>
      </c>
      <c r="V106">
        <v>0.95599999999999996</v>
      </c>
      <c r="X106">
        <v>1027</v>
      </c>
      <c r="Y106" s="2">
        <f t="shared" si="40"/>
        <v>0.20848404196135842</v>
      </c>
      <c r="Z106" s="2">
        <f t="shared" si="41"/>
        <v>13.531826204119264</v>
      </c>
      <c r="AA106" s="2">
        <f t="shared" si="31"/>
        <v>3.8262372837698486E-5</v>
      </c>
      <c r="AC106" s="2">
        <f t="shared" si="32"/>
        <v>2.947891555469212E-5</v>
      </c>
      <c r="AE106" s="2">
        <f t="shared" si="33"/>
        <v>2.343286823245985E-5</v>
      </c>
      <c r="AG106" s="2">
        <f t="shared" si="34"/>
        <v>1.864563485337122E-5</v>
      </c>
      <c r="AI106" s="2">
        <f t="shared" si="35"/>
        <v>1.015492078064941</v>
      </c>
      <c r="AK106" s="2">
        <f t="shared" si="36"/>
        <v>1.2801994759503781</v>
      </c>
      <c r="AM106" s="2">
        <f t="shared" si="37"/>
        <v>1.7022269359038475</v>
      </c>
      <c r="AO106" s="2">
        <f t="shared" si="38"/>
        <v>2.2304009503921094</v>
      </c>
    </row>
    <row r="107" spans="4:41" x14ac:dyDescent="0.3">
      <c r="E107" t="s">
        <v>5</v>
      </c>
      <c r="F107">
        <v>19.600000000000001</v>
      </c>
      <c r="G107">
        <v>3.07</v>
      </c>
      <c r="H107">
        <v>2.93</v>
      </c>
      <c r="I107">
        <v>18.39</v>
      </c>
      <c r="J107">
        <v>11.79</v>
      </c>
      <c r="K107">
        <f t="shared" si="39"/>
        <v>1500</v>
      </c>
      <c r="L107">
        <f t="shared" si="9"/>
        <v>6.6000000000000014</v>
      </c>
      <c r="M107">
        <f t="shared" si="10"/>
        <v>3</v>
      </c>
      <c r="N107" s="2">
        <f>FiberLength!D7*$C$2*PI()</f>
        <v>3.8924332977977537E-4</v>
      </c>
      <c r="O107" s="2">
        <f t="shared" si="17"/>
        <v>40.767312449342803</v>
      </c>
      <c r="P107">
        <v>0.04</v>
      </c>
      <c r="R107">
        <v>0.496</v>
      </c>
      <c r="T107">
        <v>0.85399999999999998</v>
      </c>
      <c r="V107">
        <v>0.95</v>
      </c>
      <c r="X107">
        <v>1103</v>
      </c>
      <c r="Y107" s="2">
        <f t="shared" si="40"/>
        <v>0.21328787903968799</v>
      </c>
      <c r="Z107" s="2">
        <f t="shared" si="41"/>
        <v>14.629179721403812</v>
      </c>
      <c r="AA107" s="2">
        <f t="shared" si="31"/>
        <v>3.8803775802018195E-5</v>
      </c>
      <c r="AC107" s="2">
        <f t="shared" si="32"/>
        <v>3.0008018687951558E-5</v>
      </c>
      <c r="AE107" s="2">
        <f t="shared" si="33"/>
        <v>2.3962762665205304E-5</v>
      </c>
      <c r="AG107" s="2">
        <f t="shared" si="34"/>
        <v>1.9195753230470446E-5</v>
      </c>
      <c r="AI107" s="2">
        <f t="shared" si="35"/>
        <v>1.0164839160105388</v>
      </c>
      <c r="AK107" s="2">
        <f t="shared" si="36"/>
        <v>1.3006262199379326</v>
      </c>
      <c r="AM107" s="2">
        <f t="shared" si="37"/>
        <v>1.7651940822152259</v>
      </c>
      <c r="AO107" s="2">
        <f t="shared" si="38"/>
        <v>2.3667078824132308</v>
      </c>
    </row>
    <row r="108" spans="4:41" x14ac:dyDescent="0.3">
      <c r="E108" t="s">
        <v>6</v>
      </c>
      <c r="F108">
        <v>19.600000000000001</v>
      </c>
      <c r="G108">
        <v>3.07</v>
      </c>
      <c r="H108">
        <v>2.93</v>
      </c>
      <c r="I108">
        <v>18.13</v>
      </c>
      <c r="J108">
        <v>11.77</v>
      </c>
      <c r="K108">
        <f t="shared" si="39"/>
        <v>1500</v>
      </c>
      <c r="L108">
        <f t="shared" si="9"/>
        <v>6.3599999999999994</v>
      </c>
      <c r="M108">
        <f t="shared" si="10"/>
        <v>3</v>
      </c>
      <c r="N108" s="2">
        <f>FiberLength!D8*$C$2*PI()</f>
        <v>3.8484510006474965E-4</v>
      </c>
      <c r="O108" s="2">
        <f t="shared" si="17"/>
        <v>39.733834606471135</v>
      </c>
      <c r="P108">
        <v>4.1000000000000002E-2</v>
      </c>
      <c r="R108">
        <v>0.53200000000000003</v>
      </c>
      <c r="T108">
        <v>0.89600000000000002</v>
      </c>
      <c r="V108">
        <v>0.96799999999999997</v>
      </c>
      <c r="X108">
        <v>604</v>
      </c>
      <c r="Y108" s="2">
        <f t="shared" si="40"/>
        <v>0.22154150805046616</v>
      </c>
      <c r="Z108" s="2">
        <f t="shared" si="41"/>
        <v>14.30067597612066</v>
      </c>
      <c r="AA108" s="2">
        <f t="shared" si="31"/>
        <v>3.8617279194545568E-5</v>
      </c>
      <c r="AC108" s="2">
        <f t="shared" si="32"/>
        <v>2.9825486404182214E-5</v>
      </c>
      <c r="AE108" s="2">
        <f t="shared" si="33"/>
        <v>2.3779549287157934E-5</v>
      </c>
      <c r="AG108" s="2">
        <f t="shared" si="34"/>
        <v>1.9004991495973421E-5</v>
      </c>
      <c r="AI108" s="2">
        <f t="shared" si="35"/>
        <v>1.0164076337516841</v>
      </c>
      <c r="AK108" s="2">
        <f t="shared" si="36"/>
        <v>1.312522932706111</v>
      </c>
      <c r="AM108" s="2">
        <f t="shared" si="37"/>
        <v>1.7760964100340364</v>
      </c>
      <c r="AO108" s="2">
        <f t="shared" si="38"/>
        <v>2.3408928731982637</v>
      </c>
    </row>
    <row r="109" spans="4:41" x14ac:dyDescent="0.3">
      <c r="E109" t="s">
        <v>7</v>
      </c>
      <c r="F109">
        <v>19.600000000000001</v>
      </c>
      <c r="G109">
        <v>3.07</v>
      </c>
      <c r="H109">
        <v>2.93</v>
      </c>
      <c r="I109">
        <v>18.3</v>
      </c>
      <c r="J109">
        <v>11.72</v>
      </c>
      <c r="K109">
        <f t="shared" si="39"/>
        <v>1500</v>
      </c>
      <c r="L109">
        <f t="shared" si="9"/>
        <v>6.58</v>
      </c>
      <c r="M109">
        <f t="shared" si="10"/>
        <v>3</v>
      </c>
      <c r="N109" s="2">
        <f>FiberLength!D9*$C$2*PI()</f>
        <v>3.9364155949480104E-4</v>
      </c>
      <c r="O109" s="2">
        <f t="shared" si="17"/>
        <v>40.189654746276943</v>
      </c>
      <c r="P109">
        <v>4.1000000000000002E-2</v>
      </c>
      <c r="R109">
        <v>0.48399999999999999</v>
      </c>
      <c r="T109">
        <v>0.83099999999999996</v>
      </c>
      <c r="V109">
        <v>0.93600000000000005</v>
      </c>
      <c r="X109">
        <v>1189</v>
      </c>
      <c r="Y109" s="2">
        <f t="shared" si="40"/>
        <v>0.20767587908792071</v>
      </c>
      <c r="Z109" s="2">
        <f t="shared" si="41"/>
        <v>14.392904622100056</v>
      </c>
      <c r="AA109" s="2">
        <f t="shared" si="31"/>
        <v>3.8699589842783425E-5</v>
      </c>
      <c r="AC109" s="2">
        <f t="shared" si="32"/>
        <v>2.9906011336983762E-5</v>
      </c>
      <c r="AE109" s="2">
        <f t="shared" si="33"/>
        <v>2.3860321542204533E-5</v>
      </c>
      <c r="AG109" s="2">
        <f t="shared" si="34"/>
        <v>1.908902050701395E-5</v>
      </c>
      <c r="AI109" s="2">
        <f t="shared" si="35"/>
        <v>1.0166225627953835</v>
      </c>
      <c r="AK109" s="2">
        <f t="shared" si="36"/>
        <v>1.2882943578675949</v>
      </c>
      <c r="AM109" s="2">
        <f t="shared" si="37"/>
        <v>1.7306809832984562</v>
      </c>
      <c r="AO109" s="2">
        <f t="shared" si="38"/>
        <v>2.3184870977026621</v>
      </c>
    </row>
    <row r="110" spans="4:41" x14ac:dyDescent="0.3">
      <c r="D110">
        <v>4</v>
      </c>
      <c r="E110" t="s">
        <v>4</v>
      </c>
      <c r="F110">
        <v>19.600000000000001</v>
      </c>
      <c r="G110">
        <v>3.07</v>
      </c>
      <c r="H110">
        <v>2.93</v>
      </c>
      <c r="I110">
        <v>17.37</v>
      </c>
      <c r="J110">
        <v>11.72</v>
      </c>
      <c r="K110">
        <f t="shared" si="39"/>
        <v>1500</v>
      </c>
      <c r="L110">
        <f t="shared" si="9"/>
        <v>5.65</v>
      </c>
      <c r="M110">
        <f t="shared" si="10"/>
        <v>3</v>
      </c>
      <c r="N110" s="2">
        <f>FiberLength!D10*$C$2*PI()</f>
        <v>3.9144244463728818E-4</v>
      </c>
      <c r="O110" s="2">
        <f t="shared" si="17"/>
        <v>34.703226774740607</v>
      </c>
      <c r="P110">
        <v>4.4999999999999998E-2</v>
      </c>
      <c r="R110">
        <v>0.63400000000000001</v>
      </c>
      <c r="T110">
        <v>0.98299999999999998</v>
      </c>
      <c r="V110">
        <v>0.998</v>
      </c>
      <c r="X110">
        <v>333</v>
      </c>
      <c r="Y110" s="2">
        <f t="shared" si="40"/>
        <v>0.23464555725718408</v>
      </c>
      <c r="Z110" s="2">
        <f t="shared" si="41"/>
        <v>12.549287078122333</v>
      </c>
      <c r="AA110" s="2">
        <f t="shared" si="31"/>
        <v>3.7702274546102763E-5</v>
      </c>
      <c r="AC110" s="2">
        <f t="shared" si="32"/>
        <v>2.8933961644496054E-5</v>
      </c>
      <c r="AE110" s="2">
        <f t="shared" si="33"/>
        <v>2.289083484320751E-5</v>
      </c>
      <c r="AG110" s="2">
        <f t="shared" si="34"/>
        <v>1.808817970063533E-5</v>
      </c>
      <c r="AI110" s="2">
        <f t="shared" si="35"/>
        <v>1.0154580133490385</v>
      </c>
      <c r="AK110" s="2">
        <f t="shared" si="36"/>
        <v>1.3167600259507539</v>
      </c>
      <c r="AM110" s="2">
        <f t="shared" si="37"/>
        <v>1.7151062846012572</v>
      </c>
      <c r="AO110" s="2">
        <f t="shared" si="38"/>
        <v>2.138737740214093</v>
      </c>
    </row>
    <row r="111" spans="4:41" x14ac:dyDescent="0.3">
      <c r="E111" t="s">
        <v>5</v>
      </c>
      <c r="F111">
        <v>19.600000000000001</v>
      </c>
      <c r="G111">
        <v>3.07</v>
      </c>
      <c r="H111">
        <v>2.93</v>
      </c>
      <c r="I111">
        <v>17.45</v>
      </c>
      <c r="J111">
        <v>11.79</v>
      </c>
      <c r="K111">
        <f t="shared" si="39"/>
        <v>1500</v>
      </c>
      <c r="L111">
        <f t="shared" si="9"/>
        <v>5.66</v>
      </c>
      <c r="M111">
        <f t="shared" si="10"/>
        <v>3</v>
      </c>
      <c r="N111" s="2">
        <f>FiberLength!D11*$C$2*PI()</f>
        <v>3.9144244463728818E-4</v>
      </c>
      <c r="O111" s="2">
        <f t="shared" si="17"/>
        <v>34.764648415049884</v>
      </c>
      <c r="P111">
        <v>4.5999999999999999E-2</v>
      </c>
      <c r="R111">
        <v>0.627</v>
      </c>
      <c r="T111">
        <v>0.96499999999999997</v>
      </c>
      <c r="V111">
        <v>0.98799999999999999</v>
      </c>
      <c r="X111">
        <v>351</v>
      </c>
      <c r="Y111" s="2">
        <f t="shared" si="40"/>
        <v>0.23256045151102953</v>
      </c>
      <c r="Z111" s="2">
        <f t="shared" si="41"/>
        <v>12.562026308408967</v>
      </c>
      <c r="AA111" s="2">
        <f t="shared" si="31"/>
        <v>3.7713527420869676E-5</v>
      </c>
      <c r="AC111" s="2">
        <f t="shared" si="32"/>
        <v>2.8944887584478215E-5</v>
      </c>
      <c r="AE111" s="2">
        <f t="shared" si="33"/>
        <v>2.2901665669015565E-5</v>
      </c>
      <c r="AG111" s="2">
        <f t="shared" si="34"/>
        <v>1.8099264628873075E-5</v>
      </c>
      <c r="AI111" s="2">
        <f t="shared" si="35"/>
        <v>1.0158327693032227</v>
      </c>
      <c r="AK111" s="2">
        <f t="shared" si="36"/>
        <v>1.3139169495896552</v>
      </c>
      <c r="AM111" s="2">
        <f t="shared" si="37"/>
        <v>1.7035850942209618</v>
      </c>
      <c r="AO111" s="2">
        <f t="shared" si="38"/>
        <v>2.1301222935869593</v>
      </c>
    </row>
    <row r="112" spans="4:41" x14ac:dyDescent="0.3">
      <c r="E112" t="s">
        <v>6</v>
      </c>
      <c r="F112">
        <v>19.600000000000001</v>
      </c>
      <c r="G112">
        <v>3.07</v>
      </c>
      <c r="H112">
        <v>2.93</v>
      </c>
      <c r="I112">
        <v>17.010000000000002</v>
      </c>
      <c r="J112">
        <v>11.75</v>
      </c>
      <c r="K112">
        <f t="shared" si="39"/>
        <v>1500</v>
      </c>
      <c r="L112">
        <f t="shared" si="9"/>
        <v>5.2600000000000016</v>
      </c>
      <c r="M112">
        <f t="shared" si="10"/>
        <v>3</v>
      </c>
      <c r="N112" s="2">
        <f>FiberLength!D12*$C$2*PI()</f>
        <v>3.9364155949480104E-4</v>
      </c>
      <c r="O112" s="2">
        <f t="shared" si="17"/>
        <v>32.127292395959998</v>
      </c>
      <c r="P112">
        <v>4.4999999999999998E-2</v>
      </c>
      <c r="R112">
        <v>0.61299999999999999</v>
      </c>
      <c r="T112">
        <v>0.96499999999999997</v>
      </c>
      <c r="V112">
        <v>0.98899999999999999</v>
      </c>
      <c r="X112">
        <v>356</v>
      </c>
      <c r="Y112" s="2">
        <f t="shared" si="40"/>
        <v>0.22156993213075149</v>
      </c>
      <c r="Z112" s="2">
        <f t="shared" si="41"/>
        <v>11.563109961805917</v>
      </c>
      <c r="AA112" s="2">
        <f t="shared" si="31"/>
        <v>3.7228266703812298E-5</v>
      </c>
      <c r="AC112" s="2">
        <f t="shared" si="32"/>
        <v>2.8474508020372157E-5</v>
      </c>
      <c r="AE112" s="2">
        <f t="shared" si="33"/>
        <v>2.2436698664365711E-5</v>
      </c>
      <c r="AG112" s="2">
        <f t="shared" si="34"/>
        <v>1.7625422475850935E-5</v>
      </c>
      <c r="AI112" s="2">
        <f t="shared" si="35"/>
        <v>1.0141884853016645</v>
      </c>
      <c r="AK112" s="2">
        <f t="shared" si="36"/>
        <v>1.2798205199365751</v>
      </c>
      <c r="AM112" s="2">
        <f t="shared" si="37"/>
        <v>1.6373306629622641</v>
      </c>
      <c r="AO112" s="2">
        <f t="shared" si="38"/>
        <v>2.0143551392576371</v>
      </c>
    </row>
    <row r="113" spans="4:42" x14ac:dyDescent="0.3">
      <c r="E113" t="s">
        <v>7</v>
      </c>
      <c r="F113">
        <v>19.600000000000001</v>
      </c>
      <c r="G113">
        <v>3.07</v>
      </c>
      <c r="H113">
        <v>2.93</v>
      </c>
      <c r="I113">
        <v>17.25</v>
      </c>
      <c r="J113">
        <v>11.75</v>
      </c>
      <c r="K113">
        <f t="shared" si="39"/>
        <v>1500</v>
      </c>
      <c r="L113">
        <f t="shared" si="9"/>
        <v>5.5</v>
      </c>
      <c r="M113">
        <f t="shared" si="10"/>
        <v>3</v>
      </c>
      <c r="N113" s="2">
        <f>FiberLength!D13*$C$2*PI()</f>
        <v>3.9364155949480104E-4</v>
      </c>
      <c r="O113" s="2">
        <f t="shared" si="17"/>
        <v>33.593176459653975</v>
      </c>
      <c r="P113">
        <v>4.4999999999999998E-2</v>
      </c>
      <c r="R113">
        <v>0.628</v>
      </c>
      <c r="T113">
        <v>0.97099999999999997</v>
      </c>
      <c r="V113">
        <v>0.99199999999999999</v>
      </c>
      <c r="X113">
        <v>344</v>
      </c>
      <c r="Y113" s="2">
        <f t="shared" si="40"/>
        <v>0.22913778009711083</v>
      </c>
      <c r="Z113" s="2">
        <f t="shared" si="41"/>
        <v>12.123726765754279</v>
      </c>
      <c r="AA113" s="2">
        <f t="shared" si="31"/>
        <v>3.7498518430383196E-5</v>
      </c>
      <c r="AC113" s="2">
        <f t="shared" si="32"/>
        <v>2.8736277644938603E-5</v>
      </c>
      <c r="AE113" s="2">
        <f t="shared" si="33"/>
        <v>2.2695125330515401E-5</v>
      </c>
      <c r="AG113" s="2">
        <f t="shared" si="34"/>
        <v>1.7888265894847588E-5</v>
      </c>
      <c r="AI113" s="2">
        <f t="shared" si="35"/>
        <v>1.0149079953591253</v>
      </c>
      <c r="AK113" s="2">
        <f t="shared" si="36"/>
        <v>1.3019938882930355</v>
      </c>
      <c r="AM113" s="2">
        <f t="shared" si="37"/>
        <v>1.6780184179714284</v>
      </c>
      <c r="AO113" s="2">
        <f t="shared" si="38"/>
        <v>2.0818011550186206</v>
      </c>
    </row>
    <row r="114" spans="4:42" x14ac:dyDescent="0.3">
      <c r="D114">
        <v>6</v>
      </c>
      <c r="E114" t="s">
        <v>4</v>
      </c>
      <c r="F114">
        <v>19.600000000000001</v>
      </c>
      <c r="G114">
        <v>3.07</v>
      </c>
      <c r="H114">
        <v>2.93</v>
      </c>
      <c r="I114">
        <v>16.7</v>
      </c>
      <c r="J114">
        <v>11.75</v>
      </c>
      <c r="K114">
        <f t="shared" si="39"/>
        <v>1500</v>
      </c>
      <c r="L114">
        <f t="shared" si="9"/>
        <v>4.9499999999999993</v>
      </c>
      <c r="M114">
        <f t="shared" si="10"/>
        <v>3</v>
      </c>
      <c r="N114" s="2">
        <f>FiberLength!D14*$C$2*PI()</f>
        <v>3.9144244463728818E-4</v>
      </c>
      <c r="O114" s="2">
        <f t="shared" si="17"/>
        <v>30.403711953091317</v>
      </c>
      <c r="P114">
        <v>4.7E-2</v>
      </c>
      <c r="R114">
        <v>0.66500000000000004</v>
      </c>
      <c r="T114">
        <v>0.998</v>
      </c>
      <c r="V114">
        <v>0.998</v>
      </c>
      <c r="X114">
        <v>308</v>
      </c>
      <c r="Y114" s="2">
        <f t="shared" si="40"/>
        <v>0.22899524568584445</v>
      </c>
      <c r="Z114" s="2">
        <f t="shared" si="41"/>
        <v>10.972089421988906</v>
      </c>
      <c r="AA114" s="2">
        <f t="shared" si="31"/>
        <v>3.6908648057447942E-5</v>
      </c>
      <c r="AC114" s="2">
        <f t="shared" si="32"/>
        <v>2.816550831921148E-5</v>
      </c>
      <c r="AE114" s="2">
        <f t="shared" si="33"/>
        <v>2.2132682053466247E-5</v>
      </c>
      <c r="AG114" s="2">
        <f t="shared" si="34"/>
        <v>1.7317881518587167E-5</v>
      </c>
      <c r="AI114" s="2">
        <f t="shared" si="35"/>
        <v>1.0139456467929071</v>
      </c>
      <c r="AK114" s="2">
        <f t="shared" si="36"/>
        <v>1.284798777942151</v>
      </c>
      <c r="AM114" s="2">
        <f t="shared" si="37"/>
        <v>1.6158002061781505</v>
      </c>
      <c r="AO114" s="2">
        <f t="shared" si="38"/>
        <v>1.9499773358186114</v>
      </c>
    </row>
    <row r="115" spans="4:42" x14ac:dyDescent="0.3">
      <c r="E115" t="s">
        <v>5</v>
      </c>
      <c r="F115">
        <v>19.600000000000001</v>
      </c>
      <c r="G115">
        <v>3.07</v>
      </c>
      <c r="H115">
        <v>2.93</v>
      </c>
      <c r="I115">
        <v>16.72</v>
      </c>
      <c r="J115">
        <v>11.83</v>
      </c>
      <c r="K115">
        <f t="shared" si="39"/>
        <v>1500</v>
      </c>
      <c r="L115">
        <f t="shared" si="9"/>
        <v>4.8899999999999988</v>
      </c>
      <c r="M115">
        <f t="shared" si="10"/>
        <v>3</v>
      </c>
      <c r="N115" s="2">
        <f>FiberLength!D15*$C$2*PI()</f>
        <v>3.9364155949480104E-4</v>
      </c>
      <c r="O115" s="2">
        <f t="shared" si="17"/>
        <v>29.867387797765076</v>
      </c>
      <c r="P115">
        <v>4.8000000000000001E-2</v>
      </c>
      <c r="R115">
        <v>0.66200000000000003</v>
      </c>
      <c r="T115">
        <v>0.998</v>
      </c>
      <c r="V115">
        <v>0.999</v>
      </c>
      <c r="X115">
        <v>310</v>
      </c>
      <c r="Y115" s="2">
        <f t="shared" si="40"/>
        <v>0.22738765101017896</v>
      </c>
      <c r="Z115" s="2">
        <f t="shared" si="41"/>
        <v>10.772291268430301</v>
      </c>
      <c r="AA115" s="2">
        <f t="shared" si="31"/>
        <v>3.6808755119986645E-5</v>
      </c>
      <c r="AC115" s="2">
        <f t="shared" si="32"/>
        <v>2.8069056002304727E-5</v>
      </c>
      <c r="AE115" s="2">
        <f t="shared" si="33"/>
        <v>2.2038008161542403E-5</v>
      </c>
      <c r="AG115" s="2">
        <f t="shared" si="34"/>
        <v>1.7222480999742808E-5</v>
      </c>
      <c r="AI115" s="2">
        <f t="shared" si="35"/>
        <v>1.0139670393760949</v>
      </c>
      <c r="AK115" s="2">
        <f t="shared" si="36"/>
        <v>1.2777728794390832</v>
      </c>
      <c r="AM115" s="2">
        <f t="shared" si="37"/>
        <v>1.6025467858108651</v>
      </c>
      <c r="AO115" s="2">
        <f t="shared" si="38"/>
        <v>1.928547457898242</v>
      </c>
    </row>
    <row r="116" spans="4:42" x14ac:dyDescent="0.3">
      <c r="E116" t="s">
        <v>6</v>
      </c>
      <c r="F116">
        <v>19.600000000000001</v>
      </c>
      <c r="G116">
        <v>3.07</v>
      </c>
      <c r="H116">
        <v>2.93</v>
      </c>
      <c r="I116">
        <v>16.940000000000001</v>
      </c>
      <c r="J116">
        <v>11.79</v>
      </c>
      <c r="K116">
        <f t="shared" si="39"/>
        <v>1500</v>
      </c>
      <c r="L116">
        <f t="shared" si="9"/>
        <v>5.1500000000000021</v>
      </c>
      <c r="M116">
        <f t="shared" si="10"/>
        <v>3</v>
      </c>
      <c r="N116" s="2">
        <f>FiberLength!D16*$C$2*PI()</f>
        <v>3.9144244463728818E-4</v>
      </c>
      <c r="O116" s="2">
        <f t="shared" si="17"/>
        <v>31.632144759276848</v>
      </c>
      <c r="P116">
        <v>4.9000000000000002E-2</v>
      </c>
      <c r="R116">
        <v>0.66200000000000003</v>
      </c>
      <c r="T116">
        <v>0.995</v>
      </c>
      <c r="V116">
        <v>0.999</v>
      </c>
      <c r="X116">
        <v>310</v>
      </c>
      <c r="Y116" s="2">
        <f t="shared" si="40"/>
        <v>0.23307403856415879</v>
      </c>
      <c r="Z116" s="2">
        <f t="shared" si="41"/>
        <v>11.43223389427521</v>
      </c>
      <c r="AA116" s="2">
        <f t="shared" si="31"/>
        <v>3.7136659955610205E-5</v>
      </c>
      <c r="AC116" s="2">
        <f t="shared" si="32"/>
        <v>2.8385881966359093E-5</v>
      </c>
      <c r="AE116" s="2">
        <f t="shared" si="33"/>
        <v>2.2349388735857258E-5</v>
      </c>
      <c r="AG116" s="2">
        <f t="shared" si="34"/>
        <v>1.753691477354612E-5</v>
      </c>
      <c r="AI116" s="2">
        <f t="shared" si="35"/>
        <v>1.0151869259118766</v>
      </c>
      <c r="AK116" s="2">
        <f t="shared" si="36"/>
        <v>1.2967879988115021</v>
      </c>
      <c r="AM116" s="2">
        <f t="shared" si="37"/>
        <v>1.6446198056213595</v>
      </c>
      <c r="AO116" s="2">
        <f t="shared" si="38"/>
        <v>2.0031670418645566</v>
      </c>
    </row>
    <row r="117" spans="4:42" x14ac:dyDescent="0.3">
      <c r="E117" t="s">
        <v>7</v>
      </c>
      <c r="F117">
        <v>19.600000000000001</v>
      </c>
      <c r="G117">
        <v>3.07</v>
      </c>
      <c r="H117">
        <v>2.93</v>
      </c>
      <c r="I117">
        <v>16.829999999999998</v>
      </c>
      <c r="J117">
        <v>11.75</v>
      </c>
      <c r="K117">
        <f t="shared" si="39"/>
        <v>1500</v>
      </c>
      <c r="L117">
        <f t="shared" si="9"/>
        <v>5.0799999999999983</v>
      </c>
      <c r="M117">
        <f t="shared" si="10"/>
        <v>3</v>
      </c>
      <c r="N117" s="2">
        <f>FiberLength!D17*$C$2*PI()</f>
        <v>3.9364155949480104E-4</v>
      </c>
      <c r="O117" s="2">
        <f t="shared" si="17"/>
        <v>31.02787934818949</v>
      </c>
      <c r="P117">
        <v>4.5999999999999999E-2</v>
      </c>
      <c r="R117">
        <v>0.65300000000000002</v>
      </c>
      <c r="T117">
        <v>0.99399999999999999</v>
      </c>
      <c r="V117">
        <v>0.999</v>
      </c>
      <c r="X117">
        <v>314</v>
      </c>
      <c r="Y117" s="2">
        <f t="shared" si="40"/>
        <v>0.2280381253202656</v>
      </c>
      <c r="Z117" s="2">
        <f t="shared" si="41"/>
        <v>11.193472620100295</v>
      </c>
      <c r="AA117" s="2">
        <f t="shared" si="31"/>
        <v>3.7024635591819711E-5</v>
      </c>
      <c r="AC117" s="2">
        <f t="shared" si="32"/>
        <v>2.8277572071365326E-5</v>
      </c>
      <c r="AE117" s="2">
        <f t="shared" si="33"/>
        <v>2.2242811452745456E-5</v>
      </c>
      <c r="AG117" s="2">
        <f t="shared" si="34"/>
        <v>1.742907797097117E-5</v>
      </c>
      <c r="AI117" s="2">
        <f t="shared" si="35"/>
        <v>1.0139572771525245</v>
      </c>
      <c r="AK117" s="2">
        <f t="shared" si="36"/>
        <v>1.2862909439273411</v>
      </c>
      <c r="AM117" s="2">
        <f t="shared" si="37"/>
        <v>1.6288292617096845</v>
      </c>
      <c r="AO117" s="2">
        <f t="shared" si="38"/>
        <v>1.9773006782562403</v>
      </c>
    </row>
    <row r="118" spans="4:42" x14ac:dyDescent="0.3">
      <c r="D118">
        <v>2</v>
      </c>
      <c r="E118" t="s">
        <v>4</v>
      </c>
      <c r="F118">
        <v>20.9</v>
      </c>
      <c r="G118">
        <v>1.07</v>
      </c>
      <c r="H118">
        <v>0.93</v>
      </c>
      <c r="I118">
        <v>32.1</v>
      </c>
      <c r="J118">
        <v>11.77</v>
      </c>
      <c r="K118">
        <f>138*60</f>
        <v>8280</v>
      </c>
      <c r="L118">
        <f t="shared" si="9"/>
        <v>20.330000000000002</v>
      </c>
      <c r="M118">
        <f t="shared" si="10"/>
        <v>1</v>
      </c>
      <c r="N118" s="2">
        <f>FiberLength!D2*$C$2*PI()</f>
        <v>3.9144244463728818E-4</v>
      </c>
      <c r="O118" s="2">
        <f t="shared" si="17"/>
        <v>22.621412092166107</v>
      </c>
      <c r="Q118">
        <v>2.1999999999999999E-2</v>
      </c>
      <c r="S118">
        <v>0.24399999999999999</v>
      </c>
      <c r="U118">
        <v>0.48899999999999999</v>
      </c>
      <c r="W118">
        <v>0.81499999999999995</v>
      </c>
      <c r="Y118" s="2">
        <f>8.314*293.15*1000*(1/106*(Q118+AJ118-1)+1/400*(S118+AL118-1)+1/1000*(U118+AN118-1)+1/3000*(W118+AP118-1))/10^5</f>
        <v>5.6510843915743618E-2</v>
      </c>
      <c r="Z118" s="2">
        <f t="shared" si="41"/>
        <v>23.976335018042271</v>
      </c>
      <c r="AB118" s="2">
        <f t="shared" ref="AB118:AB149" si="42">(($O118/1000/60/60/$AX$85)+(1+0.26*($O118/1000/60/60/$AX$85)^(1.4))^(-1.7))*$AX$85</f>
        <v>3.1116063305470083E-5</v>
      </c>
      <c r="AD118" s="2">
        <f t="shared" ref="AD118:AD149" si="43">(($O118/1000/60/60/$AZ$85)+(1+0.26*($O118/1000/60/60/$AZ$85)^(1.4))^(-1.7))*$AZ$85</f>
        <v>2.275893730492325E-5</v>
      </c>
      <c r="AF118" s="2">
        <f t="shared" ref="AF118:AF149" si="44">(($O118/1000/60/60/$BB$85)+(1+0.26*($O118/1000/60/60/$BB$85)^(1.4))^(-1.7))*$BB$85</f>
        <v>1.8515174431329333E-5</v>
      </c>
      <c r="AH118" s="2">
        <f t="shared" ref="AH118:AH149" si="45">(($O118/1000/60/60/$BD$85)+(1+0.26*($O118/1000/60/60/$BD$85)^(1.4))^(-1.7))*$BD$85</f>
        <v>1.4650693719427682E-5</v>
      </c>
      <c r="AJ118" s="2">
        <f t="shared" ref="AJ118:AJ149" si="46">(AB118/($O118/1000/60/60)+Q118-1)/(AB118/($O118/1000/60/60)-1)</f>
        <v>1.0055670136384345</v>
      </c>
      <c r="AL118" s="2">
        <f t="shared" ref="AL118:AL149" si="47">(AD118/($O118/1000/60/60)+S118-1)/(AD118/($O118/1000/60/60)-1)</f>
        <v>1.0930627822882932</v>
      </c>
      <c r="AN118" s="2">
        <f t="shared" ref="AN118:AN149" si="48">(AF118/($O118/1000/60/60)+U118-1)/(AF118/($O118/1000/60/60)-1)</f>
        <v>1.2512165031980382</v>
      </c>
      <c r="AP118" s="2">
        <f t="shared" ref="AP118:AP149" si="49">(AH118/($O118/1000/60/60)+W118-1)/(AH118/($O118/1000/60/60)-1)</f>
        <v>1.6120779073149181</v>
      </c>
    </row>
    <row r="119" spans="4:42" x14ac:dyDescent="0.3">
      <c r="E119" t="s">
        <v>5</v>
      </c>
      <c r="F119">
        <v>20.9</v>
      </c>
      <c r="G119">
        <v>1.07</v>
      </c>
      <c r="H119">
        <v>0.93</v>
      </c>
      <c r="I119">
        <v>30.85</v>
      </c>
      <c r="J119">
        <v>11.79</v>
      </c>
      <c r="K119">
        <f t="shared" ref="K119:K133" si="50">138*60</f>
        <v>8280</v>
      </c>
      <c r="L119">
        <f t="shared" si="9"/>
        <v>19.060000000000002</v>
      </c>
      <c r="M119">
        <f t="shared" si="10"/>
        <v>1</v>
      </c>
      <c r="N119" s="2">
        <f>FiberLength!D3*$C$2*PI()</f>
        <v>3.9364155949480104E-4</v>
      </c>
      <c r="O119" s="2">
        <f t="shared" si="17"/>
        <v>21.089787329413866</v>
      </c>
      <c r="Q119">
        <v>2.5000000000000001E-2</v>
      </c>
      <c r="S119">
        <v>0.27300000000000002</v>
      </c>
      <c r="U119">
        <v>0.52400000000000002</v>
      </c>
      <c r="W119">
        <v>0.84199999999999997</v>
      </c>
      <c r="Y119" s="2">
        <f t="shared" ref="Y119:Y149" si="51">8.314*293.15*1000*(1/106*(Q119+AJ119-1)+1/400*(S119+AL119-1)+1/1000*(U119+AN119-1)+1/3000*(W119+AP119-1))/10^5</f>
        <v>5.9949169856645085E-2</v>
      </c>
      <c r="Z119" s="2">
        <f t="shared" ref="Z119:Z150" si="52">O119/(M119-Y119)</f>
        <v>22.434730817904537</v>
      </c>
      <c r="AB119" s="2">
        <f t="shared" si="42"/>
        <v>3.0824595692689459E-5</v>
      </c>
      <c r="AD119" s="2">
        <f t="shared" si="43"/>
        <v>2.2480059508777868E-5</v>
      </c>
      <c r="AF119" s="2">
        <f t="shared" si="44"/>
        <v>1.8242498341825016E-5</v>
      </c>
      <c r="AH119" s="2">
        <f t="shared" si="45"/>
        <v>1.4380629097305111E-5</v>
      </c>
      <c r="AJ119" s="2">
        <f t="shared" si="46"/>
        <v>1.005866176834997</v>
      </c>
      <c r="AL119" s="2">
        <f t="shared" si="47"/>
        <v>1.0962176353723565</v>
      </c>
      <c r="AN119" s="2">
        <f t="shared" si="48"/>
        <v>1.247874690456626</v>
      </c>
      <c r="AP119" s="2">
        <f t="shared" si="49"/>
        <v>1.5787915451171788</v>
      </c>
    </row>
    <row r="120" spans="4:42" x14ac:dyDescent="0.3">
      <c r="E120" t="s">
        <v>6</v>
      </c>
      <c r="F120">
        <v>20.9</v>
      </c>
      <c r="G120">
        <v>1.07</v>
      </c>
      <c r="H120">
        <v>0.93</v>
      </c>
      <c r="I120">
        <v>33.01</v>
      </c>
      <c r="J120">
        <v>11.81</v>
      </c>
      <c r="K120">
        <f t="shared" si="50"/>
        <v>8280</v>
      </c>
      <c r="L120">
        <f t="shared" si="9"/>
        <v>21.199999999999996</v>
      </c>
      <c r="M120">
        <f t="shared" si="10"/>
        <v>1</v>
      </c>
      <c r="N120" s="2">
        <f>FiberLength!D4*$C$2*PI()</f>
        <v>3.9144244463728818E-4</v>
      </c>
      <c r="O120" s="2">
        <f t="shared" si="17"/>
        <v>23.589470553562286</v>
      </c>
      <c r="Q120">
        <v>2.5000000000000001E-2</v>
      </c>
      <c r="S120">
        <v>0.25800000000000001</v>
      </c>
      <c r="U120">
        <v>0.51100000000000001</v>
      </c>
      <c r="W120">
        <v>0.83399999999999996</v>
      </c>
      <c r="Y120" s="2">
        <f t="shared" si="51"/>
        <v>6.0603249638005494E-2</v>
      </c>
      <c r="Z120" s="2">
        <f t="shared" si="52"/>
        <v>25.11129673854219</v>
      </c>
      <c r="AB120" s="2">
        <f t="shared" si="42"/>
        <v>3.1298983323575415E-5</v>
      </c>
      <c r="AD120" s="2">
        <f t="shared" si="43"/>
        <v>2.293420315626493E-5</v>
      </c>
      <c r="AF120" s="2">
        <f t="shared" si="44"/>
        <v>1.8686929247442137E-5</v>
      </c>
      <c r="AH120" s="2">
        <f t="shared" si="45"/>
        <v>1.4821554259072523E-5</v>
      </c>
      <c r="AJ120" s="2">
        <f t="shared" si="46"/>
        <v>1.0066197944515962</v>
      </c>
      <c r="AL120" s="2">
        <f t="shared" si="47"/>
        <v>1.1032000272550682</v>
      </c>
      <c r="AN120" s="2">
        <f t="shared" si="48"/>
        <v>1.2759446112146633</v>
      </c>
      <c r="AP120" s="2">
        <f t="shared" si="49"/>
        <v>1.6608954573949</v>
      </c>
    </row>
    <row r="121" spans="4:42" x14ac:dyDescent="0.3">
      <c r="E121" t="s">
        <v>7</v>
      </c>
      <c r="F121">
        <v>20.9</v>
      </c>
      <c r="G121">
        <v>1.07</v>
      </c>
      <c r="H121">
        <v>0.93</v>
      </c>
      <c r="I121">
        <v>33.33</v>
      </c>
      <c r="J121">
        <v>12.26</v>
      </c>
      <c r="K121">
        <f t="shared" si="50"/>
        <v>8280</v>
      </c>
      <c r="L121">
        <f t="shared" si="9"/>
        <v>21.07</v>
      </c>
      <c r="M121">
        <f t="shared" si="10"/>
        <v>1</v>
      </c>
      <c r="N121" s="2">
        <f>FiberLength!D5*$C$2*PI()</f>
        <v>3.9364155949480104E-4</v>
      </c>
      <c r="O121" s="2">
        <f t="shared" si="17"/>
        <v>23.313841502137986</v>
      </c>
      <c r="Q121">
        <v>2.4E-2</v>
      </c>
      <c r="S121">
        <v>0.252</v>
      </c>
      <c r="U121">
        <v>0.505</v>
      </c>
      <c r="W121">
        <v>0.83199999999999996</v>
      </c>
      <c r="Y121" s="2">
        <f t="shared" si="51"/>
        <v>5.9273120786704075E-2</v>
      </c>
      <c r="Z121" s="2">
        <f t="shared" si="52"/>
        <v>24.782795110133041</v>
      </c>
      <c r="AB121" s="2">
        <f t="shared" si="42"/>
        <v>3.1246999782987361E-5</v>
      </c>
      <c r="AD121" s="2">
        <f t="shared" si="43"/>
        <v>2.2884373807106609E-5</v>
      </c>
      <c r="AF121" s="2">
        <f t="shared" si="44"/>
        <v>1.8638066519813339E-5</v>
      </c>
      <c r="AH121" s="2">
        <f t="shared" si="45"/>
        <v>1.477288603115032E-5</v>
      </c>
      <c r="AJ121" s="2">
        <f t="shared" si="46"/>
        <v>1.0062745158570534</v>
      </c>
      <c r="AL121" s="2">
        <f t="shared" si="47"/>
        <v>1.0994599218970131</v>
      </c>
      <c r="AN121" s="2">
        <f t="shared" si="48"/>
        <v>1.2689042944479436</v>
      </c>
      <c r="AP121" s="2">
        <f t="shared" si="49"/>
        <v>1.6494161012915447</v>
      </c>
    </row>
    <row r="122" spans="4:42" x14ac:dyDescent="0.3">
      <c r="D122">
        <v>3</v>
      </c>
      <c r="E122" t="s">
        <v>4</v>
      </c>
      <c r="F122">
        <v>20.9</v>
      </c>
      <c r="G122">
        <v>1.07</v>
      </c>
      <c r="H122">
        <v>0.93</v>
      </c>
      <c r="I122">
        <v>22.82</v>
      </c>
      <c r="J122">
        <v>11.78</v>
      </c>
      <c r="K122">
        <f t="shared" si="50"/>
        <v>8280</v>
      </c>
      <c r="L122">
        <f t="shared" si="9"/>
        <v>11.040000000000001</v>
      </c>
      <c r="M122">
        <f t="shared" si="10"/>
        <v>1</v>
      </c>
      <c r="N122" s="2">
        <f>FiberLength!D6*$C$2*PI()</f>
        <v>3.9144244463728818E-4</v>
      </c>
      <c r="O122" s="2">
        <f t="shared" si="17"/>
        <v>12.284328061855081</v>
      </c>
      <c r="Q122">
        <v>4.2000000000000003E-2</v>
      </c>
      <c r="S122">
        <v>0.66400000000000003</v>
      </c>
      <c r="U122">
        <v>0.85</v>
      </c>
      <c r="W122">
        <v>0.96799999999999997</v>
      </c>
      <c r="X122">
        <v>1861</v>
      </c>
      <c r="Y122" s="2">
        <f t="shared" si="51"/>
        <v>9.6111318724875258E-2</v>
      </c>
      <c r="Z122" s="2">
        <f t="shared" si="52"/>
        <v>13.590532016094567</v>
      </c>
      <c r="AB122" s="2">
        <f t="shared" si="42"/>
        <v>2.9086711988843827E-5</v>
      </c>
      <c r="AD122" s="2">
        <f t="shared" si="43"/>
        <v>2.0822289689479651E-5</v>
      </c>
      <c r="AF122" s="2">
        <f t="shared" si="44"/>
        <v>1.6632992151489528E-5</v>
      </c>
      <c r="AH122" s="2">
        <f t="shared" si="45"/>
        <v>1.2812037557774546E-5</v>
      </c>
      <c r="AJ122" s="2">
        <f t="shared" si="46"/>
        <v>1.0055821038981489</v>
      </c>
      <c r="AL122" s="2">
        <f t="shared" si="47"/>
        <v>1.1301423977051159</v>
      </c>
      <c r="AN122" s="2">
        <f t="shared" si="48"/>
        <v>1.2193886101918057</v>
      </c>
      <c r="AP122" s="2">
        <f t="shared" si="49"/>
        <v>1.3514059828210565</v>
      </c>
    </row>
    <row r="123" spans="4:42" x14ac:dyDescent="0.3">
      <c r="E123" t="s">
        <v>5</v>
      </c>
      <c r="F123">
        <v>20.9</v>
      </c>
      <c r="G123">
        <v>1.07</v>
      </c>
      <c r="H123">
        <v>0.93</v>
      </c>
      <c r="I123">
        <v>23.7</v>
      </c>
      <c r="J123">
        <v>11.75</v>
      </c>
      <c r="K123">
        <f t="shared" si="50"/>
        <v>8280</v>
      </c>
      <c r="L123">
        <f t="shared" si="9"/>
        <v>11.95</v>
      </c>
      <c r="M123">
        <f t="shared" si="10"/>
        <v>1</v>
      </c>
      <c r="N123" s="2">
        <f>FiberLength!D7*$C$2*PI()</f>
        <v>3.8924332977977537E-4</v>
      </c>
      <c r="O123" s="2">
        <f t="shared" si="17"/>
        <v>13.37201865858713</v>
      </c>
      <c r="Q123">
        <v>4.2999999999999997E-2</v>
      </c>
      <c r="S123">
        <v>0.64400000000000002</v>
      </c>
      <c r="U123">
        <v>0.83499999999999996</v>
      </c>
      <c r="W123">
        <v>0.96299999999999997</v>
      </c>
      <c r="X123">
        <v>1924</v>
      </c>
      <c r="Y123" s="2">
        <f t="shared" si="51"/>
        <v>9.6038687892558497E-2</v>
      </c>
      <c r="Z123" s="2">
        <f t="shared" si="52"/>
        <v>14.792689111232431</v>
      </c>
      <c r="AB123" s="2">
        <f t="shared" si="42"/>
        <v>2.9308329245161114E-5</v>
      </c>
      <c r="AD123" s="2">
        <f t="shared" si="43"/>
        <v>2.103363420481701E-5</v>
      </c>
      <c r="AF123" s="2">
        <f t="shared" si="44"/>
        <v>1.6837485210191668E-5</v>
      </c>
      <c r="AH123" s="2">
        <f t="shared" si="45"/>
        <v>1.3009397379579419E-5</v>
      </c>
      <c r="AJ123" s="2">
        <f t="shared" si="46"/>
        <v>1.0062406065966896</v>
      </c>
      <c r="AL123" s="2">
        <f t="shared" si="47"/>
        <v>1.1381188328666034</v>
      </c>
      <c r="AN123" s="2">
        <f t="shared" si="48"/>
        <v>1.2363451214694847</v>
      </c>
      <c r="AP123" s="2">
        <f t="shared" si="49"/>
        <v>1.3848343300614778</v>
      </c>
    </row>
    <row r="124" spans="4:42" x14ac:dyDescent="0.3">
      <c r="E124" t="s">
        <v>6</v>
      </c>
      <c r="F124">
        <v>20.9</v>
      </c>
      <c r="G124">
        <v>1.07</v>
      </c>
      <c r="H124">
        <v>0.93</v>
      </c>
      <c r="I124">
        <v>22.88</v>
      </c>
      <c r="J124">
        <v>11.8</v>
      </c>
      <c r="K124">
        <f t="shared" si="50"/>
        <v>8280</v>
      </c>
      <c r="L124">
        <f t="shared" si="9"/>
        <v>11.079999999999998</v>
      </c>
      <c r="M124">
        <f t="shared" si="10"/>
        <v>1</v>
      </c>
      <c r="N124" s="2">
        <f>FiberLength!D8*$C$2*PI()</f>
        <v>3.8484510006474965E-4</v>
      </c>
      <c r="O124" s="2">
        <f t="shared" si="17"/>
        <v>12.540187979665145</v>
      </c>
      <c r="Q124">
        <v>4.2999999999999997E-2</v>
      </c>
      <c r="S124">
        <v>0.71399999999999997</v>
      </c>
      <c r="U124">
        <v>0.88300000000000001</v>
      </c>
      <c r="W124">
        <v>0.98</v>
      </c>
      <c r="X124">
        <v>1658</v>
      </c>
      <c r="Y124" s="2">
        <f t="shared" si="51"/>
        <v>0.10157016771438031</v>
      </c>
      <c r="Z124" s="2">
        <f t="shared" si="52"/>
        <v>13.957893570567117</v>
      </c>
      <c r="AB124" s="2">
        <f t="shared" si="42"/>
        <v>2.9139054495598707E-5</v>
      </c>
      <c r="AD124" s="2">
        <f t="shared" si="43"/>
        <v>2.0872215759429914E-5</v>
      </c>
      <c r="AF124" s="2">
        <f t="shared" si="44"/>
        <v>1.6681292192601703E-5</v>
      </c>
      <c r="AH124" s="2">
        <f t="shared" si="45"/>
        <v>1.2858617487122787E-5</v>
      </c>
      <c r="AJ124" s="2">
        <f t="shared" si="46"/>
        <v>1.0058383033770457</v>
      </c>
      <c r="AL124" s="2">
        <f t="shared" si="47"/>
        <v>1.1430307417270378</v>
      </c>
      <c r="AN124" s="2">
        <f t="shared" si="48"/>
        <v>1.2330543414072712</v>
      </c>
      <c r="AP124" s="2">
        <f t="shared" si="49"/>
        <v>1.3641208944770522</v>
      </c>
    </row>
    <row r="125" spans="4:42" x14ac:dyDescent="0.3">
      <c r="E125" t="s">
        <v>7</v>
      </c>
      <c r="F125">
        <v>20.9</v>
      </c>
      <c r="G125">
        <v>1.07</v>
      </c>
      <c r="H125">
        <v>0.93</v>
      </c>
      <c r="I125">
        <v>23.77</v>
      </c>
      <c r="J125">
        <v>11.81</v>
      </c>
      <c r="K125">
        <f t="shared" si="50"/>
        <v>8280</v>
      </c>
      <c r="L125">
        <f t="shared" si="9"/>
        <v>11.959999999999999</v>
      </c>
      <c r="M125">
        <f t="shared" si="10"/>
        <v>1</v>
      </c>
      <c r="N125" s="2">
        <f>FiberLength!D9*$C$2*PI()</f>
        <v>3.9364155949480104E-4</v>
      </c>
      <c r="O125" s="2">
        <f t="shared" si="17"/>
        <v>13.233675575015205</v>
      </c>
      <c r="Q125">
        <v>4.3999999999999997E-2</v>
      </c>
      <c r="S125">
        <v>0.61799999999999999</v>
      </c>
      <c r="U125">
        <v>0.81100000000000005</v>
      </c>
      <c r="W125">
        <v>0.95299999999999996</v>
      </c>
      <c r="X125">
        <v>1990</v>
      </c>
      <c r="Y125" s="2">
        <f t="shared" si="51"/>
        <v>9.330949052038523E-2</v>
      </c>
      <c r="Z125" s="2">
        <f t="shared" si="52"/>
        <v>14.59558188450713</v>
      </c>
      <c r="AB125" s="2">
        <f t="shared" si="42"/>
        <v>2.9280269912796179E-5</v>
      </c>
      <c r="AD125" s="2">
        <f t="shared" si="43"/>
        <v>2.1006880924558538E-5</v>
      </c>
      <c r="AF125" s="2">
        <f t="shared" si="44"/>
        <v>1.6811594017193776E-5</v>
      </c>
      <c r="AH125" s="2">
        <f t="shared" si="45"/>
        <v>1.298438677059776E-5</v>
      </c>
      <c r="AJ125" s="2">
        <f t="shared" si="46"/>
        <v>1.0063171126089916</v>
      </c>
      <c r="AL125" s="2">
        <f t="shared" si="47"/>
        <v>1.1310829919975287</v>
      </c>
      <c r="AN125" s="2">
        <f t="shared" si="48"/>
        <v>1.2269602566933335</v>
      </c>
      <c r="AP125" s="2">
        <f t="shared" si="49"/>
        <v>1.3763547855886431</v>
      </c>
    </row>
    <row r="126" spans="4:42" x14ac:dyDescent="0.3">
      <c r="D126">
        <v>4</v>
      </c>
      <c r="E126" t="s">
        <v>4</v>
      </c>
      <c r="F126">
        <v>20.9</v>
      </c>
      <c r="G126">
        <v>1.07</v>
      </c>
      <c r="H126">
        <v>0.93</v>
      </c>
      <c r="I126">
        <v>21.24</v>
      </c>
      <c r="J126">
        <v>11.73</v>
      </c>
      <c r="K126">
        <f t="shared" si="50"/>
        <v>8280</v>
      </c>
      <c r="L126">
        <f t="shared" si="9"/>
        <v>9.509999999999998</v>
      </c>
      <c r="M126">
        <f t="shared" si="10"/>
        <v>1</v>
      </c>
      <c r="N126" s="2">
        <f>FiberLength!D10*$C$2*PI()</f>
        <v>3.9144244463728818E-4</v>
      </c>
      <c r="O126" s="2">
        <f t="shared" si="17"/>
        <v>10.581880422847988</v>
      </c>
      <c r="Q126">
        <v>5.5E-2</v>
      </c>
      <c r="S126">
        <v>0.90400000000000003</v>
      </c>
      <c r="U126">
        <v>0.98399999999999999</v>
      </c>
      <c r="W126">
        <v>0.997</v>
      </c>
      <c r="X126">
        <v>380</v>
      </c>
      <c r="Y126" s="2">
        <f t="shared" si="51"/>
        <v>0.11824190892188453</v>
      </c>
      <c r="Z126" s="2">
        <f t="shared" si="52"/>
        <v>12.000888372807156</v>
      </c>
      <c r="AB126" s="2">
        <f t="shared" si="42"/>
        <v>2.8734899687316305E-5</v>
      </c>
      <c r="AD126" s="2">
        <f t="shared" si="43"/>
        <v>2.0486494175205131E-5</v>
      </c>
      <c r="AF126" s="2">
        <f t="shared" si="44"/>
        <v>1.6308186361240273E-5</v>
      </c>
      <c r="AH126" s="2">
        <f t="shared" si="45"/>
        <v>1.2499260762785535E-5</v>
      </c>
      <c r="AJ126" s="2">
        <f t="shared" si="46"/>
        <v>1.0062672826618433</v>
      </c>
      <c r="AL126" s="2">
        <f t="shared" si="47"/>
        <v>1.1514341590968349</v>
      </c>
      <c r="AN126" s="2">
        <f t="shared" si="48"/>
        <v>1.2163534519960035</v>
      </c>
      <c r="AP126" s="2">
        <f t="shared" si="49"/>
        <v>1.3065522092574773</v>
      </c>
    </row>
    <row r="127" spans="4:42" x14ac:dyDescent="0.3">
      <c r="E127" t="s">
        <v>5</v>
      </c>
      <c r="F127">
        <v>20.9</v>
      </c>
      <c r="G127">
        <v>1.07</v>
      </c>
      <c r="H127">
        <v>0.93</v>
      </c>
      <c r="I127">
        <v>22.19</v>
      </c>
      <c r="J127">
        <v>12.34</v>
      </c>
      <c r="K127">
        <f t="shared" si="50"/>
        <v>8280</v>
      </c>
      <c r="L127">
        <f t="shared" si="9"/>
        <v>9.8500000000000014</v>
      </c>
      <c r="M127">
        <f t="shared" si="10"/>
        <v>1</v>
      </c>
      <c r="N127" s="2">
        <f>FiberLength!D11*$C$2*PI()</f>
        <v>3.9144244463728818E-4</v>
      </c>
      <c r="O127" s="2">
        <f t="shared" si="17"/>
        <v>10.960202120405123</v>
      </c>
      <c r="Q127">
        <v>5.2999999999999999E-2</v>
      </c>
      <c r="S127">
        <v>0.871</v>
      </c>
      <c r="U127">
        <v>0.95599999999999996</v>
      </c>
      <c r="W127">
        <v>0.99199999999999999</v>
      </c>
      <c r="X127">
        <v>525</v>
      </c>
      <c r="Y127" s="2">
        <f t="shared" si="51"/>
        <v>0.11517527062813564</v>
      </c>
      <c r="Z127" s="2">
        <f t="shared" si="52"/>
        <v>12.386862342992778</v>
      </c>
      <c r="AB127" s="2">
        <f t="shared" si="42"/>
        <v>2.8813632195925099E-5</v>
      </c>
      <c r="AD127" s="2">
        <f t="shared" si="43"/>
        <v>2.0561682184998105E-5</v>
      </c>
      <c r="AF127" s="2">
        <f t="shared" si="44"/>
        <v>1.6380911530040778E-5</v>
      </c>
      <c r="AH127" s="2">
        <f t="shared" si="45"/>
        <v>1.256923217568932E-5</v>
      </c>
      <c r="AJ127" s="2">
        <f t="shared" si="46"/>
        <v>1.0062616984413135</v>
      </c>
      <c r="AL127" s="2">
        <f t="shared" si="47"/>
        <v>1.1513805173787925</v>
      </c>
      <c r="AN127" s="2">
        <f t="shared" si="48"/>
        <v>1.2182403178750976</v>
      </c>
      <c r="AP127" s="2">
        <f t="shared" si="49"/>
        <v>1.3170844823081915</v>
      </c>
    </row>
    <row r="128" spans="4:42" x14ac:dyDescent="0.3">
      <c r="E128" t="s">
        <v>6</v>
      </c>
      <c r="F128">
        <v>20.9</v>
      </c>
      <c r="G128">
        <v>1.07</v>
      </c>
      <c r="H128">
        <v>0.93</v>
      </c>
      <c r="I128">
        <v>20.84</v>
      </c>
      <c r="J128">
        <v>11.85</v>
      </c>
      <c r="K128">
        <f t="shared" si="50"/>
        <v>8280</v>
      </c>
      <c r="L128">
        <f t="shared" si="9"/>
        <v>8.99</v>
      </c>
      <c r="M128">
        <f t="shared" si="10"/>
        <v>1</v>
      </c>
      <c r="N128" s="2">
        <f>FiberLength!D12*$C$2*PI()</f>
        <v>3.9364155949480104E-4</v>
      </c>
      <c r="O128" s="2">
        <f t="shared" si="17"/>
        <v>9.9473865735273161</v>
      </c>
      <c r="Q128">
        <v>4.9000000000000002E-2</v>
      </c>
      <c r="S128">
        <v>0.86699999999999999</v>
      </c>
      <c r="U128">
        <v>0.95899999999999996</v>
      </c>
      <c r="W128">
        <v>0.99299999999999999</v>
      </c>
      <c r="X128">
        <v>525</v>
      </c>
      <c r="Y128" s="2">
        <f t="shared" si="51"/>
        <v>0.11216403673350488</v>
      </c>
      <c r="Z128" s="2">
        <f t="shared" si="52"/>
        <v>11.204081592875825</v>
      </c>
      <c r="AB128" s="2">
        <f t="shared" si="42"/>
        <v>2.8602104000806788E-5</v>
      </c>
      <c r="AD128" s="2">
        <f t="shared" si="43"/>
        <v>2.0359612939045642E-5</v>
      </c>
      <c r="AF128" s="2">
        <f t="shared" si="44"/>
        <v>1.6185452118972108E-5</v>
      </c>
      <c r="AH128" s="2">
        <f t="shared" si="45"/>
        <v>1.238123377140066E-5</v>
      </c>
      <c r="AJ128" s="2">
        <f t="shared" si="46"/>
        <v>1.0052399586958145</v>
      </c>
      <c r="AL128" s="2">
        <f t="shared" si="47"/>
        <v>1.1361446352071984</v>
      </c>
      <c r="AN128" s="2">
        <f t="shared" si="48"/>
        <v>1.1974233471476139</v>
      </c>
      <c r="AP128" s="2">
        <f t="shared" si="49"/>
        <v>1.2852776657397327</v>
      </c>
    </row>
    <row r="129" spans="4:42" x14ac:dyDescent="0.3">
      <c r="E129" t="s">
        <v>7</v>
      </c>
      <c r="F129">
        <v>20.9</v>
      </c>
      <c r="G129">
        <v>1.07</v>
      </c>
      <c r="H129">
        <v>0.93</v>
      </c>
      <c r="I129">
        <v>21.47</v>
      </c>
      <c r="J129">
        <v>11.8</v>
      </c>
      <c r="K129">
        <f t="shared" si="50"/>
        <v>8280</v>
      </c>
      <c r="L129">
        <f t="shared" si="9"/>
        <v>9.6699999999999982</v>
      </c>
      <c r="M129">
        <f t="shared" si="10"/>
        <v>1</v>
      </c>
      <c r="N129" s="2">
        <f>FiberLength!D13*$C$2*PI()</f>
        <v>3.9364155949480104E-4</v>
      </c>
      <c r="O129" s="2">
        <f t="shared" si="17"/>
        <v>10.699802910568312</v>
      </c>
      <c r="Q129">
        <v>5.0999999999999997E-2</v>
      </c>
      <c r="S129">
        <v>0.88200000000000001</v>
      </c>
      <c r="U129">
        <v>0.96599999999999997</v>
      </c>
      <c r="W129">
        <v>0.995</v>
      </c>
      <c r="X129">
        <v>455</v>
      </c>
      <c r="Y129" s="2">
        <f t="shared" si="51"/>
        <v>0.11530859952214025</v>
      </c>
      <c r="Z129" s="2">
        <f t="shared" si="52"/>
        <v>12.094390094431674</v>
      </c>
      <c r="AB129" s="2">
        <f t="shared" si="42"/>
        <v>2.8759475728118964E-5</v>
      </c>
      <c r="AD129" s="2">
        <f t="shared" si="43"/>
        <v>2.0509966660135092E-5</v>
      </c>
      <c r="AF129" s="2">
        <f t="shared" si="44"/>
        <v>1.6330890231727864E-5</v>
      </c>
      <c r="AH129" s="2">
        <f t="shared" si="45"/>
        <v>1.2521101808051545E-5</v>
      </c>
      <c r="AJ129" s="2">
        <f t="shared" si="46"/>
        <v>1.0058781063826483</v>
      </c>
      <c r="AL129" s="2">
        <f t="shared" si="47"/>
        <v>1.1494743830420155</v>
      </c>
      <c r="AN129" s="2">
        <f t="shared" si="48"/>
        <v>1.2149242733247418</v>
      </c>
      <c r="AP129" s="2">
        <f t="shared" si="49"/>
        <v>1.3097001754001907</v>
      </c>
    </row>
    <row r="130" spans="4:42" x14ac:dyDescent="0.3">
      <c r="D130">
        <v>6</v>
      </c>
      <c r="E130" t="s">
        <v>4</v>
      </c>
      <c r="F130">
        <v>20.9</v>
      </c>
      <c r="G130">
        <v>1.07</v>
      </c>
      <c r="H130">
        <v>0.93</v>
      </c>
      <c r="I130">
        <v>20.350000000000001</v>
      </c>
      <c r="J130">
        <v>11.79</v>
      </c>
      <c r="K130">
        <f t="shared" si="50"/>
        <v>8280</v>
      </c>
      <c r="L130">
        <f t="shared" si="9"/>
        <v>8.5600000000000023</v>
      </c>
      <c r="M130">
        <f t="shared" si="10"/>
        <v>1</v>
      </c>
      <c r="N130" s="2">
        <f>FiberLength!D14*$C$2*PI()</f>
        <v>3.9144244463728818E-4</v>
      </c>
      <c r="O130" s="2">
        <f t="shared" si="17"/>
        <v>9.5248050914383633</v>
      </c>
      <c r="Q130">
        <v>5.5E-2</v>
      </c>
      <c r="S130">
        <v>0.94499999999999995</v>
      </c>
      <c r="U130">
        <v>0.998</v>
      </c>
      <c r="W130">
        <v>0.997</v>
      </c>
      <c r="X130">
        <v>311</v>
      </c>
      <c r="Y130" s="2">
        <f t="shared" si="51"/>
        <v>0.11958636636683853</v>
      </c>
      <c r="Z130" s="2">
        <f t="shared" si="52"/>
        <v>10.818557014085298</v>
      </c>
      <c r="AB130" s="2">
        <f t="shared" si="42"/>
        <v>2.8513117951784603E-5</v>
      </c>
      <c r="AD130" s="2">
        <f t="shared" si="43"/>
        <v>2.0274539926735865E-5</v>
      </c>
      <c r="AF130" s="2">
        <f t="shared" si="44"/>
        <v>1.610314789666649E-5</v>
      </c>
      <c r="AH130" s="2">
        <f t="shared" si="45"/>
        <v>1.2302119564284549E-5</v>
      </c>
      <c r="AJ130" s="2">
        <f t="shared" si="46"/>
        <v>1.0056255441240152</v>
      </c>
      <c r="AL130" s="2">
        <f t="shared" si="47"/>
        <v>1.1418285365678271</v>
      </c>
      <c r="AN130" s="2">
        <f t="shared" si="48"/>
        <v>1.1962112870385615</v>
      </c>
      <c r="AP130" s="2">
        <f t="shared" si="49"/>
        <v>1.2731720043836883</v>
      </c>
    </row>
    <row r="131" spans="4:42" x14ac:dyDescent="0.3">
      <c r="E131" t="s">
        <v>5</v>
      </c>
      <c r="F131">
        <v>20.9</v>
      </c>
      <c r="G131">
        <v>1.07</v>
      </c>
      <c r="H131">
        <v>0.93</v>
      </c>
      <c r="I131">
        <v>20.13</v>
      </c>
      <c r="J131">
        <v>11.72</v>
      </c>
      <c r="K131">
        <f t="shared" si="50"/>
        <v>8280</v>
      </c>
      <c r="L131">
        <f t="shared" si="9"/>
        <v>8.4099999999999984</v>
      </c>
      <c r="M131">
        <f t="shared" si="10"/>
        <v>1</v>
      </c>
      <c r="N131" s="2">
        <f>FiberLength!D15*$C$2*PI()</f>
        <v>3.9364155949480104E-4</v>
      </c>
      <c r="O131" s="2">
        <f t="shared" si="17"/>
        <v>9.3056196978158745</v>
      </c>
      <c r="Q131">
        <v>5.3999999999999999E-2</v>
      </c>
      <c r="S131">
        <v>0.94499999999999995</v>
      </c>
      <c r="U131">
        <v>0.998</v>
      </c>
      <c r="W131">
        <v>0.997</v>
      </c>
      <c r="X131">
        <v>310</v>
      </c>
      <c r="Y131" s="2">
        <f t="shared" si="51"/>
        <v>0.11892443076907254</v>
      </c>
      <c r="Z131" s="2">
        <f t="shared" si="52"/>
        <v>10.561658979988012</v>
      </c>
      <c r="AB131" s="2">
        <f t="shared" si="42"/>
        <v>2.8466785733225545E-5</v>
      </c>
      <c r="AD131" s="2">
        <f t="shared" si="43"/>
        <v>2.0230227617905611E-5</v>
      </c>
      <c r="AF131" s="2">
        <f t="shared" si="44"/>
        <v>1.6060272501283801E-5</v>
      </c>
      <c r="AH131" s="2">
        <f t="shared" si="45"/>
        <v>1.2260914041566055E-5</v>
      </c>
      <c r="AJ131" s="2">
        <f t="shared" si="46"/>
        <v>1.0053931257749718</v>
      </c>
      <c r="AL131" s="2">
        <f t="shared" si="47"/>
        <v>1.1384346294311039</v>
      </c>
      <c r="AN131" s="2">
        <f t="shared" si="48"/>
        <v>1.1914398649768945</v>
      </c>
      <c r="AP131" s="2">
        <f t="shared" si="49"/>
        <v>1.2663429553028911</v>
      </c>
    </row>
    <row r="132" spans="4:42" x14ac:dyDescent="0.3">
      <c r="E132" t="s">
        <v>6</v>
      </c>
      <c r="F132">
        <v>20.9</v>
      </c>
      <c r="G132">
        <v>1.07</v>
      </c>
      <c r="H132">
        <v>0.93</v>
      </c>
      <c r="I132">
        <v>20.59</v>
      </c>
      <c r="J132">
        <v>11.8</v>
      </c>
      <c r="K132">
        <f t="shared" si="50"/>
        <v>8280</v>
      </c>
      <c r="L132">
        <f t="shared" si="9"/>
        <v>8.7899999999999991</v>
      </c>
      <c r="M132">
        <f t="shared" si="10"/>
        <v>1</v>
      </c>
      <c r="N132" s="2">
        <f>FiberLength!D16*$C$2*PI()</f>
        <v>3.9144244463728818E-4</v>
      </c>
      <c r="O132" s="2">
        <f t="shared" si="17"/>
        <v>9.7807285927270069</v>
      </c>
      <c r="Q132">
        <v>5.8000000000000003E-2</v>
      </c>
      <c r="S132">
        <v>0.94499999999999995</v>
      </c>
      <c r="U132">
        <v>0.998</v>
      </c>
      <c r="W132">
        <v>0.997</v>
      </c>
      <c r="X132">
        <v>310</v>
      </c>
      <c r="Y132" s="2">
        <f t="shared" si="51"/>
        <v>0.12082765549883723</v>
      </c>
      <c r="Z132" s="2">
        <f t="shared" si="52"/>
        <v>11.124927500166688</v>
      </c>
      <c r="AB132" s="2">
        <f t="shared" si="42"/>
        <v>2.8567062521478767E-5</v>
      </c>
      <c r="AD132" s="2">
        <f t="shared" si="43"/>
        <v>2.0326117457022513E-5</v>
      </c>
      <c r="AF132" s="2">
        <f t="shared" si="44"/>
        <v>1.6153048196883763E-5</v>
      </c>
      <c r="AH132" s="2">
        <f t="shared" si="45"/>
        <v>1.235008306492911E-5</v>
      </c>
      <c r="AJ132" s="2">
        <f t="shared" si="46"/>
        <v>1.0060958307836441</v>
      </c>
      <c r="AL132" s="2">
        <f t="shared" si="47"/>
        <v>1.1458007290692995</v>
      </c>
      <c r="AN132" s="2">
        <f t="shared" si="48"/>
        <v>1.2018010690762853</v>
      </c>
      <c r="AP132" s="2">
        <f t="shared" si="49"/>
        <v>1.2811853285072765</v>
      </c>
    </row>
    <row r="133" spans="4:42" x14ac:dyDescent="0.3">
      <c r="E133" t="s">
        <v>7</v>
      </c>
      <c r="F133">
        <v>20.9</v>
      </c>
      <c r="G133">
        <v>1.07</v>
      </c>
      <c r="H133">
        <v>0.93</v>
      </c>
      <c r="I133">
        <v>20.57</v>
      </c>
      <c r="J133">
        <v>11.7</v>
      </c>
      <c r="K133">
        <f t="shared" si="50"/>
        <v>8280</v>
      </c>
      <c r="L133">
        <f t="shared" si="9"/>
        <v>8.870000000000001</v>
      </c>
      <c r="M133">
        <f t="shared" si="10"/>
        <v>1</v>
      </c>
      <c r="N133" s="2">
        <f>FiberLength!D17*$C$2*PI()</f>
        <v>3.9364155949480104E-4</v>
      </c>
      <c r="O133" s="2">
        <f t="shared" si="17"/>
        <v>9.8146072199318457</v>
      </c>
      <c r="Q133">
        <v>5.7000000000000002E-2</v>
      </c>
      <c r="S133">
        <v>0.94399999999999995</v>
      </c>
      <c r="U133">
        <v>0.998</v>
      </c>
      <c r="W133">
        <v>0.997</v>
      </c>
      <c r="X133">
        <v>312</v>
      </c>
      <c r="Y133" s="2">
        <f t="shared" si="51"/>
        <v>0.1205668899847946</v>
      </c>
      <c r="Z133" s="2">
        <f t="shared" si="52"/>
        <v>11.160152043584247</v>
      </c>
      <c r="AB133" s="2">
        <f t="shared" si="42"/>
        <v>2.857419137149188E-5</v>
      </c>
      <c r="AD133" s="2">
        <f t="shared" si="43"/>
        <v>2.0332932314323021E-5</v>
      </c>
      <c r="AF133" s="2">
        <f t="shared" si="44"/>
        <v>1.6159641107431814E-5</v>
      </c>
      <c r="AH133" s="2">
        <f t="shared" si="45"/>
        <v>1.2356420690920293E-5</v>
      </c>
      <c r="AJ133" s="2">
        <f t="shared" si="46"/>
        <v>1.0060120117294118</v>
      </c>
      <c r="AL133" s="2">
        <f t="shared" si="47"/>
        <v>1.1461724828678359</v>
      </c>
      <c r="AN133" s="2">
        <f t="shared" si="48"/>
        <v>1.2025425474756621</v>
      </c>
      <c r="AP133" s="2">
        <f t="shared" si="49"/>
        <v>1.2822493429787409</v>
      </c>
    </row>
    <row r="134" spans="4:42" x14ac:dyDescent="0.3">
      <c r="D134">
        <v>2</v>
      </c>
      <c r="E134" t="s">
        <v>4</v>
      </c>
      <c r="F134">
        <v>20.6</v>
      </c>
      <c r="G134">
        <v>3.08</v>
      </c>
      <c r="H134">
        <v>2.92</v>
      </c>
      <c r="I134">
        <v>34.57</v>
      </c>
      <c r="J134">
        <v>11.77</v>
      </c>
      <c r="K134">
        <f>60*60</f>
        <v>3600</v>
      </c>
      <c r="L134">
        <f t="shared" si="9"/>
        <v>22.8</v>
      </c>
      <c r="M134">
        <f t="shared" si="10"/>
        <v>3</v>
      </c>
      <c r="N134" s="2">
        <f>FiberLength!D2*$C$2*PI()</f>
        <v>3.9144244463728818E-4</v>
      </c>
      <c r="O134" s="2">
        <f t="shared" si="17"/>
        <v>58.350558293811631</v>
      </c>
      <c r="Q134">
        <v>6.7000000000000004E-2</v>
      </c>
      <c r="S134">
        <v>0.38300000000000001</v>
      </c>
      <c r="U134">
        <v>0.59299999999999997</v>
      </c>
      <c r="W134">
        <v>0.82599999999999996</v>
      </c>
      <c r="Y134" s="2">
        <f t="shared" si="51"/>
        <v>0.14838734870065096</v>
      </c>
      <c r="Z134" s="2">
        <f t="shared" si="52"/>
        <v>20.462301661911887</v>
      </c>
      <c r="AB134" s="2">
        <f t="shared" si="42"/>
        <v>3.7537622769903331E-5</v>
      </c>
      <c r="AD134" s="2">
        <f t="shared" si="43"/>
        <v>2.9125506869917183E-5</v>
      </c>
      <c r="AF134" s="2">
        <f t="shared" si="44"/>
        <v>2.4987447092590502E-5</v>
      </c>
      <c r="AH134" s="2">
        <f t="shared" si="45"/>
        <v>2.1435768282381586E-5</v>
      </c>
      <c r="AJ134" s="2">
        <f t="shared" si="46"/>
        <v>1.050914805342261</v>
      </c>
      <c r="AL134" s="2">
        <f t="shared" si="47"/>
        <v>1.4805947351214508</v>
      </c>
      <c r="AN134" s="2">
        <f t="shared" si="48"/>
        <v>2.0948489431373796</v>
      </c>
      <c r="AP134" s="2">
        <f t="shared" si="49"/>
        <v>3.5612195578345984</v>
      </c>
    </row>
    <row r="135" spans="4:42" x14ac:dyDescent="0.3">
      <c r="E135" t="s">
        <v>5</v>
      </c>
      <c r="F135">
        <v>20.6</v>
      </c>
      <c r="G135">
        <v>3.08</v>
      </c>
      <c r="H135">
        <v>2.92</v>
      </c>
      <c r="I135">
        <v>33.47</v>
      </c>
      <c r="J135">
        <v>11.79</v>
      </c>
      <c r="K135">
        <f t="shared" ref="K135:K149" si="53">60*60</f>
        <v>3600</v>
      </c>
      <c r="L135">
        <f t="shared" ref="L135:L198" si="54">I135-J135</f>
        <v>21.68</v>
      </c>
      <c r="M135">
        <f t="shared" ref="M135:M198" si="55">(G135+H135)/2</f>
        <v>3</v>
      </c>
      <c r="N135" s="2">
        <f>FiberLength!D3*$C$2*PI()</f>
        <v>3.9364155949480104E-4</v>
      </c>
      <c r="O135" s="2">
        <f t="shared" si="17"/>
        <v>55.174247397371083</v>
      </c>
      <c r="Q135">
        <v>7.4999999999999997E-2</v>
      </c>
      <c r="S135">
        <v>0.42399999999999999</v>
      </c>
      <c r="U135">
        <v>0.63400000000000001</v>
      </c>
      <c r="W135">
        <v>0.85499999999999998</v>
      </c>
      <c r="Y135" s="2">
        <f t="shared" si="51"/>
        <v>0.15329079592392755</v>
      </c>
      <c r="Z135" s="2">
        <f t="shared" si="52"/>
        <v>19.381764501400284</v>
      </c>
      <c r="AB135" s="2">
        <f t="shared" si="42"/>
        <v>3.6977459671306392E-5</v>
      </c>
      <c r="AD135" s="2">
        <f t="shared" si="43"/>
        <v>2.8549277681041417E-5</v>
      </c>
      <c r="AF135" s="2">
        <f t="shared" si="44"/>
        <v>2.438333868181385E-5</v>
      </c>
      <c r="AH135" s="2">
        <f t="shared" si="45"/>
        <v>2.0781452948581931E-5</v>
      </c>
      <c r="AJ135" s="2">
        <f t="shared" si="46"/>
        <v>1.0530898633248682</v>
      </c>
      <c r="AL135" s="2">
        <f t="shared" si="47"/>
        <v>1.4914355413161493</v>
      </c>
      <c r="AN135" s="2">
        <f t="shared" si="48"/>
        <v>2.0728306940003667</v>
      </c>
      <c r="AP135" s="2">
        <f t="shared" si="49"/>
        <v>3.4020582431507411</v>
      </c>
    </row>
    <row r="136" spans="4:42" x14ac:dyDescent="0.3">
      <c r="E136" t="s">
        <v>6</v>
      </c>
      <c r="F136">
        <v>20.6</v>
      </c>
      <c r="G136">
        <v>3.08</v>
      </c>
      <c r="H136">
        <v>2.92</v>
      </c>
      <c r="I136">
        <v>35.520000000000003</v>
      </c>
      <c r="J136">
        <v>11.81</v>
      </c>
      <c r="K136">
        <f t="shared" si="53"/>
        <v>3600</v>
      </c>
      <c r="L136">
        <f t="shared" si="54"/>
        <v>23.71</v>
      </c>
      <c r="M136">
        <f t="shared" si="55"/>
        <v>3</v>
      </c>
      <c r="N136" s="2">
        <f>FiberLength!D4*$C$2*PI()</f>
        <v>3.9144244463728818E-4</v>
      </c>
      <c r="O136" s="2">
        <f t="shared" si="17"/>
        <v>60.679462155538332</v>
      </c>
      <c r="Q136">
        <v>7.0999999999999994E-2</v>
      </c>
      <c r="S136">
        <v>0.40600000000000003</v>
      </c>
      <c r="U136">
        <v>0.625</v>
      </c>
      <c r="W136">
        <v>0.85399999999999998</v>
      </c>
      <c r="Y136" s="2">
        <f t="shared" si="51"/>
        <v>0.16212924836224729</v>
      </c>
      <c r="Z136" s="2">
        <f t="shared" si="52"/>
        <v>21.382038671253735</v>
      </c>
      <c r="AB136" s="2">
        <f t="shared" si="42"/>
        <v>3.7948759409115802E-5</v>
      </c>
      <c r="AD136" s="2">
        <f t="shared" si="43"/>
        <v>2.9550986469771751E-5</v>
      </c>
      <c r="AF136" s="2">
        <f t="shared" si="44"/>
        <v>2.5435232655529407E-5</v>
      </c>
      <c r="AH136" s="2">
        <f t="shared" si="45"/>
        <v>2.1922034587235865E-5</v>
      </c>
      <c r="AJ136" s="2">
        <f t="shared" si="46"/>
        <v>1.0567351156784019</v>
      </c>
      <c r="AL136" s="2">
        <f t="shared" si="47"/>
        <v>1.5390297039294358</v>
      </c>
      <c r="AN136" s="2">
        <f t="shared" si="48"/>
        <v>2.2278370483316898</v>
      </c>
      <c r="AP136" s="2">
        <f t="shared" si="49"/>
        <v>3.8410445025452851</v>
      </c>
    </row>
    <row r="137" spans="4:42" x14ac:dyDescent="0.3">
      <c r="E137" t="s">
        <v>7</v>
      </c>
      <c r="F137">
        <v>20.6</v>
      </c>
      <c r="G137">
        <v>3.08</v>
      </c>
      <c r="H137">
        <v>2.92</v>
      </c>
      <c r="I137">
        <v>35.67</v>
      </c>
      <c r="J137">
        <v>12.26</v>
      </c>
      <c r="K137">
        <f t="shared" si="53"/>
        <v>3600</v>
      </c>
      <c r="L137">
        <f t="shared" si="54"/>
        <v>23.410000000000004</v>
      </c>
      <c r="M137">
        <f t="shared" si="55"/>
        <v>3</v>
      </c>
      <c r="N137" s="2">
        <f>FiberLength!D5*$C$2*PI()</f>
        <v>3.9364155949480104E-4</v>
      </c>
      <c r="O137" s="2">
        <f t="shared" si="17"/>
        <v>59.576989463674231</v>
      </c>
      <c r="Q137">
        <v>6.8000000000000005E-2</v>
      </c>
      <c r="S137">
        <v>0.39500000000000002</v>
      </c>
      <c r="U137">
        <v>0.61499999999999999</v>
      </c>
      <c r="W137">
        <v>0.84799999999999998</v>
      </c>
      <c r="Y137" s="2">
        <f t="shared" si="51"/>
        <v>0.15567273592990272</v>
      </c>
      <c r="Z137" s="2">
        <f t="shared" si="52"/>
        <v>20.945898250267582</v>
      </c>
      <c r="AB137" s="2">
        <f t="shared" si="42"/>
        <v>3.7754073669886941E-5</v>
      </c>
      <c r="AD137" s="2">
        <f t="shared" si="43"/>
        <v>2.9349243855820105E-5</v>
      </c>
      <c r="AF137" s="2">
        <f t="shared" si="44"/>
        <v>2.5222740801067303E-5</v>
      </c>
      <c r="AH137" s="2">
        <f t="shared" si="45"/>
        <v>2.1691163285259841E-5</v>
      </c>
      <c r="AJ137" s="2">
        <f t="shared" si="46"/>
        <v>1.0530699322953949</v>
      </c>
      <c r="AL137" s="2">
        <f t="shared" si="47"/>
        <v>1.5106936533263424</v>
      </c>
      <c r="AN137" s="2">
        <f t="shared" si="48"/>
        <v>2.1734184902354197</v>
      </c>
      <c r="AP137" s="2">
        <f t="shared" si="49"/>
        <v>3.7292283337779124</v>
      </c>
    </row>
    <row r="138" spans="4:42" x14ac:dyDescent="0.3">
      <c r="D138">
        <v>3</v>
      </c>
      <c r="E138" t="s">
        <v>4</v>
      </c>
      <c r="F138">
        <v>20.6</v>
      </c>
      <c r="G138">
        <v>3.08</v>
      </c>
      <c r="H138">
        <v>2.92</v>
      </c>
      <c r="I138">
        <v>25.91</v>
      </c>
      <c r="J138">
        <v>11.78</v>
      </c>
      <c r="K138">
        <f t="shared" si="53"/>
        <v>3600</v>
      </c>
      <c r="L138">
        <f t="shared" si="54"/>
        <v>14.13</v>
      </c>
      <c r="M138">
        <f t="shared" si="55"/>
        <v>3</v>
      </c>
      <c r="N138" s="2">
        <f>FiberLength!D6*$C$2*PI()</f>
        <v>3.9144244463728818E-4</v>
      </c>
      <c r="O138" s="2">
        <f t="shared" si="17"/>
        <v>36.161990732085897</v>
      </c>
      <c r="Q138">
        <v>0.13200000000000001</v>
      </c>
      <c r="S138">
        <v>0.83099999999999996</v>
      </c>
      <c r="U138">
        <v>0.92900000000000005</v>
      </c>
      <c r="W138">
        <v>0.97799999999999998</v>
      </c>
      <c r="X138">
        <v>727</v>
      </c>
      <c r="Y138" s="2">
        <f t="shared" si="51"/>
        <v>0.19041372822395886</v>
      </c>
      <c r="Z138" s="2">
        <f t="shared" si="52"/>
        <v>12.870930889488791</v>
      </c>
      <c r="AB138" s="2">
        <f t="shared" si="42"/>
        <v>3.3606332640130762E-5</v>
      </c>
      <c r="AD138" s="2">
        <f t="shared" si="43"/>
        <v>2.5169322474686527E-5</v>
      </c>
      <c r="AF138" s="2">
        <f t="shared" si="44"/>
        <v>2.090849447656291E-5</v>
      </c>
      <c r="AH138" s="2">
        <f t="shared" si="45"/>
        <v>1.7084894799999217E-5</v>
      </c>
      <c r="AJ138" s="2">
        <f t="shared" si="46"/>
        <v>1.0562760831719584</v>
      </c>
      <c r="AL138" s="2">
        <f t="shared" si="47"/>
        <v>1.5519183721292276</v>
      </c>
      <c r="AN138" s="2">
        <f t="shared" si="48"/>
        <v>1.8590053980378676</v>
      </c>
      <c r="AP138" s="2">
        <f t="shared" si="49"/>
        <v>2.3954759508161616</v>
      </c>
    </row>
    <row r="139" spans="4:42" x14ac:dyDescent="0.3">
      <c r="E139" t="s">
        <v>5</v>
      </c>
      <c r="F139">
        <v>20.6</v>
      </c>
      <c r="G139">
        <v>3.08</v>
      </c>
      <c r="H139">
        <v>2.92</v>
      </c>
      <c r="I139">
        <v>26.85</v>
      </c>
      <c r="J139">
        <v>11.75</v>
      </c>
      <c r="K139">
        <f t="shared" si="53"/>
        <v>3600</v>
      </c>
      <c r="L139">
        <f t="shared" si="54"/>
        <v>15.100000000000001</v>
      </c>
      <c r="M139">
        <f t="shared" si="55"/>
        <v>3</v>
      </c>
      <c r="N139" s="2">
        <f>FiberLength!D7*$C$2*PI()</f>
        <v>3.8924332977977537E-4</v>
      </c>
      <c r="O139" s="2">
        <f t="shared" si="17"/>
        <v>38.862778913199257</v>
      </c>
      <c r="Q139">
        <v>0.129</v>
      </c>
      <c r="S139">
        <v>0.81799999999999995</v>
      </c>
      <c r="U139">
        <v>0.92100000000000004</v>
      </c>
      <c r="W139">
        <v>0.97599999999999998</v>
      </c>
      <c r="X139">
        <v>785</v>
      </c>
      <c r="Y139" s="2">
        <f t="shared" si="51"/>
        <v>0.1953300556051876</v>
      </c>
      <c r="Z139" s="2">
        <f t="shared" si="52"/>
        <v>13.856453587655574</v>
      </c>
      <c r="AB139" s="2">
        <f t="shared" si="42"/>
        <v>3.4090344005842774E-5</v>
      </c>
      <c r="AD139" s="2">
        <f t="shared" si="43"/>
        <v>2.5645467516919542E-5</v>
      </c>
      <c r="AF139" s="2">
        <f t="shared" si="44"/>
        <v>2.1389863704896636E-5</v>
      </c>
      <c r="AH139" s="2">
        <f t="shared" si="45"/>
        <v>1.7587490911911897E-5</v>
      </c>
      <c r="AJ139" s="2">
        <f t="shared" si="46"/>
        <v>1.0597800077558464</v>
      </c>
      <c r="AL139" s="2">
        <f t="shared" si="47"/>
        <v>1.59463553147479</v>
      </c>
      <c r="AN139" s="2">
        <f t="shared" si="48"/>
        <v>1.9384356036383563</v>
      </c>
      <c r="AP139" s="2">
        <f t="shared" si="49"/>
        <v>2.5511933592949547</v>
      </c>
    </row>
    <row r="140" spans="4:42" x14ac:dyDescent="0.3">
      <c r="E140" t="s">
        <v>6</v>
      </c>
      <c r="F140">
        <v>20.6</v>
      </c>
      <c r="G140">
        <v>3.08</v>
      </c>
      <c r="H140">
        <v>2.92</v>
      </c>
      <c r="I140">
        <v>26.22</v>
      </c>
      <c r="J140">
        <v>11.8</v>
      </c>
      <c r="K140">
        <f t="shared" si="53"/>
        <v>3600</v>
      </c>
      <c r="L140">
        <f t="shared" si="54"/>
        <v>14.419999999999998</v>
      </c>
      <c r="M140">
        <f t="shared" si="55"/>
        <v>3</v>
      </c>
      <c r="N140" s="2">
        <f>FiberLength!D8*$C$2*PI()</f>
        <v>3.8484510006474965E-4</v>
      </c>
      <c r="O140" s="2">
        <f t="shared" si="17"/>
        <v>37.536811781008502</v>
      </c>
      <c r="Q140">
        <v>0.125</v>
      </c>
      <c r="S140">
        <v>0.85099999999999998</v>
      </c>
      <c r="U140">
        <v>0.94199999999999995</v>
      </c>
      <c r="W140">
        <v>0.98299999999999998</v>
      </c>
      <c r="X140">
        <v>645</v>
      </c>
      <c r="Y140" s="2">
        <f t="shared" si="51"/>
        <v>0.19477519368135809</v>
      </c>
      <c r="Z140" s="2">
        <f t="shared" si="52"/>
        <v>13.381035165687445</v>
      </c>
      <c r="AB140" s="2">
        <f t="shared" si="42"/>
        <v>3.3853073504833109E-5</v>
      </c>
      <c r="AD140" s="2">
        <f t="shared" si="43"/>
        <v>2.5411692909278943E-5</v>
      </c>
      <c r="AF140" s="2">
        <f t="shared" si="44"/>
        <v>2.1153163105077481E-5</v>
      </c>
      <c r="AH140" s="2">
        <f t="shared" si="45"/>
        <v>1.7339869908275921E-5</v>
      </c>
      <c r="AJ140" s="2">
        <f t="shared" si="46"/>
        <v>1.0556369602482729</v>
      </c>
      <c r="AL140" s="2">
        <f t="shared" si="47"/>
        <v>1.5921523668304205</v>
      </c>
      <c r="AN140" s="2">
        <f t="shared" si="48"/>
        <v>1.9157080282231844</v>
      </c>
      <c r="AP140" s="2">
        <f t="shared" si="49"/>
        <v>2.4826657006478277</v>
      </c>
    </row>
    <row r="141" spans="4:42" x14ac:dyDescent="0.3">
      <c r="E141" t="s">
        <v>7</v>
      </c>
      <c r="F141">
        <v>20.6</v>
      </c>
      <c r="G141">
        <v>3.08</v>
      </c>
      <c r="H141">
        <v>2.92</v>
      </c>
      <c r="I141">
        <v>26.81</v>
      </c>
      <c r="J141">
        <v>11.81</v>
      </c>
      <c r="K141">
        <f t="shared" si="53"/>
        <v>3600</v>
      </c>
      <c r="L141">
        <f t="shared" si="54"/>
        <v>14.999999999999998</v>
      </c>
      <c r="M141">
        <f t="shared" si="55"/>
        <v>3</v>
      </c>
      <c r="N141" s="2">
        <f>FiberLength!D9*$C$2*PI()</f>
        <v>3.9364155949480104E-4</v>
      </c>
      <c r="O141" s="2">
        <f t="shared" si="17"/>
        <v>38.174064158697703</v>
      </c>
      <c r="Q141">
        <v>0.122</v>
      </c>
      <c r="S141">
        <v>0.78900000000000003</v>
      </c>
      <c r="U141">
        <v>0.9</v>
      </c>
      <c r="W141">
        <v>0.96699999999999997</v>
      </c>
      <c r="X141">
        <v>1069</v>
      </c>
      <c r="Y141" s="2">
        <f t="shared" si="51"/>
        <v>0.18678307706261266</v>
      </c>
      <c r="Z141" s="2">
        <f t="shared" si="52"/>
        <v>13.569541633084839</v>
      </c>
      <c r="AB141" s="2">
        <f t="shared" si="42"/>
        <v>3.3967185814305696E-5</v>
      </c>
      <c r="AD141" s="2">
        <f t="shared" si="43"/>
        <v>2.5524036350161259E-5</v>
      </c>
      <c r="AF141" s="2">
        <f t="shared" si="44"/>
        <v>2.126682609956224E-5</v>
      </c>
      <c r="AH141" s="2">
        <f t="shared" si="45"/>
        <v>1.7458662930284328E-5</v>
      </c>
      <c r="AJ141" s="2">
        <f t="shared" si="46"/>
        <v>1.0553722194978401</v>
      </c>
      <c r="AL141" s="2">
        <f t="shared" si="47"/>
        <v>1.560751320329079</v>
      </c>
      <c r="AN141" s="2">
        <f t="shared" si="48"/>
        <v>1.8950190554462139</v>
      </c>
      <c r="AP141" s="2">
        <f t="shared" si="49"/>
        <v>2.4958924082628093</v>
      </c>
    </row>
    <row r="142" spans="4:42" x14ac:dyDescent="0.3">
      <c r="D142">
        <v>4</v>
      </c>
      <c r="E142" t="s">
        <v>4</v>
      </c>
      <c r="F142">
        <v>20.6</v>
      </c>
      <c r="G142">
        <v>3.08</v>
      </c>
      <c r="H142">
        <v>2.92</v>
      </c>
      <c r="I142">
        <v>24.83</v>
      </c>
      <c r="J142">
        <v>11.73</v>
      </c>
      <c r="K142">
        <f t="shared" si="53"/>
        <v>3600</v>
      </c>
      <c r="L142">
        <f t="shared" si="54"/>
        <v>13.099999999999998</v>
      </c>
      <c r="M142">
        <f t="shared" si="55"/>
        <v>3</v>
      </c>
      <c r="N142" s="2">
        <f>FiberLength!D10*$C$2*PI()</f>
        <v>3.9144244463728818E-4</v>
      </c>
      <c r="O142" s="2">
        <f t="shared" si="17"/>
        <v>33.525978668812833</v>
      </c>
      <c r="Q142">
        <v>0.156</v>
      </c>
      <c r="S142">
        <v>0.95699999999999996</v>
      </c>
      <c r="U142">
        <v>0.996</v>
      </c>
      <c r="W142">
        <v>0.998</v>
      </c>
      <c r="X142">
        <v>281</v>
      </c>
      <c r="Y142" s="2">
        <f t="shared" si="51"/>
        <v>0.20654417611337608</v>
      </c>
      <c r="Z142" s="2">
        <f t="shared" si="52"/>
        <v>12.001614051718589</v>
      </c>
      <c r="AB142" s="2">
        <f t="shared" si="42"/>
        <v>3.3130858426885994E-5</v>
      </c>
      <c r="AD142" s="2">
        <f t="shared" si="43"/>
        <v>2.4704305322889543E-5</v>
      </c>
      <c r="AF142" s="2">
        <f t="shared" si="44"/>
        <v>2.0441177702928652E-5</v>
      </c>
      <c r="AH142" s="2">
        <f t="shared" si="45"/>
        <v>1.6600823921958234E-5</v>
      </c>
      <c r="AJ142" s="2">
        <f t="shared" si="46"/>
        <v>1.0609953450476184</v>
      </c>
      <c r="AL142" s="2">
        <f t="shared" si="47"/>
        <v>1.5790405926679298</v>
      </c>
      <c r="AN142" s="2">
        <f t="shared" si="48"/>
        <v>1.8334995047505034</v>
      </c>
      <c r="AP142" s="2">
        <f t="shared" si="49"/>
        <v>2.2752579454838755</v>
      </c>
    </row>
    <row r="143" spans="4:42" x14ac:dyDescent="0.3">
      <c r="E143" t="s">
        <v>5</v>
      </c>
      <c r="F143">
        <v>20.6</v>
      </c>
      <c r="G143">
        <v>3.08</v>
      </c>
      <c r="H143">
        <v>2.92</v>
      </c>
      <c r="I143">
        <v>25.49</v>
      </c>
      <c r="J143">
        <v>12.34</v>
      </c>
      <c r="K143">
        <f t="shared" si="53"/>
        <v>3600</v>
      </c>
      <c r="L143">
        <f t="shared" si="54"/>
        <v>13.149999999999999</v>
      </c>
      <c r="M143">
        <f t="shared" si="55"/>
        <v>3</v>
      </c>
      <c r="N143" s="2">
        <f>FiberLength!D11*$C$2*PI()</f>
        <v>3.9144244463728818E-4</v>
      </c>
      <c r="O143" s="2">
        <f t="shared" si="17"/>
        <v>33.653940419457143</v>
      </c>
      <c r="Q143">
        <v>0.154</v>
      </c>
      <c r="S143">
        <v>0.94099999999999995</v>
      </c>
      <c r="U143">
        <v>0.98499999999999999</v>
      </c>
      <c r="W143">
        <v>0.99299999999999999</v>
      </c>
      <c r="X143">
        <v>299</v>
      </c>
      <c r="Y143" s="2">
        <f t="shared" si="51"/>
        <v>0.20413335227172233</v>
      </c>
      <c r="Z143" s="2">
        <f t="shared" si="52"/>
        <v>12.037033471107049</v>
      </c>
      <c r="AB143" s="2">
        <f t="shared" si="42"/>
        <v>3.3154019380601515E-5</v>
      </c>
      <c r="AD143" s="2">
        <f t="shared" si="43"/>
        <v>2.4726896776456435E-5</v>
      </c>
      <c r="AF143" s="2">
        <f t="shared" si="44"/>
        <v>2.0463816722433116E-5</v>
      </c>
      <c r="AH143" s="2">
        <f t="shared" si="45"/>
        <v>1.6624182632179794E-5</v>
      </c>
      <c r="AJ143" s="2">
        <f t="shared" si="46"/>
        <v>1.060474618580096</v>
      </c>
      <c r="AL143" s="2">
        <f t="shared" si="47"/>
        <v>1.5720141974631074</v>
      </c>
      <c r="AN143" s="2">
        <f t="shared" si="48"/>
        <v>1.8284010689361423</v>
      </c>
      <c r="AP143" s="2">
        <f t="shared" si="49"/>
        <v>2.2758452063790608</v>
      </c>
    </row>
    <row r="144" spans="4:42" x14ac:dyDescent="0.3">
      <c r="E144" t="s">
        <v>6</v>
      </c>
      <c r="F144">
        <v>20.6</v>
      </c>
      <c r="G144">
        <v>3.08</v>
      </c>
      <c r="H144">
        <v>2.92</v>
      </c>
      <c r="I144">
        <v>23.85</v>
      </c>
      <c r="J144">
        <v>11.85</v>
      </c>
      <c r="K144">
        <f t="shared" si="53"/>
        <v>3600</v>
      </c>
      <c r="L144">
        <f t="shared" si="54"/>
        <v>12.000000000000002</v>
      </c>
      <c r="M144">
        <f t="shared" si="55"/>
        <v>3</v>
      </c>
      <c r="N144" s="2">
        <f>FiberLength!D12*$C$2*PI()</f>
        <v>3.9364155949480104E-4</v>
      </c>
      <c r="O144" s="2">
        <f t="shared" si="17"/>
        <v>30.539251326958173</v>
      </c>
      <c r="Q144">
        <v>0.13900000000000001</v>
      </c>
      <c r="S144">
        <v>0.93600000000000005</v>
      </c>
      <c r="U144">
        <v>0.98399999999999999</v>
      </c>
      <c r="W144">
        <v>0.99399999999999999</v>
      </c>
      <c r="X144">
        <v>309</v>
      </c>
      <c r="Y144" s="2">
        <f t="shared" si="51"/>
        <v>0.18996751993816513</v>
      </c>
      <c r="Z144" s="2">
        <f t="shared" si="52"/>
        <v>10.867935350799275</v>
      </c>
      <c r="AB144" s="2">
        <f t="shared" si="42"/>
        <v>3.258762613081027E-5</v>
      </c>
      <c r="AD144" s="2">
        <f t="shared" si="43"/>
        <v>2.4176099041812105E-5</v>
      </c>
      <c r="AF144" s="2">
        <f t="shared" si="44"/>
        <v>1.9913712978674869E-5</v>
      </c>
      <c r="AH144" s="2">
        <f t="shared" si="45"/>
        <v>1.6059361092992289E-5</v>
      </c>
      <c r="AJ144" s="2">
        <f t="shared" si="46"/>
        <v>1.0489184338587887</v>
      </c>
      <c r="AL144" s="2">
        <f t="shared" si="47"/>
        <v>1.5059720044367877</v>
      </c>
      <c r="AN144" s="2">
        <f t="shared" si="48"/>
        <v>1.7302682633169422</v>
      </c>
      <c r="AP144" s="2">
        <f t="shared" si="49"/>
        <v>2.1129836667091961</v>
      </c>
    </row>
    <row r="145" spans="4:42" x14ac:dyDescent="0.3">
      <c r="E145" t="s">
        <v>7</v>
      </c>
      <c r="F145">
        <v>20.6</v>
      </c>
      <c r="G145">
        <v>3.08</v>
      </c>
      <c r="H145">
        <v>2.92</v>
      </c>
      <c r="I145">
        <v>24.91</v>
      </c>
      <c r="J145">
        <v>11.8</v>
      </c>
      <c r="K145">
        <f t="shared" si="53"/>
        <v>3600</v>
      </c>
      <c r="L145">
        <f t="shared" si="54"/>
        <v>13.11</v>
      </c>
      <c r="M145">
        <f t="shared" si="55"/>
        <v>3</v>
      </c>
      <c r="N145" s="2">
        <f>FiberLength!D13*$C$2*PI()</f>
        <v>3.9364155949480104E-4</v>
      </c>
      <c r="O145" s="2">
        <f t="shared" si="17"/>
        <v>33.364132074701793</v>
      </c>
      <c r="Q145">
        <v>0.157</v>
      </c>
      <c r="S145">
        <v>0.94799999999999995</v>
      </c>
      <c r="U145">
        <v>0.98899999999999999</v>
      </c>
      <c r="W145">
        <v>0.996</v>
      </c>
      <c r="X145">
        <v>290</v>
      </c>
      <c r="Y145" s="2">
        <f t="shared" si="51"/>
        <v>0.20515192582165157</v>
      </c>
      <c r="Z145" s="2">
        <f t="shared" si="52"/>
        <v>11.937726555855972</v>
      </c>
      <c r="AB145" s="2">
        <f t="shared" si="42"/>
        <v>3.310155190582644E-5</v>
      </c>
      <c r="AD145" s="2">
        <f t="shared" si="43"/>
        <v>2.4675728011413693E-5</v>
      </c>
      <c r="AF145" s="2">
        <f t="shared" si="44"/>
        <v>2.0412549590618546E-5</v>
      </c>
      <c r="AH145" s="2">
        <f t="shared" si="45"/>
        <v>1.6571299453385294E-5</v>
      </c>
      <c r="AJ145" s="2">
        <f t="shared" si="46"/>
        <v>1.0610498825314345</v>
      </c>
      <c r="AL145" s="2">
        <f t="shared" si="47"/>
        <v>1.5702191985079608</v>
      </c>
      <c r="AN145" s="2">
        <f t="shared" si="48"/>
        <v>1.8224393314802454</v>
      </c>
      <c r="AP145" s="2">
        <f t="shared" si="49"/>
        <v>2.2638819991086678</v>
      </c>
    </row>
    <row r="146" spans="4:42" x14ac:dyDescent="0.3">
      <c r="D146">
        <v>6</v>
      </c>
      <c r="E146" t="s">
        <v>4</v>
      </c>
      <c r="F146">
        <v>20.6</v>
      </c>
      <c r="G146">
        <v>3.08</v>
      </c>
      <c r="H146">
        <v>2.92</v>
      </c>
      <c r="I146">
        <v>23.58</v>
      </c>
      <c r="J146">
        <v>11.79</v>
      </c>
      <c r="K146">
        <f t="shared" si="53"/>
        <v>3600</v>
      </c>
      <c r="L146">
        <f t="shared" si="54"/>
        <v>11.79</v>
      </c>
      <c r="M146">
        <f t="shared" si="55"/>
        <v>3</v>
      </c>
      <c r="N146" s="2">
        <f>FiberLength!D14*$C$2*PI()</f>
        <v>3.9144244463728818E-4</v>
      </c>
      <c r="O146" s="2">
        <f t="shared" si="17"/>
        <v>30.173380801931547</v>
      </c>
      <c r="Q146">
        <v>0.16200000000000001</v>
      </c>
      <c r="S146">
        <v>0.97299999999999998</v>
      </c>
      <c r="U146">
        <v>0.997</v>
      </c>
      <c r="W146">
        <v>0.996</v>
      </c>
      <c r="X146">
        <v>266</v>
      </c>
      <c r="Y146" s="2">
        <f t="shared" si="51"/>
        <v>0.2001186494201633</v>
      </c>
      <c r="Z146" s="2">
        <f t="shared" si="52"/>
        <v>10.776664088170323</v>
      </c>
      <c r="AB146" s="2">
        <f t="shared" si="42"/>
        <v>3.2520704521346007E-5</v>
      </c>
      <c r="AD146" s="2">
        <f t="shared" si="43"/>
        <v>2.411124097775727E-5</v>
      </c>
      <c r="AF146" s="2">
        <f t="shared" si="44"/>
        <v>1.9849188720150736E-5</v>
      </c>
      <c r="AH146" s="2">
        <f t="shared" si="45"/>
        <v>1.5993497377255929E-5</v>
      </c>
      <c r="AJ146" s="2">
        <f t="shared" si="46"/>
        <v>1.0562488227365858</v>
      </c>
      <c r="AL146" s="2">
        <f t="shared" si="47"/>
        <v>1.5184568237897704</v>
      </c>
      <c r="AN146" s="2">
        <f t="shared" si="48"/>
        <v>1.7286861809025829</v>
      </c>
      <c r="AP146" s="2">
        <f t="shared" si="49"/>
        <v>2.0966849338492386</v>
      </c>
    </row>
    <row r="147" spans="4:42" x14ac:dyDescent="0.3">
      <c r="E147" t="s">
        <v>5</v>
      </c>
      <c r="F147">
        <v>20.6</v>
      </c>
      <c r="G147">
        <v>3.08</v>
      </c>
      <c r="H147">
        <v>2.92</v>
      </c>
      <c r="I147">
        <v>23.39</v>
      </c>
      <c r="J147">
        <v>11.72</v>
      </c>
      <c r="K147">
        <f t="shared" si="53"/>
        <v>3600</v>
      </c>
      <c r="L147">
        <f t="shared" si="54"/>
        <v>11.67</v>
      </c>
      <c r="M147">
        <f t="shared" si="55"/>
        <v>3</v>
      </c>
      <c r="N147" s="2">
        <f>FiberLength!D15*$C$2*PI()</f>
        <v>3.9364155949480104E-4</v>
      </c>
      <c r="O147" s="2">
        <f t="shared" si="17"/>
        <v>29.699421915466814</v>
      </c>
      <c r="Q147">
        <v>0.16</v>
      </c>
      <c r="S147">
        <v>0.97199999999999998</v>
      </c>
      <c r="U147">
        <v>0.999</v>
      </c>
      <c r="W147">
        <v>0.998</v>
      </c>
      <c r="X147">
        <v>267</v>
      </c>
      <c r="Y147" s="2">
        <f t="shared" si="51"/>
        <v>0.19816469313062968</v>
      </c>
      <c r="Z147" s="2">
        <f t="shared" si="52"/>
        <v>10.599988458512021</v>
      </c>
      <c r="AB147" s="2">
        <f t="shared" si="42"/>
        <v>3.243387965553783E-5</v>
      </c>
      <c r="AD147" s="2">
        <f t="shared" si="43"/>
        <v>2.4027159386340737E-5</v>
      </c>
      <c r="AF147" s="2">
        <f t="shared" si="44"/>
        <v>1.9765617766331967E-5</v>
      </c>
      <c r="AH147" s="2">
        <f t="shared" si="45"/>
        <v>1.5908314949792602E-5</v>
      </c>
      <c r="AJ147" s="2">
        <f t="shared" si="46"/>
        <v>1.0545803883284552</v>
      </c>
      <c r="AL147" s="2">
        <f t="shared" si="47"/>
        <v>1.5082513338623322</v>
      </c>
      <c r="AN147" s="2">
        <f t="shared" si="48"/>
        <v>1.7156780318593379</v>
      </c>
      <c r="AP147" s="2">
        <f t="shared" si="49"/>
        <v>2.0750624861472047</v>
      </c>
    </row>
    <row r="148" spans="4:42" x14ac:dyDescent="0.3">
      <c r="E148" t="s">
        <v>6</v>
      </c>
      <c r="F148">
        <v>20.6</v>
      </c>
      <c r="G148">
        <v>3.08</v>
      </c>
      <c r="H148">
        <v>2.92</v>
      </c>
      <c r="I148">
        <v>23.95</v>
      </c>
      <c r="J148">
        <v>11.8</v>
      </c>
      <c r="K148">
        <f t="shared" si="53"/>
        <v>3600</v>
      </c>
      <c r="L148">
        <f t="shared" si="54"/>
        <v>12.149999999999999</v>
      </c>
      <c r="M148">
        <f t="shared" si="55"/>
        <v>3</v>
      </c>
      <c r="N148" s="2">
        <f>FiberLength!D16*$C$2*PI()</f>
        <v>3.9144244463728818E-4</v>
      </c>
      <c r="O148" s="2">
        <f t="shared" si="17"/>
        <v>31.094705406570668</v>
      </c>
      <c r="Q148">
        <v>0.16</v>
      </c>
      <c r="S148">
        <v>0.97199999999999998</v>
      </c>
      <c r="U148">
        <v>0.999</v>
      </c>
      <c r="W148">
        <v>0.998</v>
      </c>
      <c r="X148">
        <v>267</v>
      </c>
      <c r="Y148" s="2">
        <f t="shared" si="51"/>
        <v>0.20219504609419808</v>
      </c>
      <c r="Z148" s="2">
        <f t="shared" si="52"/>
        <v>11.113964668323902</v>
      </c>
      <c r="AB148" s="2">
        <f t="shared" si="42"/>
        <v>3.2689059041438674E-5</v>
      </c>
      <c r="AD148" s="2">
        <f t="shared" si="43"/>
        <v>2.4274490363665233E-5</v>
      </c>
      <c r="AF148" s="2">
        <f t="shared" si="44"/>
        <v>2.0011698440398543E-5</v>
      </c>
      <c r="AH148" s="2">
        <f t="shared" si="45"/>
        <v>1.6159538296626741E-5</v>
      </c>
      <c r="AJ148" s="2">
        <f t="shared" si="46"/>
        <v>1.0574591527563157</v>
      </c>
      <c r="AL148" s="2">
        <f t="shared" si="47"/>
        <v>1.5369016881795496</v>
      </c>
      <c r="AN148" s="2">
        <f t="shared" si="48"/>
        <v>1.7586221320425495</v>
      </c>
      <c r="AP148" s="2">
        <f t="shared" si="49"/>
        <v>2.1459725696101373</v>
      </c>
    </row>
    <row r="149" spans="4:42" x14ac:dyDescent="0.3">
      <c r="E149" t="s">
        <v>7</v>
      </c>
      <c r="F149">
        <v>20.6</v>
      </c>
      <c r="G149">
        <v>3.08</v>
      </c>
      <c r="H149">
        <v>2.92</v>
      </c>
      <c r="I149">
        <v>24.05</v>
      </c>
      <c r="J149">
        <v>11.7</v>
      </c>
      <c r="K149">
        <f t="shared" si="53"/>
        <v>3600</v>
      </c>
      <c r="L149">
        <f t="shared" si="54"/>
        <v>12.350000000000001</v>
      </c>
      <c r="M149">
        <f t="shared" si="55"/>
        <v>3</v>
      </c>
      <c r="N149" s="2">
        <f>FiberLength!D17*$C$2*PI()</f>
        <v>3.9364155949480104E-4</v>
      </c>
      <c r="O149" s="2">
        <f t="shared" si="17"/>
        <v>31.429979490661115</v>
      </c>
      <c r="Q149">
        <v>0.159</v>
      </c>
      <c r="S149">
        <v>0.97199999999999998</v>
      </c>
      <c r="U149">
        <v>0.998</v>
      </c>
      <c r="W149">
        <v>0.998</v>
      </c>
      <c r="X149">
        <v>268</v>
      </c>
      <c r="Y149" s="2">
        <f t="shared" si="51"/>
        <v>0.20281960473672517</v>
      </c>
      <c r="Z149" s="2">
        <f t="shared" si="52"/>
        <v>11.23630765605408</v>
      </c>
      <c r="AB149" s="2">
        <f t="shared" si="42"/>
        <v>3.2750190344331608E-5</v>
      </c>
      <c r="AD149" s="2">
        <f t="shared" si="43"/>
        <v>2.4333839544952695E-5</v>
      </c>
      <c r="AF149" s="2">
        <f t="shared" si="44"/>
        <v>2.0070861695032503E-5</v>
      </c>
      <c r="AH149" s="2">
        <f t="shared" si="45"/>
        <v>1.6220116363027365E-5</v>
      </c>
      <c r="AJ149" s="2">
        <f t="shared" si="46"/>
        <v>1.0577925980334304</v>
      </c>
      <c r="AL149" s="2">
        <f t="shared" si="47"/>
        <v>1.5438657253063532</v>
      </c>
      <c r="AN149" s="2">
        <f t="shared" si="48"/>
        <v>1.7683288506003874</v>
      </c>
      <c r="AP149" s="2">
        <f t="shared" si="49"/>
        <v>2.1633635609688122</v>
      </c>
    </row>
    <row r="150" spans="4:42" x14ac:dyDescent="0.3">
      <c r="D150">
        <v>2</v>
      </c>
      <c r="E150" t="s">
        <v>4</v>
      </c>
      <c r="F150">
        <v>20.100000000000001</v>
      </c>
      <c r="G150">
        <v>1.07</v>
      </c>
      <c r="H150">
        <v>0.94</v>
      </c>
      <c r="I150">
        <v>21.91</v>
      </c>
      <c r="J150">
        <v>12.48</v>
      </c>
      <c r="K150">
        <f>65*60</f>
        <v>3900</v>
      </c>
      <c r="L150">
        <f t="shared" si="54"/>
        <v>9.43</v>
      </c>
      <c r="M150">
        <f t="shared" si="55"/>
        <v>1.0049999999999999</v>
      </c>
      <c r="N150" s="2">
        <f>FiberLength!D2*$C$2*PI()</f>
        <v>3.9144244463728818E-4</v>
      </c>
      <c r="O150" s="2">
        <f t="shared" ref="O150:O213" si="56">L150/N150/K150*60*60/$C$4</f>
        <v>22.277156466017964</v>
      </c>
      <c r="P150">
        <v>6.0000000000000001E-3</v>
      </c>
      <c r="R150">
        <v>0.12</v>
      </c>
      <c r="T150">
        <v>0.35</v>
      </c>
      <c r="V150">
        <v>0.69099999999999995</v>
      </c>
      <c r="Y150" s="2">
        <f t="shared" ref="Y150" si="57">8.314*293.15*1000*(1/62*(P150+AI150-1)+1/200*(R150+AK150-1)+1/600*(T150+AM150-1)+1/2000*(V150+AO150-1))/10^5</f>
        <v>5.5978647542687825E-2</v>
      </c>
      <c r="Z150" s="2">
        <f t="shared" si="52"/>
        <v>23.473820065623876</v>
      </c>
      <c r="AA150" s="2">
        <f t="shared" ref="AA150:AA181" si="58">(($O150/1000/60/60/$AW$85)+(1+0.26*($O150/1000/60/60/$AW$85)^(1.4))^(-1.7))*$AW$85</f>
        <v>3.5368463458344711E-5</v>
      </c>
      <c r="AC150" s="2">
        <f t="shared" ref="AC150:AC181" si="59">(($O150/1000/60/60/$AY$85)+(1+0.26*($O150/1000/60/60/$AY$85)^(1.4))^(-1.7))*$AY$85</f>
        <v>2.6683416142647666E-5</v>
      </c>
      <c r="AE150" s="2">
        <f t="shared" ref="AE150:AE181" si="60">(($O150/1000/60/60/$BA$85)+(1+0.26*($O150/1000/60/60/$BA$85)^(1.4))^(-1.7))*$BA$85</f>
        <v>2.0688316620571679E-5</v>
      </c>
      <c r="AG150" s="2">
        <f t="shared" ref="AG150:AG181" si="61">(($O150/1000/60/60/$BC$85)+(1+0.26*($O150/1000/60/60/$BC$85)^(1.4))^(-1.7))*$BC$85</f>
        <v>1.5881235077600807E-5</v>
      </c>
      <c r="AI150" s="2">
        <f t="shared" ref="AI150:AI181" si="62">(AA150/($O150/1000/60/60)+P150-1)/(AA150/($O150/1000/60/60)-1)</f>
        <v>1.001272382810241</v>
      </c>
      <c r="AK150" s="2">
        <f t="shared" ref="AK150:AK181" si="63">(AC150/($O150/1000/60/60)+R150-1)/(AC150/($O150/1000/60/60)-1)</f>
        <v>1.0362312950659271</v>
      </c>
      <c r="AM150" s="2">
        <f t="shared" ref="AM150:AM181" si="64">(AE150/($O150/1000/60/60)+T150-1)/(AE150/($O150/1000/60/60)-1)</f>
        <v>1.1493656658010998</v>
      </c>
      <c r="AO150" s="2">
        <f t="shared" ref="AO150:AO181" si="65">(AG150/($O150/1000/60/60)+V150-1)/(AG150/($O150/1000/60/60)-1)</f>
        <v>1.4411344683009766</v>
      </c>
    </row>
    <row r="151" spans="4:42" x14ac:dyDescent="0.3">
      <c r="E151" t="s">
        <v>5</v>
      </c>
      <c r="F151">
        <v>20.100000000000001</v>
      </c>
      <c r="G151">
        <v>1.07</v>
      </c>
      <c r="H151">
        <v>0.94</v>
      </c>
      <c r="I151">
        <v>20.62</v>
      </c>
      <c r="J151">
        <v>11.75</v>
      </c>
      <c r="K151">
        <f t="shared" ref="K151:K165" si="66">65*60</f>
        <v>3900</v>
      </c>
      <c r="L151">
        <f t="shared" si="54"/>
        <v>8.870000000000001</v>
      </c>
      <c r="M151">
        <f t="shared" si="55"/>
        <v>1.0049999999999999</v>
      </c>
      <c r="N151" s="2">
        <f>FiberLength!D3*$C$2*PI()</f>
        <v>3.9364155949480104E-4</v>
      </c>
      <c r="O151" s="2">
        <f t="shared" si="56"/>
        <v>20.837166097701459</v>
      </c>
      <c r="P151">
        <v>8.0000000000000002E-3</v>
      </c>
      <c r="R151">
        <v>0.13300000000000001</v>
      </c>
      <c r="T151">
        <v>0.377</v>
      </c>
      <c r="V151">
        <v>0.71799999999999997</v>
      </c>
      <c r="Y151" s="2">
        <f t="shared" ref="Y151:Y181" si="67">8.314*293.15*1000*(1/62*(P151+AI151-1)+1/200*(R151+AK151-1)+1/600*(T151+AM151-1)+1/2000*(V151+AO151-1))/10^5</f>
        <v>5.9787276997348045E-2</v>
      </c>
      <c r="Z151" s="2">
        <f t="shared" ref="Z151:Z182" si="68">O151/(M151-Y151)</f>
        <v>22.044948814810866</v>
      </c>
      <c r="AA151" s="2">
        <f t="shared" si="58"/>
        <v>3.5088599695369826E-5</v>
      </c>
      <c r="AC151" s="2">
        <f t="shared" si="59"/>
        <v>2.6414937009239498E-5</v>
      </c>
      <c r="AE151" s="2">
        <f t="shared" si="60"/>
        <v>2.042870349644758E-5</v>
      </c>
      <c r="AG151" s="2">
        <f t="shared" si="61"/>
        <v>1.5627055037361263E-5</v>
      </c>
      <c r="AI151" s="2">
        <f t="shared" si="62"/>
        <v>1.001580342202647</v>
      </c>
      <c r="AK151" s="2">
        <f t="shared" si="63"/>
        <v>1.0373211650504717</v>
      </c>
      <c r="AM151" s="2">
        <f t="shared" si="64"/>
        <v>1.1490453990881115</v>
      </c>
      <c r="AO151" s="2">
        <f t="shared" si="65"/>
        <v>1.4223881210774154</v>
      </c>
    </row>
    <row r="152" spans="4:42" x14ac:dyDescent="0.3">
      <c r="E152" t="s">
        <v>6</v>
      </c>
      <c r="F152">
        <v>20.100000000000001</v>
      </c>
      <c r="G152">
        <v>1.07</v>
      </c>
      <c r="H152">
        <v>0.94</v>
      </c>
      <c r="I152">
        <v>21.42</v>
      </c>
      <c r="J152">
        <v>11.72</v>
      </c>
      <c r="K152">
        <f t="shared" si="66"/>
        <v>3900</v>
      </c>
      <c r="L152">
        <f t="shared" si="54"/>
        <v>9.7000000000000011</v>
      </c>
      <c r="M152">
        <f t="shared" si="55"/>
        <v>1.0049999999999999</v>
      </c>
      <c r="N152" s="2">
        <f>FiberLength!D4*$C$2*PI()</f>
        <v>3.9144244463728818E-4</v>
      </c>
      <c r="O152" s="2">
        <f t="shared" si="56"/>
        <v>22.914996576921983</v>
      </c>
      <c r="P152">
        <v>8.0000000000000002E-3</v>
      </c>
      <c r="R152">
        <v>0.125</v>
      </c>
      <c r="T152">
        <v>0.36399999999999999</v>
      </c>
      <c r="V152">
        <v>0.71299999999999997</v>
      </c>
      <c r="Y152" s="2">
        <f t="shared" si="67"/>
        <v>5.9547195313272586E-2</v>
      </c>
      <c r="Z152" s="2">
        <f t="shared" si="68"/>
        <v>24.237060235402012</v>
      </c>
      <c r="AA152" s="2">
        <f t="shared" si="58"/>
        <v>3.5491671126860069E-5</v>
      </c>
      <c r="AC152" s="2">
        <f t="shared" si="59"/>
        <v>2.6801664674026013E-5</v>
      </c>
      <c r="AE152" s="2">
        <f t="shared" si="60"/>
        <v>2.0802826487063292E-5</v>
      </c>
      <c r="AG152" s="2">
        <f t="shared" si="61"/>
        <v>1.5993714649682504E-5</v>
      </c>
      <c r="AI152" s="2">
        <f t="shared" si="62"/>
        <v>1.0017483185213727</v>
      </c>
      <c r="AK152" s="2">
        <f t="shared" si="63"/>
        <v>1.0389334753929191</v>
      </c>
      <c r="AM152" s="2">
        <f t="shared" si="64"/>
        <v>1.1604815789064677</v>
      </c>
      <c r="AO152" s="2">
        <f t="shared" si="65"/>
        <v>1.471358122796198</v>
      </c>
    </row>
    <row r="153" spans="4:42" x14ac:dyDescent="0.3">
      <c r="E153" t="s">
        <v>7</v>
      </c>
      <c r="F153">
        <v>20.100000000000001</v>
      </c>
      <c r="G153">
        <v>1.07</v>
      </c>
      <c r="H153">
        <v>0.94</v>
      </c>
      <c r="I153">
        <v>21.47</v>
      </c>
      <c r="J153">
        <v>11.77</v>
      </c>
      <c r="K153">
        <f t="shared" si="66"/>
        <v>3900</v>
      </c>
      <c r="L153">
        <f t="shared" si="54"/>
        <v>9.6999999999999993</v>
      </c>
      <c r="M153">
        <f t="shared" si="55"/>
        <v>1.0049999999999999</v>
      </c>
      <c r="N153" s="2">
        <f>FiberLength!D5*$C$2*PI()</f>
        <v>3.9364155949480104E-4</v>
      </c>
      <c r="O153" s="2">
        <f t="shared" si="56"/>
        <v>22.786979836268781</v>
      </c>
      <c r="P153">
        <v>8.9999999999999993E-3</v>
      </c>
      <c r="R153">
        <v>0.121</v>
      </c>
      <c r="T153">
        <v>0.35599999999999998</v>
      </c>
      <c r="V153">
        <v>0.70899999999999996</v>
      </c>
      <c r="Y153" s="2">
        <f t="shared" si="67"/>
        <v>5.8724105427523161E-2</v>
      </c>
      <c r="Z153" s="2">
        <f t="shared" si="68"/>
        <v>24.080693555618723</v>
      </c>
      <c r="AA153" s="2">
        <f t="shared" si="58"/>
        <v>3.5466978949200805E-5</v>
      </c>
      <c r="AC153" s="2">
        <f t="shared" si="59"/>
        <v>2.6777963386813627E-5</v>
      </c>
      <c r="AE153" s="2">
        <f t="shared" si="60"/>
        <v>2.077986595660756E-5</v>
      </c>
      <c r="AG153" s="2">
        <f t="shared" si="61"/>
        <v>1.5971142801007517E-5</v>
      </c>
      <c r="AI153" s="2">
        <f t="shared" si="62"/>
        <v>1.0019551407729854</v>
      </c>
      <c r="AK153" s="2">
        <f t="shared" si="63"/>
        <v>1.0374553241626023</v>
      </c>
      <c r="AM153" s="2">
        <f t="shared" si="64"/>
        <v>1.1559415798989983</v>
      </c>
      <c r="AO153" s="2">
        <f t="shared" si="65"/>
        <v>1.465467348991691</v>
      </c>
    </row>
    <row r="154" spans="4:42" x14ac:dyDescent="0.3">
      <c r="D154">
        <v>3</v>
      </c>
      <c r="E154" t="s">
        <v>4</v>
      </c>
      <c r="F154">
        <v>20.100000000000001</v>
      </c>
      <c r="G154">
        <v>1.07</v>
      </c>
      <c r="H154">
        <v>0.94</v>
      </c>
      <c r="I154">
        <v>16.690000000000001</v>
      </c>
      <c r="J154">
        <v>11.72</v>
      </c>
      <c r="K154">
        <f t="shared" si="66"/>
        <v>3900</v>
      </c>
      <c r="L154">
        <f t="shared" si="54"/>
        <v>4.9700000000000006</v>
      </c>
      <c r="M154">
        <f t="shared" si="55"/>
        <v>1.0049999999999999</v>
      </c>
      <c r="N154" s="2">
        <f>FiberLength!D6*$C$2*PI()</f>
        <v>3.9144244463728818E-4</v>
      </c>
      <c r="O154" s="2">
        <f t="shared" si="56"/>
        <v>11.740982782196108</v>
      </c>
      <c r="P154">
        <v>8.0000000000000002E-3</v>
      </c>
      <c r="R154">
        <v>0.32300000000000001</v>
      </c>
      <c r="T154">
        <v>0.75600000000000001</v>
      </c>
      <c r="V154">
        <v>0.93300000000000005</v>
      </c>
      <c r="X154">
        <v>1316</v>
      </c>
      <c r="Y154" s="2">
        <f t="shared" si="67"/>
        <v>0.10085742265940992</v>
      </c>
      <c r="Z154" s="2">
        <f t="shared" si="68"/>
        <v>12.985764719465575</v>
      </c>
      <c r="AA154" s="2">
        <f t="shared" si="58"/>
        <v>3.3253060820478138E-5</v>
      </c>
      <c r="AC154" s="2">
        <f t="shared" si="59"/>
        <v>2.46542477056653E-5</v>
      </c>
      <c r="AE154" s="2">
        <f t="shared" si="60"/>
        <v>1.8734140055280467E-5</v>
      </c>
      <c r="AG154" s="2">
        <f t="shared" si="61"/>
        <v>1.3990297866869438E-5</v>
      </c>
      <c r="AI154" s="2">
        <f t="shared" si="62"/>
        <v>1.000869943788</v>
      </c>
      <c r="AK154" s="2">
        <f t="shared" si="63"/>
        <v>1.0492419848979975</v>
      </c>
      <c r="AM154" s="2">
        <f t="shared" si="64"/>
        <v>1.1593514686310442</v>
      </c>
      <c r="AO154" s="2">
        <f t="shared" si="65"/>
        <v>1.2836141140585389</v>
      </c>
    </row>
    <row r="155" spans="4:42" x14ac:dyDescent="0.3">
      <c r="E155" t="s">
        <v>5</v>
      </c>
      <c r="F155">
        <v>20.100000000000001</v>
      </c>
      <c r="G155">
        <v>1.07</v>
      </c>
      <c r="H155">
        <v>0.94</v>
      </c>
      <c r="I155">
        <v>17.13</v>
      </c>
      <c r="J155">
        <v>11.79</v>
      </c>
      <c r="K155">
        <f t="shared" si="66"/>
        <v>3900</v>
      </c>
      <c r="L155">
        <f t="shared" si="54"/>
        <v>5.34</v>
      </c>
      <c r="M155">
        <f t="shared" si="55"/>
        <v>1.0049999999999999</v>
      </c>
      <c r="N155" s="2">
        <f>FiberLength!D7*$C$2*PI()</f>
        <v>3.8924332977977537E-4</v>
      </c>
      <c r="O155" s="2">
        <f t="shared" si="56"/>
        <v>12.686331496473805</v>
      </c>
      <c r="P155">
        <v>1.0999999999999999E-2</v>
      </c>
      <c r="R155">
        <v>0.31900000000000001</v>
      </c>
      <c r="T155">
        <v>0.74399999999999999</v>
      </c>
      <c r="V155">
        <v>0.92900000000000005</v>
      </c>
      <c r="X155">
        <v>1342</v>
      </c>
      <c r="Y155" s="2">
        <f t="shared" si="67"/>
        <v>0.10234427069748452</v>
      </c>
      <c r="Z155" s="2">
        <f t="shared" si="68"/>
        <v>14.054451863144513</v>
      </c>
      <c r="AA155" s="2">
        <f t="shared" si="58"/>
        <v>3.3450353816010053E-5</v>
      </c>
      <c r="AC155" s="2">
        <f t="shared" si="59"/>
        <v>2.4843782679412884E-5</v>
      </c>
      <c r="AE155" s="2">
        <f t="shared" si="60"/>
        <v>1.891629144831196E-5</v>
      </c>
      <c r="AG155" s="2">
        <f t="shared" si="61"/>
        <v>1.4164916952850055E-5</v>
      </c>
      <c r="AI155" s="2">
        <f t="shared" si="62"/>
        <v>1.0012953053443776</v>
      </c>
      <c r="AK155" s="2">
        <f t="shared" si="63"/>
        <v>1.0527279730465613</v>
      </c>
      <c r="AM155" s="2">
        <f t="shared" si="64"/>
        <v>1.1703345216762933</v>
      </c>
      <c r="AO155" s="2">
        <f t="shared" si="65"/>
        <v>1.307658868349848</v>
      </c>
    </row>
    <row r="156" spans="4:42" x14ac:dyDescent="0.3">
      <c r="E156" t="s">
        <v>6</v>
      </c>
      <c r="F156">
        <v>20.100000000000001</v>
      </c>
      <c r="G156">
        <v>1.07</v>
      </c>
      <c r="H156">
        <v>0.94</v>
      </c>
      <c r="I156">
        <v>16.84</v>
      </c>
      <c r="J156">
        <v>11.77</v>
      </c>
      <c r="K156">
        <f t="shared" si="66"/>
        <v>3900</v>
      </c>
      <c r="L156">
        <f t="shared" si="54"/>
        <v>5.07</v>
      </c>
      <c r="M156">
        <f t="shared" si="55"/>
        <v>1.0049999999999999</v>
      </c>
      <c r="N156" s="2">
        <f>FiberLength!D8*$C$2*PI()</f>
        <v>3.8484510006474965E-4</v>
      </c>
      <c r="O156" s="2">
        <f t="shared" si="56"/>
        <v>12.182543629342566</v>
      </c>
      <c r="P156">
        <v>0.01</v>
      </c>
      <c r="R156">
        <v>0.34599999999999997</v>
      </c>
      <c r="T156">
        <v>0.80500000000000005</v>
      </c>
      <c r="V156">
        <v>0.95199999999999996</v>
      </c>
      <c r="X156">
        <v>1177</v>
      </c>
      <c r="Y156" s="2">
        <f t="shared" si="67"/>
        <v>0.10836316030761117</v>
      </c>
      <c r="Z156" s="2">
        <f t="shared" si="68"/>
        <v>13.586931843579013</v>
      </c>
      <c r="AA156" s="2">
        <f t="shared" si="58"/>
        <v>3.3345437669549975E-5</v>
      </c>
      <c r="AC156" s="2">
        <f t="shared" si="59"/>
        <v>2.4743009542059051E-5</v>
      </c>
      <c r="AE156" s="2">
        <f t="shared" si="60"/>
        <v>1.8819448128032316E-5</v>
      </c>
      <c r="AG156" s="2">
        <f t="shared" si="61"/>
        <v>1.4072056480214316E-5</v>
      </c>
      <c r="AI156" s="2">
        <f t="shared" si="62"/>
        <v>1.0011294666299395</v>
      </c>
      <c r="AK156" s="2">
        <f t="shared" si="63"/>
        <v>1.0548190209469552</v>
      </c>
      <c r="AM156" s="2">
        <f t="shared" si="64"/>
        <v>1.1764872089127556</v>
      </c>
      <c r="AO156" s="2">
        <f t="shared" si="65"/>
        <v>1.3014222477024613</v>
      </c>
    </row>
    <row r="157" spans="4:42" x14ac:dyDescent="0.3">
      <c r="E157" t="s">
        <v>7</v>
      </c>
      <c r="F157">
        <v>20.100000000000001</v>
      </c>
      <c r="G157">
        <v>1.07</v>
      </c>
      <c r="H157">
        <v>0.94</v>
      </c>
      <c r="I157">
        <v>17.12</v>
      </c>
      <c r="J157">
        <v>11.72</v>
      </c>
      <c r="K157">
        <f t="shared" si="66"/>
        <v>3900</v>
      </c>
      <c r="L157">
        <f t="shared" si="54"/>
        <v>5.4</v>
      </c>
      <c r="M157">
        <f t="shared" si="55"/>
        <v>1.0049999999999999</v>
      </c>
      <c r="N157" s="2">
        <f>FiberLength!D9*$C$2*PI()</f>
        <v>3.9364155949480104E-4</v>
      </c>
      <c r="O157" s="2">
        <f t="shared" si="56"/>
        <v>12.685535166582621</v>
      </c>
      <c r="P157">
        <v>1.0999999999999999E-2</v>
      </c>
      <c r="R157">
        <v>0.311</v>
      </c>
      <c r="T157">
        <v>0.71799999999999997</v>
      </c>
      <c r="V157">
        <v>0.91300000000000003</v>
      </c>
      <c r="X157">
        <v>1584</v>
      </c>
      <c r="Y157" s="2">
        <f t="shared" si="67"/>
        <v>9.9649587416307153E-2</v>
      </c>
      <c r="Z157" s="2">
        <f t="shared" si="68"/>
        <v>14.011740636844234</v>
      </c>
      <c r="AA157" s="2">
        <f t="shared" si="58"/>
        <v>3.3450188371036475E-5</v>
      </c>
      <c r="AC157" s="2">
        <f t="shared" si="59"/>
        <v>2.4843623796974344E-5</v>
      </c>
      <c r="AE157" s="2">
        <f t="shared" si="60"/>
        <v>1.8916138766413118E-5</v>
      </c>
      <c r="AG157" s="2">
        <f t="shared" si="61"/>
        <v>1.4164770507228677E-5</v>
      </c>
      <c r="AI157" s="2">
        <f t="shared" si="62"/>
        <v>1.0012952216239446</v>
      </c>
      <c r="AK157" s="2">
        <f t="shared" si="63"/>
        <v>1.0514022644111662</v>
      </c>
      <c r="AM157" s="2">
        <f t="shared" si="64"/>
        <v>1.1643709210981461</v>
      </c>
      <c r="AO157" s="2">
        <f t="shared" si="65"/>
        <v>1.3023390115494804</v>
      </c>
    </row>
    <row r="158" spans="4:42" x14ac:dyDescent="0.3">
      <c r="D158">
        <v>4</v>
      </c>
      <c r="E158" t="s">
        <v>4</v>
      </c>
      <c r="F158">
        <v>20.100000000000001</v>
      </c>
      <c r="G158">
        <v>1.07</v>
      </c>
      <c r="H158">
        <v>0.94</v>
      </c>
      <c r="I158">
        <v>15.97</v>
      </c>
      <c r="J158">
        <v>11.72</v>
      </c>
      <c r="K158">
        <f t="shared" si="66"/>
        <v>3900</v>
      </c>
      <c r="L158">
        <f t="shared" si="54"/>
        <v>4.25</v>
      </c>
      <c r="M158">
        <f t="shared" si="55"/>
        <v>1.0049999999999999</v>
      </c>
      <c r="N158" s="2">
        <f>FiberLength!D10*$C$2*PI()</f>
        <v>3.9144244463728818E-4</v>
      </c>
      <c r="O158" s="2">
        <f t="shared" si="56"/>
        <v>10.040075819785402</v>
      </c>
      <c r="P158">
        <v>0.01</v>
      </c>
      <c r="R158">
        <v>0.45600000000000002</v>
      </c>
      <c r="T158">
        <v>0.96</v>
      </c>
      <c r="V158">
        <v>0.997</v>
      </c>
      <c r="X158">
        <v>396</v>
      </c>
      <c r="Y158" s="2">
        <f t="shared" si="67"/>
        <v>0.12829148814254987</v>
      </c>
      <c r="Z158" s="2">
        <f t="shared" si="68"/>
        <v>11.452011340136146</v>
      </c>
      <c r="AA158" s="2">
        <f t="shared" si="58"/>
        <v>3.2893325757811153E-5</v>
      </c>
      <c r="AC158" s="2">
        <f t="shared" si="59"/>
        <v>2.4308245352034684E-5</v>
      </c>
      <c r="AE158" s="2">
        <f t="shared" si="60"/>
        <v>1.8401460937699913E-5</v>
      </c>
      <c r="AG158" s="2">
        <f t="shared" si="61"/>
        <v>1.3671715616578412E-5</v>
      </c>
      <c r="AI158" s="2">
        <f t="shared" si="62"/>
        <v>1.0009264122472064</v>
      </c>
      <c r="AK158" s="2">
        <f t="shared" si="63"/>
        <v>1.0590976864949579</v>
      </c>
      <c r="AM158" s="2">
        <f t="shared" si="64"/>
        <v>1.1714872575302946</v>
      </c>
      <c r="AO158" s="2">
        <f t="shared" si="65"/>
        <v>1.2554987477737025</v>
      </c>
    </row>
    <row r="159" spans="4:42" x14ac:dyDescent="0.3">
      <c r="E159" t="s">
        <v>5</v>
      </c>
      <c r="F159">
        <v>20.100000000000001</v>
      </c>
      <c r="G159">
        <v>1.07</v>
      </c>
      <c r="H159">
        <v>0.94</v>
      </c>
      <c r="I159">
        <v>16.190000000000001</v>
      </c>
      <c r="J159">
        <v>11.79</v>
      </c>
      <c r="K159">
        <f t="shared" si="66"/>
        <v>3900</v>
      </c>
      <c r="L159">
        <f t="shared" si="54"/>
        <v>4.4000000000000021</v>
      </c>
      <c r="M159">
        <f t="shared" si="55"/>
        <v>1.0049999999999999</v>
      </c>
      <c r="N159" s="2">
        <f>FiberLength!D11*$C$2*PI()</f>
        <v>3.9144244463728818E-4</v>
      </c>
      <c r="O159" s="2">
        <f t="shared" si="56"/>
        <v>10.394431436954306</v>
      </c>
      <c r="P159">
        <v>1.0999999999999999E-2</v>
      </c>
      <c r="R159">
        <v>0.44500000000000001</v>
      </c>
      <c r="T159">
        <v>0.92400000000000004</v>
      </c>
      <c r="V159">
        <v>0.98099999999999998</v>
      </c>
      <c r="X159">
        <v>455</v>
      </c>
      <c r="Y159" s="2">
        <f t="shared" si="67"/>
        <v>0.1258762148850551</v>
      </c>
      <c r="Z159" s="2">
        <f t="shared" si="68"/>
        <v>11.823626675730587</v>
      </c>
      <c r="AA159" s="2">
        <f t="shared" si="58"/>
        <v>3.2968802784723815E-5</v>
      </c>
      <c r="AC159" s="2">
        <f t="shared" si="59"/>
        <v>2.4380891324811403E-5</v>
      </c>
      <c r="AE159" s="2">
        <f t="shared" si="60"/>
        <v>1.8471334574012094E-5</v>
      </c>
      <c r="AG159" s="2">
        <f t="shared" si="61"/>
        <v>1.373860510716423E-5</v>
      </c>
      <c r="AI159" s="2">
        <f t="shared" si="62"/>
        <v>1.0010558251482804</v>
      </c>
      <c r="AK159" s="2">
        <f t="shared" si="63"/>
        <v>1.0597792018343701</v>
      </c>
      <c r="AM159" s="2">
        <f t="shared" si="64"/>
        <v>1.1711951585844216</v>
      </c>
      <c r="AO159" s="2">
        <f t="shared" si="65"/>
        <v>1.2610279149789492</v>
      </c>
    </row>
    <row r="160" spans="4:42" x14ac:dyDescent="0.3">
      <c r="E160" t="s">
        <v>6</v>
      </c>
      <c r="F160">
        <v>20.100000000000001</v>
      </c>
      <c r="G160">
        <v>1.07</v>
      </c>
      <c r="H160">
        <v>0.94</v>
      </c>
      <c r="I160">
        <v>15.77</v>
      </c>
      <c r="J160">
        <v>11.75</v>
      </c>
      <c r="K160">
        <f t="shared" si="66"/>
        <v>3900</v>
      </c>
      <c r="L160">
        <f t="shared" si="54"/>
        <v>4.0199999999999996</v>
      </c>
      <c r="M160">
        <f t="shared" si="55"/>
        <v>1.0049999999999999</v>
      </c>
      <c r="N160" s="2">
        <f>FiberLength!D12*$C$2*PI()</f>
        <v>3.9364155949480104E-4</v>
      </c>
      <c r="O160" s="2">
        <f t="shared" si="56"/>
        <v>9.4436761795670634</v>
      </c>
      <c r="P160">
        <v>0.01</v>
      </c>
      <c r="R160">
        <v>0.434</v>
      </c>
      <c r="T160">
        <v>0.92600000000000005</v>
      </c>
      <c r="V160">
        <v>0.98299999999999998</v>
      </c>
      <c r="X160">
        <v>455</v>
      </c>
      <c r="Y160" s="2">
        <f t="shared" si="67"/>
        <v>0.12236449007497255</v>
      </c>
      <c r="Z160" s="2">
        <f t="shared" si="68"/>
        <v>10.699406576525826</v>
      </c>
      <c r="AA160" s="2">
        <f t="shared" si="58"/>
        <v>3.276562451386761E-5</v>
      </c>
      <c r="AC160" s="2">
        <f t="shared" si="59"/>
        <v>2.4185265598977602E-5</v>
      </c>
      <c r="AE160" s="2">
        <f t="shared" si="60"/>
        <v>1.8283133590045019E-5</v>
      </c>
      <c r="AG160" s="2">
        <f t="shared" si="61"/>
        <v>1.3558453256731779E-5</v>
      </c>
      <c r="AI160" s="2">
        <f t="shared" si="62"/>
        <v>1.000870284060122</v>
      </c>
      <c r="AK160" s="2">
        <f t="shared" si="63"/>
        <v>1.0528005962020619</v>
      </c>
      <c r="AM160" s="2">
        <f t="shared" si="64"/>
        <v>1.1551175225861769</v>
      </c>
      <c r="AO160" s="2">
        <f t="shared" si="65"/>
        <v>1.2358115002386048</v>
      </c>
    </row>
    <row r="161" spans="4:41" x14ac:dyDescent="0.3">
      <c r="E161" t="s">
        <v>7</v>
      </c>
      <c r="F161">
        <v>20.100000000000001</v>
      </c>
      <c r="G161">
        <v>1.07</v>
      </c>
      <c r="H161">
        <v>0.94</v>
      </c>
      <c r="I161">
        <v>16.010000000000002</v>
      </c>
      <c r="J161">
        <v>11.75</v>
      </c>
      <c r="K161">
        <f t="shared" si="66"/>
        <v>3900</v>
      </c>
      <c r="L161">
        <f t="shared" si="54"/>
        <v>4.2600000000000016</v>
      </c>
      <c r="M161">
        <f t="shared" si="55"/>
        <v>1.0049999999999999</v>
      </c>
      <c r="N161" s="2">
        <f>FiberLength!D13*$C$2*PI()</f>
        <v>3.9364155949480104E-4</v>
      </c>
      <c r="O161" s="2">
        <f t="shared" si="56"/>
        <v>10.007477742526293</v>
      </c>
      <c r="P161">
        <v>0.01</v>
      </c>
      <c r="R161">
        <v>0.44600000000000001</v>
      </c>
      <c r="T161">
        <v>0.93600000000000005</v>
      </c>
      <c r="V161">
        <v>0.98499999999999999</v>
      </c>
      <c r="X161">
        <v>432</v>
      </c>
      <c r="Y161" s="2">
        <f t="shared" si="67"/>
        <v>0.12552334023442066</v>
      </c>
      <c r="Z161" s="2">
        <f t="shared" si="68"/>
        <v>11.378900885435373</v>
      </c>
      <c r="AA161" s="2">
        <f t="shared" si="58"/>
        <v>3.2886367757450919E-5</v>
      </c>
      <c r="AC161" s="2">
        <f t="shared" si="59"/>
        <v>2.4301546868177692E-5</v>
      </c>
      <c r="AE161" s="2">
        <f t="shared" si="60"/>
        <v>1.8395017240974784E-5</v>
      </c>
      <c r="AG161" s="2">
        <f t="shared" si="61"/>
        <v>1.3665547463537425E-5</v>
      </c>
      <c r="AI161" s="2">
        <f t="shared" si="62"/>
        <v>1.0009233400574391</v>
      </c>
      <c r="AK161" s="2">
        <f t="shared" si="63"/>
        <v>1.0576077058242315</v>
      </c>
      <c r="AM161" s="2">
        <f t="shared" si="64"/>
        <v>1.1666293414686288</v>
      </c>
      <c r="AO161" s="2">
        <f t="shared" si="65"/>
        <v>1.2515372444825137</v>
      </c>
    </row>
    <row r="162" spans="4:41" x14ac:dyDescent="0.3">
      <c r="D162">
        <v>6</v>
      </c>
      <c r="E162" t="s">
        <v>4</v>
      </c>
      <c r="F162">
        <v>20.100000000000001</v>
      </c>
      <c r="G162">
        <v>1.07</v>
      </c>
      <c r="H162">
        <v>0.94</v>
      </c>
      <c r="I162">
        <v>15.56</v>
      </c>
      <c r="J162">
        <v>11.75</v>
      </c>
      <c r="K162">
        <f t="shared" si="66"/>
        <v>3900</v>
      </c>
      <c r="L162">
        <f t="shared" si="54"/>
        <v>3.8100000000000005</v>
      </c>
      <c r="M162">
        <f t="shared" si="55"/>
        <v>1.0049999999999999</v>
      </c>
      <c r="N162" s="2">
        <f>FiberLength!D14*$C$2*PI()</f>
        <v>3.9144244463728818E-4</v>
      </c>
      <c r="O162" s="2">
        <f t="shared" si="56"/>
        <v>9.0006326760899729</v>
      </c>
      <c r="P162">
        <v>8.9999999999999993E-3</v>
      </c>
      <c r="R162">
        <v>0.49299999999999999</v>
      </c>
      <c r="T162">
        <v>0.99199999999999999</v>
      </c>
      <c r="V162">
        <v>0.998</v>
      </c>
      <c r="X162">
        <v>357</v>
      </c>
      <c r="Y162" s="2">
        <f t="shared" si="67"/>
        <v>0.13251342272175148</v>
      </c>
      <c r="Z162" s="2">
        <f t="shared" si="68"/>
        <v>10.316070081178502</v>
      </c>
      <c r="AA162" s="2">
        <f t="shared" si="58"/>
        <v>3.2670196300117604E-5</v>
      </c>
      <c r="AC162" s="2">
        <f t="shared" si="59"/>
        <v>2.4093305489629745E-5</v>
      </c>
      <c r="AE162" s="2">
        <f t="shared" si="60"/>
        <v>1.8194613429027584E-5</v>
      </c>
      <c r="AG162" s="2">
        <f t="shared" si="61"/>
        <v>1.3473722862870769E-5</v>
      </c>
      <c r="AI162" s="2">
        <f t="shared" si="62"/>
        <v>1.0007458258653783</v>
      </c>
      <c r="AK162" s="2">
        <f t="shared" si="63"/>
        <v>1.0570823523944459</v>
      </c>
      <c r="AM162" s="2">
        <f t="shared" si="64"/>
        <v>1.1580288753942507</v>
      </c>
      <c r="AO162" s="2">
        <f t="shared" si="65"/>
        <v>1.2273809338673047</v>
      </c>
    </row>
    <row r="163" spans="4:41" x14ac:dyDescent="0.3">
      <c r="E163" t="s">
        <v>5</v>
      </c>
      <c r="F163">
        <v>20.100000000000001</v>
      </c>
      <c r="G163">
        <v>1.07</v>
      </c>
      <c r="H163">
        <v>0.94</v>
      </c>
      <c r="I163">
        <v>15.57</v>
      </c>
      <c r="J163">
        <v>11.83</v>
      </c>
      <c r="K163">
        <f t="shared" si="66"/>
        <v>3900</v>
      </c>
      <c r="L163">
        <f t="shared" si="54"/>
        <v>3.74</v>
      </c>
      <c r="M163">
        <f t="shared" si="55"/>
        <v>1.0049999999999999</v>
      </c>
      <c r="N163" s="2">
        <f>FiberLength!D15*$C$2*PI()</f>
        <v>3.9364155949480104E-4</v>
      </c>
      <c r="O163" s="2">
        <f t="shared" si="56"/>
        <v>8.7859076894479635</v>
      </c>
      <c r="P163">
        <v>8.9999999999999993E-3</v>
      </c>
      <c r="R163">
        <v>0.49099999999999999</v>
      </c>
      <c r="T163">
        <v>0.99299999999999999</v>
      </c>
      <c r="V163">
        <v>0.998</v>
      </c>
      <c r="X163">
        <v>358</v>
      </c>
      <c r="Y163" s="2">
        <f t="shared" si="67"/>
        <v>0.13188098147151051</v>
      </c>
      <c r="Z163" s="2">
        <f t="shared" si="68"/>
        <v>10.062669009610268</v>
      </c>
      <c r="AA163" s="2">
        <f t="shared" si="58"/>
        <v>3.2623767428426114E-5</v>
      </c>
      <c r="AC163" s="2">
        <f t="shared" si="59"/>
        <v>2.4048544210094931E-5</v>
      </c>
      <c r="AE163" s="2">
        <f t="shared" si="60"/>
        <v>1.8151512914917068E-5</v>
      </c>
      <c r="AG163" s="2">
        <f t="shared" si="61"/>
        <v>1.343246529003403E-5</v>
      </c>
      <c r="AI163" s="2">
        <f t="shared" si="62"/>
        <v>1.0007277141563402</v>
      </c>
      <c r="AK163" s="2">
        <f t="shared" si="63"/>
        <v>1.0554562844696955</v>
      </c>
      <c r="AM163" s="2">
        <f t="shared" si="64"/>
        <v>1.1542517234063041</v>
      </c>
      <c r="AO163" s="2">
        <f t="shared" si="65"/>
        <v>1.2215850776524739</v>
      </c>
    </row>
    <row r="164" spans="4:41" x14ac:dyDescent="0.3">
      <c r="E164" t="s">
        <v>6</v>
      </c>
      <c r="F164">
        <v>20.100000000000001</v>
      </c>
      <c r="G164">
        <v>1.07</v>
      </c>
      <c r="H164">
        <v>0.94</v>
      </c>
      <c r="I164">
        <v>15.74</v>
      </c>
      <c r="J164">
        <v>11.79</v>
      </c>
      <c r="K164">
        <f t="shared" si="66"/>
        <v>3900</v>
      </c>
      <c r="L164">
        <f t="shared" si="54"/>
        <v>3.9500000000000011</v>
      </c>
      <c r="M164">
        <f t="shared" si="55"/>
        <v>1.0049999999999999</v>
      </c>
      <c r="N164" s="2">
        <f>FiberLength!D16*$C$2*PI()</f>
        <v>3.9144244463728818E-4</v>
      </c>
      <c r="O164" s="2">
        <f t="shared" si="56"/>
        <v>9.3313645854476128</v>
      </c>
      <c r="P164">
        <v>1.2E-2</v>
      </c>
      <c r="R164">
        <v>0.496</v>
      </c>
      <c r="T164">
        <v>0.99099999999999999</v>
      </c>
      <c r="V164">
        <v>0.998</v>
      </c>
      <c r="X164">
        <v>358</v>
      </c>
      <c r="Y164" s="2">
        <f t="shared" si="67"/>
        <v>0.1347867697684979</v>
      </c>
      <c r="Z164" s="2">
        <f t="shared" si="68"/>
        <v>10.723078276993329</v>
      </c>
      <c r="AA164" s="2">
        <f t="shared" si="58"/>
        <v>3.2741479763431928E-5</v>
      </c>
      <c r="AC164" s="2">
        <f t="shared" si="59"/>
        <v>2.4162003359777127E-5</v>
      </c>
      <c r="AE164" s="2">
        <f t="shared" si="60"/>
        <v>1.8260744897788327E-5</v>
      </c>
      <c r="AG164" s="2">
        <f t="shared" si="61"/>
        <v>1.3537023391198024E-5</v>
      </c>
      <c r="AI164" s="2">
        <f t="shared" si="62"/>
        <v>1.0010316793532998</v>
      </c>
      <c r="AK164" s="2">
        <f t="shared" si="63"/>
        <v>1.059603949974286</v>
      </c>
      <c r="AM164" s="2">
        <f t="shared" si="64"/>
        <v>1.1639394104942198</v>
      </c>
      <c r="AO164" s="2">
        <f t="shared" si="65"/>
        <v>1.2363514759030287</v>
      </c>
    </row>
    <row r="165" spans="4:41" x14ac:dyDescent="0.3">
      <c r="E165" t="s">
        <v>7</v>
      </c>
      <c r="F165">
        <v>20.100000000000001</v>
      </c>
      <c r="G165">
        <v>1.07</v>
      </c>
      <c r="H165">
        <v>0.94</v>
      </c>
      <c r="I165">
        <v>15.7</v>
      </c>
      <c r="J165">
        <v>11.75</v>
      </c>
      <c r="K165">
        <f t="shared" si="66"/>
        <v>3900</v>
      </c>
      <c r="L165">
        <f t="shared" si="54"/>
        <v>3.9499999999999993</v>
      </c>
      <c r="M165">
        <f t="shared" si="55"/>
        <v>1.0049999999999999</v>
      </c>
      <c r="N165" s="2">
        <f>FiberLength!D17*$C$2*PI()</f>
        <v>3.9364155949480104E-4</v>
      </c>
      <c r="O165" s="2">
        <f t="shared" si="56"/>
        <v>9.2792340570372875</v>
      </c>
      <c r="P165">
        <v>0.01</v>
      </c>
      <c r="R165">
        <v>0.48599999999999999</v>
      </c>
      <c r="T165">
        <v>0.99</v>
      </c>
      <c r="V165">
        <v>0.999</v>
      </c>
      <c r="X165">
        <v>361</v>
      </c>
      <c r="Y165" s="2">
        <f t="shared" si="67"/>
        <v>0.13243656668259415</v>
      </c>
      <c r="Z165" s="2">
        <f t="shared" si="68"/>
        <v>10.634452124309743</v>
      </c>
      <c r="AA165" s="2">
        <f t="shared" si="58"/>
        <v>3.2730262131466225E-5</v>
      </c>
      <c r="AC165" s="2">
        <f t="shared" si="59"/>
        <v>2.4151194598033857E-5</v>
      </c>
      <c r="AE165" s="2">
        <f t="shared" si="60"/>
        <v>1.8250341270849365E-5</v>
      </c>
      <c r="AG165" s="2">
        <f t="shared" si="61"/>
        <v>1.3527065275922306E-5</v>
      </c>
      <c r="AI165" s="2">
        <f t="shared" si="62"/>
        <v>1.0008548372989521</v>
      </c>
      <c r="AK165" s="2">
        <f t="shared" si="63"/>
        <v>1.0580661030137546</v>
      </c>
      <c r="AM165" s="2">
        <f t="shared" si="64"/>
        <v>1.1628166780515512</v>
      </c>
      <c r="AO165" s="2">
        <f t="shared" si="65"/>
        <v>1.2351694040518117</v>
      </c>
    </row>
    <row r="166" spans="4:41" x14ac:dyDescent="0.3">
      <c r="D166">
        <v>7</v>
      </c>
      <c r="E166" t="s">
        <v>4</v>
      </c>
      <c r="F166">
        <v>20.2</v>
      </c>
      <c r="G166">
        <v>3.08</v>
      </c>
      <c r="H166">
        <v>2.92</v>
      </c>
      <c r="I166">
        <v>31.39</v>
      </c>
      <c r="J166">
        <v>12.48</v>
      </c>
      <c r="K166">
        <f>105*60</f>
        <v>6300</v>
      </c>
      <c r="L166">
        <f t="shared" si="54"/>
        <v>18.91</v>
      </c>
      <c r="M166">
        <f t="shared" si="55"/>
        <v>3</v>
      </c>
      <c r="N166" s="2">
        <f>FiberLength!D18*$C$2*PI()</f>
        <v>3.9364155949480104E-4</v>
      </c>
      <c r="O166" s="2">
        <f t="shared" si="56"/>
        <v>27.499868694894232</v>
      </c>
      <c r="P166">
        <v>4.5999999999999999E-2</v>
      </c>
      <c r="R166">
        <v>0.67200000000000004</v>
      </c>
      <c r="T166">
        <v>0.995</v>
      </c>
      <c r="V166">
        <v>0.995</v>
      </c>
      <c r="X166">
        <v>303</v>
      </c>
      <c r="Y166" s="2">
        <f t="shared" si="67"/>
        <v>0.22079138492773823</v>
      </c>
      <c r="Z166" s="2">
        <f t="shared" si="68"/>
        <v>9.8948558757900997</v>
      </c>
      <c r="AA166" s="2">
        <f t="shared" si="58"/>
        <v>3.6365099746589374E-5</v>
      </c>
      <c r="AC166" s="2">
        <f t="shared" si="59"/>
        <v>2.7641315078282877E-5</v>
      </c>
      <c r="AE166" s="2">
        <f t="shared" si="60"/>
        <v>2.1619373950856769E-5</v>
      </c>
      <c r="AG166" s="2">
        <f t="shared" si="61"/>
        <v>1.6802742979797575E-5</v>
      </c>
      <c r="AI166" s="2">
        <f t="shared" si="62"/>
        <v>1.0122322699184609</v>
      </c>
      <c r="AK166" s="2">
        <f t="shared" si="63"/>
        <v>1.2566338410186624</v>
      </c>
      <c r="AM166" s="2">
        <f t="shared" si="64"/>
        <v>1.5436605590008419</v>
      </c>
      <c r="AO166" s="2">
        <f t="shared" si="65"/>
        <v>1.8294138935459971</v>
      </c>
    </row>
    <row r="167" spans="4:41" x14ac:dyDescent="0.3">
      <c r="E167" t="s">
        <v>5</v>
      </c>
      <c r="F167">
        <v>20.2</v>
      </c>
      <c r="G167">
        <v>3.08</v>
      </c>
      <c r="H167">
        <v>2.92</v>
      </c>
      <c r="I167">
        <v>31.5</v>
      </c>
      <c r="J167">
        <v>11.75</v>
      </c>
      <c r="K167">
        <f t="shared" ref="K167:K181" si="69">105*60</f>
        <v>6300</v>
      </c>
      <c r="L167">
        <f t="shared" si="54"/>
        <v>19.75</v>
      </c>
      <c r="M167">
        <f t="shared" si="55"/>
        <v>3</v>
      </c>
      <c r="N167" s="2">
        <f>FiberLength!D19*$C$2*PI()</f>
        <v>3.9144244463728818E-4</v>
      </c>
      <c r="O167" s="2">
        <f t="shared" si="56"/>
        <v>28.882795145433079</v>
      </c>
      <c r="P167">
        <v>4.4999999999999998E-2</v>
      </c>
      <c r="R167">
        <v>0.67300000000000004</v>
      </c>
      <c r="T167">
        <v>0.995</v>
      </c>
      <c r="V167">
        <v>0.995</v>
      </c>
      <c r="X167">
        <v>303</v>
      </c>
      <c r="Y167" s="2">
        <f t="shared" si="67"/>
        <v>0.22453324553516449</v>
      </c>
      <c r="Z167" s="2">
        <f t="shared" si="68"/>
        <v>10.406464101567755</v>
      </c>
      <c r="AA167" s="2">
        <f t="shared" si="58"/>
        <v>3.6624797569538463E-5</v>
      </c>
      <c r="AC167" s="2">
        <f t="shared" si="59"/>
        <v>2.7891576235589312E-5</v>
      </c>
      <c r="AE167" s="2">
        <f t="shared" si="60"/>
        <v>2.1864069467310535E-5</v>
      </c>
      <c r="AG167" s="2">
        <f t="shared" si="61"/>
        <v>1.7047666647495783E-5</v>
      </c>
      <c r="AI167" s="2">
        <f t="shared" si="62"/>
        <v>1.0126228053120929</v>
      </c>
      <c r="AK167" s="2">
        <f t="shared" si="63"/>
        <v>1.2717596702439364</v>
      </c>
      <c r="AM167" s="2">
        <f t="shared" si="64"/>
        <v>1.5767533281556629</v>
      </c>
      <c r="AO167" s="2">
        <f t="shared" si="65"/>
        <v>1.8845625857706625</v>
      </c>
    </row>
    <row r="168" spans="4:41" x14ac:dyDescent="0.3">
      <c r="E168" t="s">
        <v>6</v>
      </c>
      <c r="F168">
        <v>20.2</v>
      </c>
      <c r="G168">
        <v>3.08</v>
      </c>
      <c r="H168">
        <v>2.92</v>
      </c>
      <c r="I168">
        <v>33.270000000000003</v>
      </c>
      <c r="J168">
        <v>11.72</v>
      </c>
      <c r="K168">
        <f t="shared" si="69"/>
        <v>6300</v>
      </c>
      <c r="L168">
        <f t="shared" si="54"/>
        <v>21.550000000000004</v>
      </c>
      <c r="M168">
        <f t="shared" si="55"/>
        <v>3</v>
      </c>
      <c r="N168" s="2">
        <f>FiberLength!D20*$C$2*PI()</f>
        <v>3.9364155949480104E-4</v>
      </c>
      <c r="O168" s="2">
        <f t="shared" si="56"/>
        <v>31.339088861711829</v>
      </c>
      <c r="P168">
        <v>4.3999999999999997E-2</v>
      </c>
      <c r="R168">
        <v>0.67200000000000004</v>
      </c>
      <c r="T168">
        <v>0.995</v>
      </c>
      <c r="V168">
        <v>0.995</v>
      </c>
      <c r="X168">
        <v>303</v>
      </c>
      <c r="Y168" s="2">
        <f t="shared" si="67"/>
        <v>0.23126608724835759</v>
      </c>
      <c r="Z168" s="2">
        <f t="shared" si="68"/>
        <v>11.318924045888613</v>
      </c>
      <c r="AA168" s="2">
        <f t="shared" si="58"/>
        <v>3.7082362516915556E-5</v>
      </c>
      <c r="AC168" s="2">
        <f t="shared" si="59"/>
        <v>2.8333375504015677E-5</v>
      </c>
      <c r="AE168" s="2">
        <f t="shared" si="60"/>
        <v>2.2297705261109539E-5</v>
      </c>
      <c r="AG168" s="2">
        <f t="shared" si="61"/>
        <v>1.7484592664365234E-5</v>
      </c>
      <c r="AI168" s="2">
        <f t="shared" si="62"/>
        <v>1.0134979912493747</v>
      </c>
      <c r="AK168" s="2">
        <f t="shared" si="63"/>
        <v>1.2980406299457223</v>
      </c>
      <c r="AM168" s="2">
        <f t="shared" si="64"/>
        <v>1.6372512702156463</v>
      </c>
      <c r="AO168" s="2">
        <f t="shared" si="65"/>
        <v>1.9866146065586558</v>
      </c>
    </row>
    <row r="169" spans="4:41" x14ac:dyDescent="0.3">
      <c r="E169" t="s">
        <v>7</v>
      </c>
      <c r="F169">
        <v>20.2</v>
      </c>
      <c r="G169">
        <v>3.08</v>
      </c>
      <c r="H169">
        <v>2.92</v>
      </c>
      <c r="I169">
        <v>32.369999999999997</v>
      </c>
      <c r="J169">
        <v>11.77</v>
      </c>
      <c r="K169">
        <f t="shared" si="69"/>
        <v>6300</v>
      </c>
      <c r="L169">
        <f t="shared" si="54"/>
        <v>20.599999999999998</v>
      </c>
      <c r="M169">
        <f t="shared" si="55"/>
        <v>3</v>
      </c>
      <c r="N169" s="2">
        <f>FiberLength!D21*$C$2*PI()</f>
        <v>3.9364155949480104E-4</v>
      </c>
      <c r="O169" s="2">
        <f t="shared" si="56"/>
        <v>29.957551301682766</v>
      </c>
      <c r="P169">
        <v>4.2999999999999997E-2</v>
      </c>
      <c r="R169">
        <v>0.66800000000000004</v>
      </c>
      <c r="T169">
        <v>0.995</v>
      </c>
      <c r="V169">
        <v>0.995</v>
      </c>
      <c r="X169">
        <v>305</v>
      </c>
      <c r="Y169" s="2">
        <f t="shared" si="67"/>
        <v>0.22586874272368568</v>
      </c>
      <c r="Z169" s="2">
        <f t="shared" si="68"/>
        <v>10.79889468932179</v>
      </c>
      <c r="AA169" s="2">
        <f t="shared" si="58"/>
        <v>3.6825563592428105E-5</v>
      </c>
      <c r="AC169" s="2">
        <f t="shared" si="59"/>
        <v>2.8085281657563334E-5</v>
      </c>
      <c r="AE169" s="2">
        <f t="shared" si="60"/>
        <v>2.205392736865748E-5</v>
      </c>
      <c r="AG169" s="2">
        <f t="shared" si="61"/>
        <v>1.7238510056459203E-5</v>
      </c>
      <c r="AI169" s="2">
        <f t="shared" si="62"/>
        <v>1.0125535376265704</v>
      </c>
      <c r="AK169" s="2">
        <f t="shared" si="63"/>
        <v>1.2812620576432676</v>
      </c>
      <c r="AM169" s="2">
        <f t="shared" si="64"/>
        <v>1.6029494594604359</v>
      </c>
      <c r="AO169" s="2">
        <f t="shared" si="65"/>
        <v>1.9285593816088189</v>
      </c>
    </row>
    <row r="170" spans="4:41" x14ac:dyDescent="0.3">
      <c r="D170">
        <v>8</v>
      </c>
      <c r="E170" t="s">
        <v>4</v>
      </c>
      <c r="F170">
        <v>20.2</v>
      </c>
      <c r="G170">
        <v>3.08</v>
      </c>
      <c r="H170">
        <v>2.92</v>
      </c>
      <c r="I170">
        <v>29.43</v>
      </c>
      <c r="J170">
        <v>11.72</v>
      </c>
      <c r="K170">
        <f t="shared" si="69"/>
        <v>6300</v>
      </c>
      <c r="L170">
        <f t="shared" si="54"/>
        <v>17.71</v>
      </c>
      <c r="M170">
        <f t="shared" si="55"/>
        <v>3</v>
      </c>
      <c r="N170" s="2">
        <f>FiberLength!D22*$C$2*PI()</f>
        <v>3.9364155949480104E-4</v>
      </c>
      <c r="O170" s="2">
        <f t="shared" si="56"/>
        <v>25.754768619068056</v>
      </c>
      <c r="P170">
        <v>4.4999999999999998E-2</v>
      </c>
      <c r="R170">
        <v>0.68</v>
      </c>
      <c r="T170">
        <v>0.995</v>
      </c>
      <c r="V170">
        <v>0.995</v>
      </c>
      <c r="X170">
        <v>299</v>
      </c>
      <c r="Y170" s="2">
        <f t="shared" si="67"/>
        <v>0.21658756992892303</v>
      </c>
      <c r="Z170" s="2">
        <f t="shared" si="68"/>
        <v>9.2529473321387687</v>
      </c>
      <c r="AA170" s="2">
        <f t="shared" si="58"/>
        <v>3.6035030626950665E-5</v>
      </c>
      <c r="AC170" s="2">
        <f t="shared" si="59"/>
        <v>2.7323680222162335E-5</v>
      </c>
      <c r="AE170" s="2">
        <f t="shared" si="60"/>
        <v>2.1309717022813559E-5</v>
      </c>
      <c r="AG170" s="2">
        <f t="shared" si="61"/>
        <v>1.649446137497537E-5</v>
      </c>
      <c r="AI170" s="2">
        <f t="shared" si="62"/>
        <v>1.0111469619377786</v>
      </c>
      <c r="AK170" s="2">
        <f t="shared" si="63"/>
        <v>1.2411944201082061</v>
      </c>
      <c r="AM170" s="2">
        <f t="shared" si="64"/>
        <v>1.502862791123085</v>
      </c>
      <c r="AO170" s="2">
        <f t="shared" si="65"/>
        <v>1.7621047431747354</v>
      </c>
    </row>
    <row r="171" spans="4:41" x14ac:dyDescent="0.3">
      <c r="E171" t="s">
        <v>5</v>
      </c>
      <c r="F171">
        <v>20.2</v>
      </c>
      <c r="G171">
        <v>3.08</v>
      </c>
      <c r="H171">
        <v>2.92</v>
      </c>
      <c r="I171">
        <v>29.1</v>
      </c>
      <c r="J171">
        <v>11.79</v>
      </c>
      <c r="K171">
        <f t="shared" si="69"/>
        <v>6300</v>
      </c>
      <c r="L171">
        <f t="shared" si="54"/>
        <v>17.310000000000002</v>
      </c>
      <c r="M171">
        <f t="shared" si="55"/>
        <v>3</v>
      </c>
      <c r="N171" s="2">
        <f>FiberLength!D23*$C$2*PI()</f>
        <v>3.8264598520723679E-4</v>
      </c>
      <c r="O171" s="2">
        <f t="shared" si="56"/>
        <v>25.896432633844174</v>
      </c>
      <c r="P171">
        <v>4.5999999999999999E-2</v>
      </c>
      <c r="R171">
        <v>0.68400000000000005</v>
      </c>
      <c r="T171">
        <v>0.995</v>
      </c>
      <c r="V171">
        <v>0.995</v>
      </c>
      <c r="X171">
        <v>297</v>
      </c>
      <c r="Y171" s="2">
        <f t="shared" si="67"/>
        <v>0.21814588070657867</v>
      </c>
      <c r="Z171" s="2">
        <f t="shared" si="68"/>
        <v>9.3090548689238073</v>
      </c>
      <c r="AA171" s="2">
        <f t="shared" si="58"/>
        <v>3.606192837972047E-5</v>
      </c>
      <c r="AC171" s="2">
        <f t="shared" si="59"/>
        <v>2.7349547895497379E-5</v>
      </c>
      <c r="AE171" s="2">
        <f t="shared" si="60"/>
        <v>2.1334898419607233E-5</v>
      </c>
      <c r="AG171" s="2">
        <f t="shared" si="61"/>
        <v>1.6519462302340909E-5</v>
      </c>
      <c r="AI171" s="2">
        <f t="shared" si="62"/>
        <v>1.0114622910603659</v>
      </c>
      <c r="AK171" s="2">
        <f t="shared" si="63"/>
        <v>1.2441108930222344</v>
      </c>
      <c r="AM171" s="2">
        <f t="shared" si="64"/>
        <v>1.5061354258565545</v>
      </c>
      <c r="AO171" s="2">
        <f t="shared" si="65"/>
        <v>1.7674758195888391</v>
      </c>
    </row>
    <row r="172" spans="4:41" x14ac:dyDescent="0.3">
      <c r="E172" t="s">
        <v>6</v>
      </c>
      <c r="F172">
        <v>20.2</v>
      </c>
      <c r="G172">
        <v>3.08</v>
      </c>
      <c r="H172">
        <v>2.92</v>
      </c>
      <c r="I172">
        <v>29.6</v>
      </c>
      <c r="J172">
        <v>11.77</v>
      </c>
      <c r="K172">
        <f t="shared" si="69"/>
        <v>6300</v>
      </c>
      <c r="L172">
        <f t="shared" si="54"/>
        <v>17.830000000000002</v>
      </c>
      <c r="M172">
        <f t="shared" si="55"/>
        <v>3</v>
      </c>
      <c r="N172" s="2">
        <f>FiberLength!D24*$C$2*PI()</f>
        <v>3.8924332977977537E-4</v>
      </c>
      <c r="O172" s="2">
        <f t="shared" si="56"/>
        <v>26.222264825821863</v>
      </c>
      <c r="P172">
        <v>4.5999999999999999E-2</v>
      </c>
      <c r="R172">
        <v>0.68200000000000005</v>
      </c>
      <c r="T172">
        <v>0.995</v>
      </c>
      <c r="V172">
        <v>0.995</v>
      </c>
      <c r="X172">
        <v>298</v>
      </c>
      <c r="Y172" s="2">
        <f t="shared" si="67"/>
        <v>0.21875409326029854</v>
      </c>
      <c r="Z172" s="2">
        <f t="shared" si="68"/>
        <v>9.428243925601226</v>
      </c>
      <c r="AA172" s="2">
        <f t="shared" si="58"/>
        <v>3.6123723312768336E-5</v>
      </c>
      <c r="AC172" s="2">
        <f t="shared" si="59"/>
        <v>2.740898712215102E-5</v>
      </c>
      <c r="AE172" s="2">
        <f t="shared" si="60"/>
        <v>2.1392784766901078E-5</v>
      </c>
      <c r="AG172" s="2">
        <f t="shared" si="61"/>
        <v>1.6576979569166228E-5</v>
      </c>
      <c r="AI172" s="2">
        <f t="shared" si="62"/>
        <v>1.0116180669592771</v>
      </c>
      <c r="AK172" s="2">
        <f t="shared" si="63"/>
        <v>1.2468400647118882</v>
      </c>
      <c r="AM172" s="2">
        <f t="shared" si="64"/>
        <v>1.5136887032383941</v>
      </c>
      <c r="AO172" s="2">
        <f t="shared" si="65"/>
        <v>1.7798912395924413</v>
      </c>
    </row>
    <row r="173" spans="4:41" x14ac:dyDescent="0.3">
      <c r="E173" t="s">
        <v>7</v>
      </c>
      <c r="F173">
        <v>20.2</v>
      </c>
      <c r="G173">
        <v>3.08</v>
      </c>
      <c r="H173">
        <v>2.92</v>
      </c>
      <c r="I173">
        <v>29.86</v>
      </c>
      <c r="J173">
        <v>11.72</v>
      </c>
      <c r="K173">
        <f t="shared" si="69"/>
        <v>6300</v>
      </c>
      <c r="L173">
        <f t="shared" si="54"/>
        <v>18.14</v>
      </c>
      <c r="M173">
        <f t="shared" si="55"/>
        <v>3</v>
      </c>
      <c r="N173" s="2">
        <f>FiberLength!D25*$C$2*PI()</f>
        <v>3.8704421492226246E-4</v>
      </c>
      <c r="O173" s="2">
        <f t="shared" si="56"/>
        <v>26.829756876004542</v>
      </c>
      <c r="P173">
        <v>4.5999999999999999E-2</v>
      </c>
      <c r="R173">
        <v>0.68200000000000005</v>
      </c>
      <c r="T173">
        <v>0.995</v>
      </c>
      <c r="V173">
        <v>0.995</v>
      </c>
      <c r="X173">
        <v>298</v>
      </c>
      <c r="Y173" s="2">
        <f t="shared" si="67"/>
        <v>0.22051560034533738</v>
      </c>
      <c r="Z173" s="2">
        <f t="shared" si="68"/>
        <v>9.6527819617688824</v>
      </c>
      <c r="AA173" s="2">
        <f t="shared" si="58"/>
        <v>3.623867694543161E-5</v>
      </c>
      <c r="AC173" s="2">
        <f t="shared" si="59"/>
        <v>2.7519600139511652E-5</v>
      </c>
      <c r="AE173" s="2">
        <f t="shared" si="60"/>
        <v>2.150059882385821E-5</v>
      </c>
      <c r="AG173" s="2">
        <f t="shared" si="61"/>
        <v>1.6684277232695481E-5</v>
      </c>
      <c r="AI173" s="2">
        <f t="shared" si="62"/>
        <v>1.0119094374957509</v>
      </c>
      <c r="AK173" s="2">
        <f t="shared" si="63"/>
        <v>1.2532902912335464</v>
      </c>
      <c r="AM173" s="2">
        <f t="shared" si="64"/>
        <v>1.5278691277776011</v>
      </c>
      <c r="AO173" s="2">
        <f t="shared" si="65"/>
        <v>1.8032706365738354</v>
      </c>
    </row>
    <row r="174" spans="4:41" x14ac:dyDescent="0.3">
      <c r="D174">
        <v>9</v>
      </c>
      <c r="E174" t="s">
        <v>4</v>
      </c>
      <c r="F174">
        <v>20.2</v>
      </c>
      <c r="G174">
        <v>3.08</v>
      </c>
      <c r="H174">
        <v>2.92</v>
      </c>
      <c r="I174">
        <v>30.17</v>
      </c>
      <c r="J174">
        <v>11.72</v>
      </c>
      <c r="K174">
        <f t="shared" si="69"/>
        <v>6300</v>
      </c>
      <c r="L174">
        <f t="shared" si="54"/>
        <v>18.450000000000003</v>
      </c>
      <c r="M174">
        <f t="shared" si="55"/>
        <v>3</v>
      </c>
      <c r="N174" s="2">
        <f>FiberLength!D26*$C$2*PI()</f>
        <v>3.9144244463728818E-4</v>
      </c>
      <c r="O174" s="2">
        <f t="shared" si="56"/>
        <v>26.98164913586027</v>
      </c>
      <c r="P174">
        <v>4.3999999999999997E-2</v>
      </c>
      <c r="R174">
        <v>0.67700000000000005</v>
      </c>
      <c r="T174">
        <v>0.995</v>
      </c>
      <c r="V174">
        <v>0.995</v>
      </c>
      <c r="X174">
        <v>300</v>
      </c>
      <c r="Y174" s="2">
        <f t="shared" si="67"/>
        <v>0.21913021586714546</v>
      </c>
      <c r="Z174" s="2">
        <f t="shared" si="68"/>
        <v>9.7025935158175081</v>
      </c>
      <c r="AA174" s="2">
        <f t="shared" si="58"/>
        <v>3.6267367319956627E-5</v>
      </c>
      <c r="AC174" s="2">
        <f t="shared" si="59"/>
        <v>2.7547215917737922E-5</v>
      </c>
      <c r="AE174" s="2">
        <f t="shared" si="60"/>
        <v>2.1527534570739063E-5</v>
      </c>
      <c r="AG174" s="2">
        <f t="shared" si="61"/>
        <v>1.6711118890542996E-5</v>
      </c>
      <c r="AI174" s="2">
        <f t="shared" si="62"/>
        <v>1.0114615037035104</v>
      </c>
      <c r="AK174" s="2">
        <f t="shared" si="63"/>
        <v>1.2530405805003204</v>
      </c>
      <c r="AM174" s="2">
        <f t="shared" si="64"/>
        <v>1.5314347306701175</v>
      </c>
      <c r="AO174" s="2">
        <f t="shared" si="65"/>
        <v>1.8091637326614354</v>
      </c>
    </row>
    <row r="175" spans="4:41" x14ac:dyDescent="0.3">
      <c r="E175" t="s">
        <v>5</v>
      </c>
      <c r="F175">
        <v>20.2</v>
      </c>
      <c r="G175">
        <v>3.08</v>
      </c>
      <c r="H175">
        <v>2.92</v>
      </c>
      <c r="I175">
        <v>30.48</v>
      </c>
      <c r="J175">
        <v>11.79</v>
      </c>
      <c r="K175">
        <f t="shared" si="69"/>
        <v>6300</v>
      </c>
      <c r="L175">
        <f t="shared" si="54"/>
        <v>18.690000000000001</v>
      </c>
      <c r="M175">
        <f t="shared" si="55"/>
        <v>3</v>
      </c>
      <c r="N175" s="2">
        <f>FiberLength!D27*$C$2*PI()</f>
        <v>3.9364155949480104E-4</v>
      </c>
      <c r="O175" s="2">
        <f t="shared" si="56"/>
        <v>27.179933680992768</v>
      </c>
      <c r="P175">
        <v>4.2999999999999997E-2</v>
      </c>
      <c r="R175">
        <v>0.68</v>
      </c>
      <c r="T175">
        <v>0.995</v>
      </c>
      <c r="V175">
        <v>0.995</v>
      </c>
      <c r="X175">
        <v>299</v>
      </c>
      <c r="Y175" s="2">
        <f t="shared" si="67"/>
        <v>0.21971298232491418</v>
      </c>
      <c r="Z175" s="2">
        <f t="shared" si="68"/>
        <v>9.7759452560840288</v>
      </c>
      <c r="AA175" s="2">
        <f t="shared" si="58"/>
        <v>3.630478996864441E-5</v>
      </c>
      <c r="AC175" s="2">
        <f t="shared" si="59"/>
        <v>2.7583242315513734E-5</v>
      </c>
      <c r="AE175" s="2">
        <f t="shared" si="60"/>
        <v>2.1562685262032595E-5</v>
      </c>
      <c r="AG175" s="2">
        <f t="shared" si="61"/>
        <v>1.6746167881413363E-5</v>
      </c>
      <c r="AI175" s="2">
        <f t="shared" si="62"/>
        <v>1.0112902580829763</v>
      </c>
      <c r="AK175" s="2">
        <f t="shared" si="63"/>
        <v>1.2562731819027528</v>
      </c>
      <c r="AM175" s="2">
        <f t="shared" si="64"/>
        <v>1.5361015147099797</v>
      </c>
      <c r="AO175" s="2">
        <f t="shared" si="65"/>
        <v>1.8168855460680147</v>
      </c>
    </row>
    <row r="176" spans="4:41" x14ac:dyDescent="0.3">
      <c r="E176" t="s">
        <v>6</v>
      </c>
      <c r="F176">
        <v>20.2</v>
      </c>
      <c r="G176">
        <v>3.08</v>
      </c>
      <c r="H176">
        <v>2.92</v>
      </c>
      <c r="I176">
        <v>29.52</v>
      </c>
      <c r="J176">
        <v>11.75</v>
      </c>
      <c r="K176">
        <f t="shared" si="69"/>
        <v>6300</v>
      </c>
      <c r="L176">
        <f t="shared" si="54"/>
        <v>17.77</v>
      </c>
      <c r="M176">
        <f t="shared" si="55"/>
        <v>3</v>
      </c>
      <c r="N176" s="2">
        <f>FiberLength!D28*$C$2*PI()</f>
        <v>3.9364155949480104E-4</v>
      </c>
      <c r="O176" s="2">
        <f t="shared" si="56"/>
        <v>25.842023622859358</v>
      </c>
      <c r="P176">
        <v>4.2999999999999997E-2</v>
      </c>
      <c r="R176">
        <v>0.68300000000000005</v>
      </c>
      <c r="T176">
        <v>0.995</v>
      </c>
      <c r="V176">
        <v>0.995</v>
      </c>
      <c r="X176">
        <v>296</v>
      </c>
      <c r="Y176" s="2">
        <f t="shared" si="67"/>
        <v>0.21635152656778056</v>
      </c>
      <c r="Z176" s="2">
        <f t="shared" si="68"/>
        <v>9.2835082696330264</v>
      </c>
      <c r="AA176" s="2">
        <f t="shared" si="58"/>
        <v>3.6051599960756773E-5</v>
      </c>
      <c r="AC176" s="2">
        <f t="shared" si="59"/>
        <v>2.7339614682268867E-5</v>
      </c>
      <c r="AE176" s="2">
        <f t="shared" si="60"/>
        <v>2.13252279911158E-5</v>
      </c>
      <c r="AG176" s="2">
        <f t="shared" si="61"/>
        <v>1.6509859754633268E-5</v>
      </c>
      <c r="AI176" s="2">
        <f t="shared" si="62"/>
        <v>1.0106904663621235</v>
      </c>
      <c r="AK176" s="2">
        <f t="shared" si="63"/>
        <v>1.2431793723481233</v>
      </c>
      <c r="AM176" s="2">
        <f t="shared" si="64"/>
        <v>1.5048776909350179</v>
      </c>
      <c r="AO176" s="2">
        <f t="shared" si="65"/>
        <v>1.7654110266476921</v>
      </c>
    </row>
    <row r="177" spans="4:42" x14ac:dyDescent="0.3">
      <c r="E177" t="s">
        <v>7</v>
      </c>
      <c r="F177">
        <v>20.2</v>
      </c>
      <c r="G177">
        <v>3.08</v>
      </c>
      <c r="H177">
        <v>2.92</v>
      </c>
      <c r="I177">
        <v>30.4</v>
      </c>
      <c r="J177">
        <v>11.75</v>
      </c>
      <c r="K177">
        <f t="shared" si="69"/>
        <v>6300</v>
      </c>
      <c r="L177">
        <f t="shared" si="54"/>
        <v>18.649999999999999</v>
      </c>
      <c r="M177">
        <f t="shared" si="55"/>
        <v>3</v>
      </c>
      <c r="N177" s="2">
        <f>FiberLength!D29*$C$2*PI()</f>
        <v>3.9364155949480104E-4</v>
      </c>
      <c r="O177" s="2">
        <f t="shared" si="56"/>
        <v>27.121763678465221</v>
      </c>
      <c r="P177">
        <v>4.2000000000000003E-2</v>
      </c>
      <c r="R177">
        <v>0.68100000000000005</v>
      </c>
      <c r="T177">
        <v>0.995</v>
      </c>
      <c r="V177">
        <v>0.995</v>
      </c>
      <c r="X177">
        <v>297</v>
      </c>
      <c r="Y177" s="2">
        <f t="shared" si="67"/>
        <v>0.21921543022488688</v>
      </c>
      <c r="Z177" s="2">
        <f t="shared" si="68"/>
        <v>9.7532775365833562</v>
      </c>
      <c r="AA177" s="2">
        <f t="shared" si="58"/>
        <v>3.6293814998057431E-5</v>
      </c>
      <c r="AC177" s="2">
        <f t="shared" si="59"/>
        <v>2.7572676183833962E-5</v>
      </c>
      <c r="AE177" s="2">
        <f t="shared" si="60"/>
        <v>2.1552374617666159E-5</v>
      </c>
      <c r="AG177" s="2">
        <f t="shared" si="61"/>
        <v>1.6735884591333937E-5</v>
      </c>
      <c r="AI177" s="2">
        <f t="shared" si="62"/>
        <v>1.0110021094218262</v>
      </c>
      <c r="AK177" s="2">
        <f t="shared" si="63"/>
        <v>1.2560293068962203</v>
      </c>
      <c r="AM177" s="2">
        <f t="shared" si="64"/>
        <v>1.5347310095028248</v>
      </c>
      <c r="AO177" s="2">
        <f t="shared" si="65"/>
        <v>1.814616839082974</v>
      </c>
    </row>
    <row r="178" spans="4:42" x14ac:dyDescent="0.3">
      <c r="D178">
        <v>10</v>
      </c>
      <c r="E178" t="s">
        <v>4</v>
      </c>
      <c r="F178">
        <v>20.2</v>
      </c>
      <c r="G178">
        <v>3.08</v>
      </c>
      <c r="H178">
        <v>2.92</v>
      </c>
      <c r="I178">
        <v>28.33</v>
      </c>
      <c r="J178">
        <v>11.75</v>
      </c>
      <c r="K178">
        <f t="shared" si="69"/>
        <v>6300</v>
      </c>
      <c r="L178">
        <f t="shared" si="54"/>
        <v>16.579999999999998</v>
      </c>
      <c r="M178">
        <f t="shared" si="55"/>
        <v>3</v>
      </c>
      <c r="N178" s="2">
        <f>FiberLength!D30*$C$2*PI()</f>
        <v>3.9364155949480104E-4</v>
      </c>
      <c r="O178" s="2">
        <f t="shared" si="56"/>
        <v>24.111466047665061</v>
      </c>
      <c r="P178">
        <v>4.2000000000000003E-2</v>
      </c>
      <c r="R178">
        <v>0.68400000000000005</v>
      </c>
      <c r="T178">
        <v>0.995</v>
      </c>
      <c r="V178">
        <v>0.995</v>
      </c>
      <c r="X178">
        <v>295</v>
      </c>
      <c r="Y178" s="2">
        <f t="shared" si="67"/>
        <v>0.2111318646227866</v>
      </c>
      <c r="Z178" s="2">
        <f t="shared" si="68"/>
        <v>8.6456099310711299</v>
      </c>
      <c r="AA178" s="2">
        <f t="shared" si="58"/>
        <v>3.5721601578851972E-5</v>
      </c>
      <c r="AC178" s="2">
        <f t="shared" si="59"/>
        <v>2.7022448170573559E-5</v>
      </c>
      <c r="AE178" s="2">
        <f t="shared" si="60"/>
        <v>2.1016926828085345E-5</v>
      </c>
      <c r="AG178" s="2">
        <f t="shared" si="61"/>
        <v>1.6204644280353327E-5</v>
      </c>
      <c r="AI178" s="2">
        <f t="shared" si="62"/>
        <v>1.0096920034255961</v>
      </c>
      <c r="AK178" s="2">
        <f t="shared" si="63"/>
        <v>1.2253982489964963</v>
      </c>
      <c r="AM178" s="2">
        <f t="shared" si="64"/>
        <v>1.4653958317935172</v>
      </c>
      <c r="AO178" s="2">
        <f t="shared" si="65"/>
        <v>1.7009709603593228</v>
      </c>
    </row>
    <row r="179" spans="4:42" x14ac:dyDescent="0.3">
      <c r="E179" t="s">
        <v>5</v>
      </c>
      <c r="F179">
        <v>20.2</v>
      </c>
      <c r="G179">
        <v>3.08</v>
      </c>
      <c r="H179">
        <v>2.92</v>
      </c>
      <c r="I179">
        <v>28.82</v>
      </c>
      <c r="J179">
        <v>11.83</v>
      </c>
      <c r="K179">
        <f t="shared" si="69"/>
        <v>6300</v>
      </c>
      <c r="L179">
        <f t="shared" si="54"/>
        <v>16.990000000000002</v>
      </c>
      <c r="M179">
        <f t="shared" si="55"/>
        <v>3</v>
      </c>
      <c r="N179" s="2">
        <f>FiberLength!D31*$C$2*PI()</f>
        <v>3.9584067435231396E-4</v>
      </c>
      <c r="O179" s="2">
        <f t="shared" si="56"/>
        <v>24.570443525941382</v>
      </c>
      <c r="P179">
        <v>4.2999999999999997E-2</v>
      </c>
      <c r="R179">
        <v>0.69099999999999995</v>
      </c>
      <c r="T179">
        <v>0.995</v>
      </c>
      <c r="V179">
        <v>0.995</v>
      </c>
      <c r="X179">
        <v>292</v>
      </c>
      <c r="Y179" s="2">
        <f t="shared" si="67"/>
        <v>0.21404471231949768</v>
      </c>
      <c r="Z179" s="2">
        <f t="shared" si="68"/>
        <v>8.8193962173735923</v>
      </c>
      <c r="AA179" s="2">
        <f t="shared" si="58"/>
        <v>3.5809411209280808E-5</v>
      </c>
      <c r="AC179" s="2">
        <f t="shared" si="59"/>
        <v>2.7106806632809983E-5</v>
      </c>
      <c r="AE179" s="2">
        <f t="shared" si="60"/>
        <v>2.1098839716899368E-5</v>
      </c>
      <c r="AG179" s="2">
        <f t="shared" si="61"/>
        <v>1.6285564582417012E-5</v>
      </c>
      <c r="AI179" s="2">
        <f t="shared" si="62"/>
        <v>1.0101254961858543</v>
      </c>
      <c r="AK179" s="2">
        <f t="shared" si="63"/>
        <v>1.2325329723416736</v>
      </c>
      <c r="AM179" s="2">
        <f t="shared" si="64"/>
        <v>1.4757694030413964</v>
      </c>
      <c r="AO179" s="2">
        <f t="shared" si="65"/>
        <v>1.7178309459692274</v>
      </c>
    </row>
    <row r="180" spans="4:42" x14ac:dyDescent="0.3">
      <c r="E180" t="s">
        <v>6</v>
      </c>
      <c r="F180">
        <v>20.2</v>
      </c>
      <c r="G180">
        <v>3.08</v>
      </c>
      <c r="H180">
        <v>2.92</v>
      </c>
      <c r="I180">
        <v>29.04</v>
      </c>
      <c r="J180">
        <v>11.79</v>
      </c>
      <c r="K180">
        <f t="shared" si="69"/>
        <v>6300</v>
      </c>
      <c r="L180">
        <f t="shared" si="54"/>
        <v>17.25</v>
      </c>
      <c r="M180">
        <f t="shared" si="55"/>
        <v>3</v>
      </c>
      <c r="N180" s="2">
        <f>FiberLength!D32*$C$2*PI()</f>
        <v>3.9364155949480104E-4</v>
      </c>
      <c r="O180" s="2">
        <f t="shared" si="56"/>
        <v>25.085813590001344</v>
      </c>
      <c r="P180">
        <v>4.2000000000000003E-2</v>
      </c>
      <c r="R180">
        <v>0.68500000000000005</v>
      </c>
      <c r="T180">
        <v>0.995</v>
      </c>
      <c r="V180">
        <v>0.995</v>
      </c>
      <c r="X180">
        <v>295</v>
      </c>
      <c r="Y180" s="2">
        <f t="shared" si="67"/>
        <v>0.21403734219177156</v>
      </c>
      <c r="Z180" s="2">
        <f t="shared" si="68"/>
        <v>9.0043610310760034</v>
      </c>
      <c r="AA180" s="2">
        <f t="shared" si="58"/>
        <v>3.5907758910570353E-5</v>
      </c>
      <c r="AC180" s="2">
        <f t="shared" si="59"/>
        <v>2.7201319583155301E-5</v>
      </c>
      <c r="AE180" s="2">
        <f t="shared" si="60"/>
        <v>2.119068701105287E-5</v>
      </c>
      <c r="AG180" s="2">
        <f t="shared" si="61"/>
        <v>1.6376446763573487E-5</v>
      </c>
      <c r="AI180" s="2">
        <f t="shared" si="62"/>
        <v>1.0101130998876826</v>
      </c>
      <c r="AK180" s="2">
        <f t="shared" si="63"/>
        <v>1.2359147873140264</v>
      </c>
      <c r="AM180" s="2">
        <f t="shared" si="64"/>
        <v>1.487501229335318</v>
      </c>
      <c r="AO180" s="2">
        <f t="shared" si="65"/>
        <v>1.7369598630196814</v>
      </c>
    </row>
    <row r="181" spans="4:42" x14ac:dyDescent="0.3">
      <c r="E181" t="s">
        <v>7</v>
      </c>
      <c r="F181">
        <v>20.2</v>
      </c>
      <c r="G181">
        <v>3.08</v>
      </c>
      <c r="H181">
        <v>2.92</v>
      </c>
      <c r="I181">
        <v>28.42</v>
      </c>
      <c r="J181">
        <v>11.75</v>
      </c>
      <c r="K181">
        <f t="shared" si="69"/>
        <v>6300</v>
      </c>
      <c r="L181">
        <f t="shared" si="54"/>
        <v>16.670000000000002</v>
      </c>
      <c r="M181">
        <f t="shared" si="55"/>
        <v>3</v>
      </c>
      <c r="N181" s="2">
        <f>FiberLength!D33*$C$2*PI()</f>
        <v>3.9144244463728818E-4</v>
      </c>
      <c r="O181" s="2">
        <f t="shared" si="56"/>
        <v>24.378541522752887</v>
      </c>
      <c r="P181">
        <v>3.6999999999999998E-2</v>
      </c>
      <c r="R181">
        <v>0.68500000000000005</v>
      </c>
      <c r="T181">
        <v>0.995</v>
      </c>
      <c r="V181">
        <v>0.995</v>
      </c>
      <c r="X181">
        <v>291</v>
      </c>
      <c r="Y181" s="2">
        <f t="shared" si="67"/>
        <v>0.20961788968490225</v>
      </c>
      <c r="Z181" s="2">
        <f t="shared" si="68"/>
        <v>8.7366319589828478</v>
      </c>
      <c r="AA181" s="2">
        <f t="shared" si="58"/>
        <v>3.5772723233563684E-5</v>
      </c>
      <c r="AC181" s="2">
        <f t="shared" si="59"/>
        <v>2.7071557564017602E-5</v>
      </c>
      <c r="AE181" s="2">
        <f t="shared" si="60"/>
        <v>2.1064605029766915E-5</v>
      </c>
      <c r="AG181" s="2">
        <f t="shared" si="61"/>
        <v>1.6251729699525786E-5</v>
      </c>
      <c r="AI181" s="2">
        <f t="shared" si="62"/>
        <v>1.0086396346056861</v>
      </c>
      <c r="AK181" s="2">
        <f t="shared" si="63"/>
        <v>1.2285100497846653</v>
      </c>
      <c r="AM181" s="2">
        <f t="shared" si="64"/>
        <v>1.4714236321449181</v>
      </c>
      <c r="AO181" s="2">
        <f t="shared" si="65"/>
        <v>1.7107616157968089</v>
      </c>
    </row>
    <row r="182" spans="4:42" x14ac:dyDescent="0.3">
      <c r="D182">
        <v>7</v>
      </c>
      <c r="E182" t="s">
        <v>4</v>
      </c>
      <c r="F182">
        <v>21.1</v>
      </c>
      <c r="G182">
        <v>2.11</v>
      </c>
      <c r="H182">
        <v>1.89</v>
      </c>
      <c r="I182">
        <v>28.3</v>
      </c>
      <c r="J182">
        <v>11.8</v>
      </c>
      <c r="K182">
        <f>143*60</f>
        <v>8580</v>
      </c>
      <c r="L182">
        <f t="shared" si="54"/>
        <v>16.5</v>
      </c>
      <c r="M182">
        <f t="shared" si="55"/>
        <v>2</v>
      </c>
      <c r="N182" s="2">
        <f>FiberLength!D18*$C$2*PI()</f>
        <v>3.9364155949480104E-4</v>
      </c>
      <c r="O182" s="2">
        <f t="shared" si="56"/>
        <v>17.618798842475865</v>
      </c>
      <c r="Q182">
        <v>0.122</v>
      </c>
      <c r="S182">
        <v>0.97099999999999997</v>
      </c>
      <c r="U182">
        <v>0.999</v>
      </c>
      <c r="W182">
        <v>0.998</v>
      </c>
      <c r="X182">
        <v>270</v>
      </c>
      <c r="Y182" s="2">
        <f t="shared" ref="Y182" si="70">8.314*293.15*1000*(1/106*(Q182+AJ182-1)+1/400*(S182+AL182-1)+1/1000*(U182+AN182-1)+1/3000*(W182+AP182-1))/10^5</f>
        <v>0.15603100961509178</v>
      </c>
      <c r="Z182" s="2">
        <f t="shared" si="68"/>
        <v>9.5548238253172233</v>
      </c>
      <c r="AB182" s="2">
        <f>(($O182/1000/60/60/$AX$85)+(1+0.26*($O182/1000/60/60/$AX$85)^(1.4))^(-1.7))*$AX$85</f>
        <v>3.0153523060333589E-5</v>
      </c>
      <c r="AD182" s="2">
        <f>(($O182/1000/60/60/$AZ$85)+(1+0.26*($O182/1000/60/60/$AZ$85)^(1.4))^(-1.7))*$AZ$85</f>
        <v>2.1839362141868362E-5</v>
      </c>
      <c r="AF182" s="2">
        <f>(($O182/1000/60/60/$BB$85)+(1+0.26*($O182/1000/60/60/$BB$85)^(1.4))^(-1.7))*$BB$85</f>
        <v>1.7618551507024297E-5</v>
      </c>
      <c r="AH182" s="2">
        <f>(($O182/1000/60/60/$BD$85)+(1+0.26*($O182/1000/60/60/$BD$85)^(1.4))^(-1.7))*$BD$85</f>
        <v>1.3767846116260908E-5</v>
      </c>
      <c r="AJ182" s="2">
        <f>(AB182/($O182/1000/60/60)+Q182-1)/(AB182/($O182/1000/60/60)-1)</f>
        <v>1.0236379813563434</v>
      </c>
      <c r="AL182" s="2">
        <f>(AD182/($O182/1000/60/60)+S182-1)/(AD182/($O182/1000/60/60)-1)</f>
        <v>1.2804432627100693</v>
      </c>
      <c r="AN182" s="2">
        <f>(AF182/($O182/1000/60/60)+U182-1)/(AF182/($O182/1000/60/60)-1)</f>
        <v>1.3842382378412115</v>
      </c>
      <c r="AP182" s="2">
        <f>(AH182/($O182/1000/60/60)+W182-1)/(AH182/($O182/1000/60/60)-1)</f>
        <v>1.5504246394762069</v>
      </c>
    </row>
    <row r="183" spans="4:42" x14ac:dyDescent="0.3">
      <c r="E183" t="s">
        <v>5</v>
      </c>
      <c r="F183">
        <v>21.1</v>
      </c>
      <c r="G183">
        <v>2.11</v>
      </c>
      <c r="H183">
        <v>1.89</v>
      </c>
      <c r="K183">
        <f t="shared" ref="K183:K197" si="71">143*60</f>
        <v>8580</v>
      </c>
      <c r="M183">
        <f t="shared" si="55"/>
        <v>2</v>
      </c>
      <c r="N183" s="2">
        <f>FiberLength!D19*$C$2*PI()</f>
        <v>3.9144244463728818E-4</v>
      </c>
      <c r="O183" s="2"/>
      <c r="Q183">
        <v>0.122</v>
      </c>
      <c r="S183">
        <v>0.97099999999999997</v>
      </c>
      <c r="U183">
        <v>0.999</v>
      </c>
      <c r="W183">
        <v>0.998</v>
      </c>
      <c r="X183">
        <v>270</v>
      </c>
      <c r="Y183" s="2"/>
      <c r="Z183" s="2"/>
      <c r="AB183" s="2"/>
      <c r="AD183" s="2"/>
      <c r="AF183" s="2"/>
      <c r="AH183" s="2"/>
      <c r="AJ183" s="2"/>
      <c r="AL183" s="2"/>
      <c r="AN183" s="2"/>
      <c r="AP183" s="2"/>
    </row>
    <row r="184" spans="4:42" x14ac:dyDescent="0.3">
      <c r="E184" t="s">
        <v>6</v>
      </c>
      <c r="F184">
        <v>21.1</v>
      </c>
      <c r="G184">
        <v>2.11</v>
      </c>
      <c r="H184">
        <v>1.89</v>
      </c>
      <c r="I184">
        <v>30.74</v>
      </c>
      <c r="J184">
        <v>11.76</v>
      </c>
      <c r="K184">
        <f t="shared" si="71"/>
        <v>8580</v>
      </c>
      <c r="L184">
        <f t="shared" si="54"/>
        <v>18.979999999999997</v>
      </c>
      <c r="M184">
        <f t="shared" si="55"/>
        <v>2</v>
      </c>
      <c r="N184" s="2">
        <f>FiberLength!D20*$C$2*PI()</f>
        <v>3.9364155949480104E-4</v>
      </c>
      <c r="O184" s="2">
        <f t="shared" si="56"/>
        <v>20.266957698799505</v>
      </c>
      <c r="Q184">
        <v>0.121</v>
      </c>
      <c r="S184">
        <v>0.97</v>
      </c>
      <c r="U184">
        <v>0.999</v>
      </c>
      <c r="W184">
        <v>0.998</v>
      </c>
      <c r="X184">
        <v>271</v>
      </c>
      <c r="Y184" s="2">
        <f t="shared" ref="Y184:Y213" si="72">8.314*293.15*1000*(1/106*(Q184+AJ184-1)+1/400*(S184+AL184-1)+1/1000*(U184+AN184-1)+1/3000*(W184+AP184-1))/10^5</f>
        <v>0.16186111500543729</v>
      </c>
      <c r="Z184" s="2">
        <f t="shared" ref="Z184:Z214" si="73">O184/(M184-Y184)</f>
        <v>11.025803253631434</v>
      </c>
      <c r="AB184" s="2">
        <f t="shared" ref="AB184:AB213" si="74">(($O184/1000/60/60/$AX$85)+(1+0.26*($O184/1000/60/60/$AX$85)^(1.4))^(-1.7))*$AX$85</f>
        <v>3.0666898011662326E-5</v>
      </c>
      <c r="AD184" s="2">
        <f t="shared" ref="AD184:AD213" si="75">(($O184/1000/60/60/$AZ$85)+(1+0.26*($O184/1000/60/60/$AZ$85)^(1.4))^(-1.7))*$AZ$85</f>
        <v>2.2329348587406904E-5</v>
      </c>
      <c r="AF184" s="2">
        <f t="shared" ref="AF184:AF213" si="76">(($O184/1000/60/60/$BB$85)+(1+0.26*($O184/1000/60/60/$BB$85)^(1.4))^(-1.7))*$BB$85</f>
        <v>1.8095432801485211E-5</v>
      </c>
      <c r="AH184" s="2">
        <f t="shared" ref="AH184:AH213" si="77">(($O184/1000/60/60/$BD$85)+(1+0.26*($O184/1000/60/60/$BD$85)^(1.4))^(-1.7))*$BD$85</f>
        <v>1.4235562742523257E-5</v>
      </c>
      <c r="AJ184" s="2">
        <f t="shared" ref="AJ184:AJ213" si="78">(AB184/($O184/1000/60/60)+Q184-1)/(AB184/($O184/1000/60/60)-1)</f>
        <v>1.0272073277406422</v>
      </c>
      <c r="AL184" s="2">
        <f t="shared" ref="AL184:AL213" si="79">(AD184/($O184/1000/60/60)+S184-1)/(AD184/($O184/1000/60/60)-1)</f>
        <v>1.3270022451958177</v>
      </c>
      <c r="AN184" s="2">
        <f t="shared" ref="AN184:AN213" si="80">(AF184/($O184/1000/60/60)+U184-1)/(AF184/($O184/1000/60/60)-1)</f>
        <v>1.4511636480193382</v>
      </c>
      <c r="AP184" s="2">
        <f t="shared" ref="AP184:AP213" si="81">(AH184/($O184/1000/60/60)+W184-1)/(AH184/($O184/1000/60/60)-1)</f>
        <v>1.6528639900218423</v>
      </c>
    </row>
    <row r="185" spans="4:42" x14ac:dyDescent="0.3">
      <c r="E185" t="s">
        <v>7</v>
      </c>
      <c r="F185">
        <v>21.1</v>
      </c>
      <c r="G185">
        <v>2.11</v>
      </c>
      <c r="H185">
        <v>1.89</v>
      </c>
      <c r="I185">
        <v>29.94</v>
      </c>
      <c r="J185">
        <v>11.84</v>
      </c>
      <c r="K185">
        <f t="shared" si="71"/>
        <v>8580</v>
      </c>
      <c r="L185">
        <f t="shared" si="54"/>
        <v>18.100000000000001</v>
      </c>
      <c r="M185">
        <f t="shared" si="55"/>
        <v>2</v>
      </c>
      <c r="N185" s="2">
        <f>FiberLength!D21*$C$2*PI()</f>
        <v>3.9364155949480104E-4</v>
      </c>
      <c r="O185" s="2">
        <f t="shared" si="56"/>
        <v>19.327288427200795</v>
      </c>
      <c r="Q185">
        <v>0.12</v>
      </c>
      <c r="S185">
        <v>0.97</v>
      </c>
      <c r="U185">
        <v>0.999</v>
      </c>
      <c r="W185">
        <v>0.998</v>
      </c>
      <c r="X185">
        <v>272</v>
      </c>
      <c r="Y185" s="2">
        <f t="shared" si="72"/>
        <v>0.15936120017656916</v>
      </c>
      <c r="Z185" s="2">
        <f t="shared" si="73"/>
        <v>10.500315667068861</v>
      </c>
      <c r="AB185" s="2">
        <f t="shared" si="74"/>
        <v>3.0485790702521694E-5</v>
      </c>
      <c r="AD185" s="2">
        <f t="shared" si="75"/>
        <v>2.2156392987152656E-5</v>
      </c>
      <c r="AF185" s="2">
        <f t="shared" si="76"/>
        <v>1.7926895350815371E-5</v>
      </c>
      <c r="AH185" s="2">
        <f t="shared" si="77"/>
        <v>1.4069807578725015E-5</v>
      </c>
      <c r="AJ185" s="2">
        <f t="shared" si="78"/>
        <v>1.0256495758306994</v>
      </c>
      <c r="AL185" s="2">
        <f t="shared" si="79"/>
        <v>1.310205087518725</v>
      </c>
      <c r="AN185" s="2">
        <f t="shared" si="80"/>
        <v>1.4270771908830209</v>
      </c>
      <c r="AP185" s="2">
        <f t="shared" si="81"/>
        <v>1.6157777499397354</v>
      </c>
    </row>
    <row r="186" spans="4:42" x14ac:dyDescent="0.3">
      <c r="D186">
        <v>8</v>
      </c>
      <c r="E186" t="s">
        <v>4</v>
      </c>
      <c r="F186">
        <v>21.1</v>
      </c>
      <c r="G186">
        <v>2.11</v>
      </c>
      <c r="H186">
        <v>1.89</v>
      </c>
      <c r="I186">
        <v>27.49</v>
      </c>
      <c r="J186">
        <v>11.83</v>
      </c>
      <c r="K186">
        <f t="shared" si="71"/>
        <v>8580</v>
      </c>
      <c r="L186">
        <f t="shared" si="54"/>
        <v>15.659999999999998</v>
      </c>
      <c r="M186">
        <f t="shared" si="55"/>
        <v>2</v>
      </c>
      <c r="N186" s="2">
        <f>FiberLength!D22*$C$2*PI()</f>
        <v>3.9364155949480104E-4</v>
      </c>
      <c r="O186" s="2">
        <f t="shared" si="56"/>
        <v>16.721841810495274</v>
      </c>
      <c r="Q186">
        <v>0.123</v>
      </c>
      <c r="S186">
        <v>0.97299999999999998</v>
      </c>
      <c r="U186">
        <v>0.999</v>
      </c>
      <c r="W186">
        <v>0.998</v>
      </c>
      <c r="X186">
        <v>268</v>
      </c>
      <c r="Y186" s="2">
        <f t="shared" si="72"/>
        <v>0.15441250923375385</v>
      </c>
      <c r="Z186" s="2">
        <f t="shared" si="73"/>
        <v>9.0604438392420743</v>
      </c>
      <c r="AB186" s="2">
        <f t="shared" si="74"/>
        <v>2.9977426518846003E-5</v>
      </c>
      <c r="AD186" s="2">
        <f t="shared" si="75"/>
        <v>2.1671447083754952E-5</v>
      </c>
      <c r="AF186" s="2">
        <f t="shared" si="76"/>
        <v>1.7455509470696528E-5</v>
      </c>
      <c r="AH186" s="2">
        <f t="shared" si="77"/>
        <v>1.3608812322732347E-5</v>
      </c>
      <c r="AJ186" s="2">
        <f t="shared" si="78"/>
        <v>1.0225532522019751</v>
      </c>
      <c r="AL186" s="2">
        <f t="shared" si="79"/>
        <v>1.2654417893963443</v>
      </c>
      <c r="AN186" s="2">
        <f t="shared" si="80"/>
        <v>1.3622256551371157</v>
      </c>
      <c r="AP186" s="2">
        <f t="shared" si="81"/>
        <v>1.5171508790068617</v>
      </c>
    </row>
    <row r="187" spans="4:42" x14ac:dyDescent="0.3">
      <c r="E187" t="s">
        <v>5</v>
      </c>
      <c r="F187">
        <v>21.1</v>
      </c>
      <c r="G187">
        <v>2.11</v>
      </c>
      <c r="H187">
        <v>1.89</v>
      </c>
      <c r="I187">
        <v>27.03</v>
      </c>
      <c r="J187">
        <v>11.74</v>
      </c>
      <c r="K187">
        <f t="shared" si="71"/>
        <v>8580</v>
      </c>
      <c r="L187">
        <f t="shared" si="54"/>
        <v>15.290000000000001</v>
      </c>
      <c r="M187">
        <f t="shared" si="55"/>
        <v>2</v>
      </c>
      <c r="N187" s="2">
        <f>FiberLength!D23*$C$2*PI()</f>
        <v>3.8264598520723679E-4</v>
      </c>
      <c r="O187" s="2">
        <f t="shared" si="56"/>
        <v>16.795913180062907</v>
      </c>
      <c r="Q187">
        <v>0.126</v>
      </c>
      <c r="S187">
        <v>0.97299999999999998</v>
      </c>
      <c r="U187">
        <v>0.999</v>
      </c>
      <c r="W187">
        <v>0.998</v>
      </c>
      <c r="X187">
        <v>268</v>
      </c>
      <c r="Y187" s="2">
        <f t="shared" si="72"/>
        <v>0.15539769257348307</v>
      </c>
      <c r="Z187" s="2">
        <f t="shared" si="73"/>
        <v>9.1054386695935552</v>
      </c>
      <c r="AB187" s="2">
        <f t="shared" si="74"/>
        <v>2.9992014193376248E-5</v>
      </c>
      <c r="AD187" s="2">
        <f t="shared" si="75"/>
        <v>2.1685355019422788E-5</v>
      </c>
      <c r="AF187" s="2">
        <f t="shared" si="76"/>
        <v>1.7469007360690536E-5</v>
      </c>
      <c r="AH187" s="2">
        <f t="shared" si="77"/>
        <v>1.3621962629996498E-5</v>
      </c>
      <c r="AJ187" s="2">
        <f t="shared" si="78"/>
        <v>1.0232111567563977</v>
      </c>
      <c r="AL187" s="2">
        <f t="shared" si="79"/>
        <v>1.2667220414230727</v>
      </c>
      <c r="AN187" s="2">
        <f t="shared" si="80"/>
        <v>1.3640312939970727</v>
      </c>
      <c r="AP187" s="2">
        <f t="shared" si="81"/>
        <v>1.5198722880448792</v>
      </c>
    </row>
    <row r="188" spans="4:42" x14ac:dyDescent="0.3">
      <c r="E188" t="s">
        <v>6</v>
      </c>
      <c r="F188">
        <v>21.1</v>
      </c>
      <c r="G188">
        <v>2.11</v>
      </c>
      <c r="H188">
        <v>1.89</v>
      </c>
      <c r="I188">
        <v>27.39</v>
      </c>
      <c r="J188">
        <v>11.7</v>
      </c>
      <c r="K188">
        <f t="shared" si="71"/>
        <v>8580</v>
      </c>
      <c r="L188">
        <f t="shared" si="54"/>
        <v>15.690000000000001</v>
      </c>
      <c r="M188">
        <f t="shared" si="55"/>
        <v>2</v>
      </c>
      <c r="N188" s="2">
        <f>FiberLength!D24*$C$2*PI()</f>
        <v>3.8924332977977537E-4</v>
      </c>
      <c r="O188" s="2">
        <f t="shared" si="56"/>
        <v>16.943185323431567</v>
      </c>
      <c r="Q188">
        <v>0.126</v>
      </c>
      <c r="S188">
        <v>0.97299999999999998</v>
      </c>
      <c r="U188">
        <v>0.999</v>
      </c>
      <c r="W188">
        <v>0.998</v>
      </c>
      <c r="X188">
        <v>268</v>
      </c>
      <c r="Y188" s="2">
        <f t="shared" si="72"/>
        <v>0.15573405541343963</v>
      </c>
      <c r="Z188" s="2">
        <f t="shared" si="73"/>
        <v>9.1869534180602237</v>
      </c>
      <c r="AB188" s="2">
        <f t="shared" si="74"/>
        <v>3.0020993413000994E-5</v>
      </c>
      <c r="AD188" s="2">
        <f t="shared" si="75"/>
        <v>2.1712984850180183E-5</v>
      </c>
      <c r="AF188" s="2">
        <f t="shared" si="76"/>
        <v>1.7495825920450105E-5</v>
      </c>
      <c r="AH188" s="2">
        <f t="shared" si="77"/>
        <v>1.3648098886530639E-5</v>
      </c>
      <c r="AJ188" s="2">
        <f t="shared" si="78"/>
        <v>1.0234257142623464</v>
      </c>
      <c r="AL188" s="2">
        <f t="shared" si="79"/>
        <v>1.2692708376113764</v>
      </c>
      <c r="AN188" s="2">
        <f t="shared" si="80"/>
        <v>1.367627819790904</v>
      </c>
      <c r="AP188" s="2">
        <f t="shared" si="81"/>
        <v>1.5252971221111689</v>
      </c>
    </row>
    <row r="189" spans="4:42" x14ac:dyDescent="0.3">
      <c r="E189" t="s">
        <v>7</v>
      </c>
      <c r="F189">
        <v>21.1</v>
      </c>
      <c r="G189">
        <v>2.11</v>
      </c>
      <c r="H189">
        <v>1.89</v>
      </c>
      <c r="I189">
        <v>27.62</v>
      </c>
      <c r="J189">
        <v>11.7</v>
      </c>
      <c r="K189">
        <f t="shared" si="71"/>
        <v>8580</v>
      </c>
      <c r="L189">
        <f t="shared" si="54"/>
        <v>15.920000000000002</v>
      </c>
      <c r="M189">
        <f t="shared" si="55"/>
        <v>2</v>
      </c>
      <c r="N189" s="2">
        <f>FiberLength!D25*$C$2*PI()</f>
        <v>3.8704421492226246E-4</v>
      </c>
      <c r="O189" s="2">
        <f t="shared" si="56"/>
        <v>17.289235084513304</v>
      </c>
      <c r="Q189">
        <v>0.127</v>
      </c>
      <c r="S189">
        <v>0.97299999999999998</v>
      </c>
      <c r="U189">
        <v>0.999</v>
      </c>
      <c r="W189">
        <v>0.998</v>
      </c>
      <c r="X189">
        <v>268</v>
      </c>
      <c r="Y189" s="2">
        <f t="shared" si="72"/>
        <v>0.15680072773655448</v>
      </c>
      <c r="Z189" s="2">
        <f t="shared" si="73"/>
        <v>9.3800140574503121</v>
      </c>
      <c r="AB189" s="2">
        <f t="shared" si="74"/>
        <v>3.0088959057961832E-5</v>
      </c>
      <c r="AD189" s="2">
        <f t="shared" si="75"/>
        <v>2.1777791217522417E-5</v>
      </c>
      <c r="AF189" s="2">
        <f t="shared" si="76"/>
        <v>1.7558747321250968E-5</v>
      </c>
      <c r="AH189" s="2">
        <f t="shared" si="77"/>
        <v>1.3709463423514859E-5</v>
      </c>
      <c r="AJ189" s="2">
        <f t="shared" si="78"/>
        <v>1.0241207108901171</v>
      </c>
      <c r="AL189" s="2">
        <f t="shared" si="79"/>
        <v>1.2752773990266271</v>
      </c>
      <c r="AN189" s="2">
        <f t="shared" si="80"/>
        <v>1.3761127528935551</v>
      </c>
      <c r="AP189" s="2">
        <f t="shared" si="81"/>
        <v>1.5381177717382957</v>
      </c>
    </row>
    <row r="190" spans="4:42" x14ac:dyDescent="0.3">
      <c r="D190">
        <v>9</v>
      </c>
      <c r="E190" t="s">
        <v>4</v>
      </c>
      <c r="F190">
        <v>21.1</v>
      </c>
      <c r="G190">
        <v>2.11</v>
      </c>
      <c r="H190">
        <v>1.89</v>
      </c>
      <c r="I190">
        <v>27.92</v>
      </c>
      <c r="J190">
        <v>11.79</v>
      </c>
      <c r="K190">
        <f t="shared" si="71"/>
        <v>8580</v>
      </c>
      <c r="L190">
        <f t="shared" si="54"/>
        <v>16.130000000000003</v>
      </c>
      <c r="M190">
        <f t="shared" si="55"/>
        <v>2</v>
      </c>
      <c r="N190" s="2">
        <f>FiberLength!D26*$C$2*PI()</f>
        <v>3.9144244463728818E-4</v>
      </c>
      <c r="O190" s="2">
        <f t="shared" si="56"/>
        <v>17.320473045255465</v>
      </c>
      <c r="Q190">
        <v>0.124</v>
      </c>
      <c r="S190">
        <v>0.97199999999999998</v>
      </c>
      <c r="U190">
        <v>0.999</v>
      </c>
      <c r="W190">
        <v>0.998</v>
      </c>
      <c r="X190">
        <v>269</v>
      </c>
      <c r="Y190" s="2">
        <f t="shared" si="72"/>
        <v>0.15597333974152558</v>
      </c>
      <c r="Z190" s="2">
        <f t="shared" si="73"/>
        <v>9.3927454621657578</v>
      </c>
      <c r="AB190" s="2">
        <f t="shared" si="74"/>
        <v>3.0095085606535738E-5</v>
      </c>
      <c r="AD190" s="2">
        <f t="shared" si="75"/>
        <v>2.1783633393094397E-5</v>
      </c>
      <c r="AF190" s="2">
        <f t="shared" si="76"/>
        <v>1.7564420833125519E-5</v>
      </c>
      <c r="AH190" s="2">
        <f t="shared" si="77"/>
        <v>1.3714999622870417E-5</v>
      </c>
      <c r="AJ190" s="2">
        <f t="shared" si="78"/>
        <v>1.0235958619637695</v>
      </c>
      <c r="AL190" s="2">
        <f t="shared" si="79"/>
        <v>1.2755373568249302</v>
      </c>
      <c r="AN190" s="2">
        <f t="shared" si="80"/>
        <v>1.3768810526480106</v>
      </c>
      <c r="AP190" s="2">
        <f t="shared" si="81"/>
        <v>1.5392802126185055</v>
      </c>
    </row>
    <row r="191" spans="4:42" x14ac:dyDescent="0.3">
      <c r="E191" t="s">
        <v>5</v>
      </c>
      <c r="F191">
        <v>21.1</v>
      </c>
      <c r="G191">
        <v>2.11</v>
      </c>
      <c r="H191">
        <v>1.89</v>
      </c>
      <c r="I191">
        <v>28.3</v>
      </c>
      <c r="J191">
        <v>11.8</v>
      </c>
      <c r="K191">
        <f t="shared" si="71"/>
        <v>8580</v>
      </c>
      <c r="L191">
        <f t="shared" si="54"/>
        <v>16.5</v>
      </c>
      <c r="M191">
        <f t="shared" si="55"/>
        <v>2</v>
      </c>
      <c r="N191" s="2">
        <f>FiberLength!D27*$C$2*PI()</f>
        <v>3.9364155949480104E-4</v>
      </c>
      <c r="O191" s="2">
        <f t="shared" si="56"/>
        <v>17.618798842475865</v>
      </c>
      <c r="Q191">
        <v>0.125</v>
      </c>
      <c r="S191">
        <v>0.97299999999999998</v>
      </c>
      <c r="U191">
        <v>0.999</v>
      </c>
      <c r="W191">
        <v>0.998</v>
      </c>
      <c r="X191">
        <v>268</v>
      </c>
      <c r="Y191" s="2">
        <f t="shared" si="72"/>
        <v>0.15701150479139117</v>
      </c>
      <c r="Z191" s="2">
        <f t="shared" si="73"/>
        <v>9.5599071227417429</v>
      </c>
      <c r="AB191" s="2">
        <f t="shared" si="74"/>
        <v>3.0153523060333589E-5</v>
      </c>
      <c r="AD191" s="2">
        <f t="shared" si="75"/>
        <v>2.1839362141868362E-5</v>
      </c>
      <c r="AF191" s="2">
        <f t="shared" si="76"/>
        <v>1.7618551507024297E-5</v>
      </c>
      <c r="AH191" s="2">
        <f t="shared" si="77"/>
        <v>1.3767846116260908E-5</v>
      </c>
      <c r="AJ191" s="2">
        <f t="shared" si="78"/>
        <v>1.0242192431929749</v>
      </c>
      <c r="AL191" s="2">
        <f t="shared" si="79"/>
        <v>1.2810209007383082</v>
      </c>
      <c r="AN191" s="2">
        <f t="shared" si="80"/>
        <v>1.3842382378412115</v>
      </c>
      <c r="AP191" s="2">
        <f t="shared" si="81"/>
        <v>1.5504246394762069</v>
      </c>
    </row>
    <row r="192" spans="4:42" x14ac:dyDescent="0.3">
      <c r="E192" t="s">
        <v>6</v>
      </c>
      <c r="F192">
        <v>21.1</v>
      </c>
      <c r="G192">
        <v>2.11</v>
      </c>
      <c r="H192">
        <v>1.89</v>
      </c>
      <c r="I192">
        <v>27.38</v>
      </c>
      <c r="J192">
        <v>11.75</v>
      </c>
      <c r="K192">
        <f t="shared" si="71"/>
        <v>8580</v>
      </c>
      <c r="L192">
        <f t="shared" si="54"/>
        <v>15.629999999999999</v>
      </c>
      <c r="M192">
        <f t="shared" si="55"/>
        <v>2</v>
      </c>
      <c r="N192" s="2">
        <f>FiberLength!D28*$C$2*PI()</f>
        <v>3.9364155949480104E-4</v>
      </c>
      <c r="O192" s="2">
        <f t="shared" si="56"/>
        <v>16.689807630781683</v>
      </c>
      <c r="Q192">
        <v>0.124</v>
      </c>
      <c r="S192">
        <v>0.97299999999999998</v>
      </c>
      <c r="U192">
        <v>0.999</v>
      </c>
      <c r="W192">
        <v>0.998</v>
      </c>
      <c r="X192">
        <v>268</v>
      </c>
      <c r="Y192" s="2">
        <f t="shared" si="72"/>
        <v>0.15461176927957362</v>
      </c>
      <c r="Z192" s="2">
        <f t="shared" si="73"/>
        <v>9.0440631152535857</v>
      </c>
      <c r="AB192" s="2">
        <f t="shared" si="74"/>
        <v>2.9971115095540657E-5</v>
      </c>
      <c r="AD192" s="2">
        <f t="shared" si="75"/>
        <v>2.1665429847109702E-5</v>
      </c>
      <c r="AF192" s="2">
        <f t="shared" si="76"/>
        <v>1.7449669983493521E-5</v>
      </c>
      <c r="AH192" s="2">
        <f t="shared" si="77"/>
        <v>1.3603124068679533E-5</v>
      </c>
      <c r="AJ192" s="2">
        <f t="shared" si="78"/>
        <v>1.0226907380626564</v>
      </c>
      <c r="AL192" s="2">
        <f t="shared" si="79"/>
        <v>1.2648884569820844</v>
      </c>
      <c r="AN192" s="2">
        <f t="shared" si="80"/>
        <v>1.3614454305403365</v>
      </c>
      <c r="AP192" s="2">
        <f t="shared" si="81"/>
        <v>1.5159753878079836</v>
      </c>
    </row>
    <row r="193" spans="4:42" x14ac:dyDescent="0.3">
      <c r="E193" t="s">
        <v>7</v>
      </c>
      <c r="F193">
        <v>21.1</v>
      </c>
      <c r="G193">
        <v>2.11</v>
      </c>
      <c r="H193">
        <v>1.89</v>
      </c>
      <c r="I193">
        <v>28.05</v>
      </c>
      <c r="J193">
        <v>11.72</v>
      </c>
      <c r="K193">
        <f t="shared" si="71"/>
        <v>8580</v>
      </c>
      <c r="L193">
        <f t="shared" si="54"/>
        <v>16.329999999999998</v>
      </c>
      <c r="M193">
        <f t="shared" si="55"/>
        <v>2</v>
      </c>
      <c r="N193" s="2">
        <f>FiberLength!D29*$C$2*PI()</f>
        <v>3.9364155949480104E-4</v>
      </c>
      <c r="O193" s="2">
        <f t="shared" si="56"/>
        <v>17.437271824098836</v>
      </c>
      <c r="Q193">
        <v>0.125</v>
      </c>
      <c r="S193">
        <v>0.97299999999999998</v>
      </c>
      <c r="U193">
        <v>0.999</v>
      </c>
      <c r="W193">
        <v>0.998</v>
      </c>
      <c r="X193">
        <v>268</v>
      </c>
      <c r="Y193" s="2">
        <f t="shared" si="72"/>
        <v>0.1565935728594034</v>
      </c>
      <c r="Z193" s="2">
        <f t="shared" si="73"/>
        <v>9.4592660453867978</v>
      </c>
      <c r="AB193" s="2">
        <f t="shared" si="74"/>
        <v>3.0117980118551101E-5</v>
      </c>
      <c r="AD193" s="2">
        <f t="shared" si="75"/>
        <v>2.1805465867079931E-5</v>
      </c>
      <c r="AF193" s="2">
        <f t="shared" si="76"/>
        <v>1.7585624892706633E-5</v>
      </c>
      <c r="AH193" s="2">
        <f t="shared" si="77"/>
        <v>1.3735695036742618E-5</v>
      </c>
      <c r="AJ193" s="2">
        <f t="shared" si="78"/>
        <v>1.0239555984901334</v>
      </c>
      <c r="AL193" s="2">
        <f t="shared" si="79"/>
        <v>1.2778545227987221</v>
      </c>
      <c r="AN193" s="2">
        <f t="shared" si="80"/>
        <v>1.379757210150578</v>
      </c>
      <c r="AP193" s="2">
        <f t="shared" si="81"/>
        <v>1.5436341281767807</v>
      </c>
    </row>
    <row r="194" spans="4:42" x14ac:dyDescent="0.3">
      <c r="D194">
        <v>10</v>
      </c>
      <c r="E194" t="s">
        <v>4</v>
      </c>
      <c r="F194">
        <v>21.1</v>
      </c>
      <c r="G194">
        <v>2.11</v>
      </c>
      <c r="H194">
        <v>1.89</v>
      </c>
      <c r="I194">
        <v>26.26</v>
      </c>
      <c r="J194">
        <v>11.72</v>
      </c>
      <c r="K194">
        <f t="shared" si="71"/>
        <v>8580</v>
      </c>
      <c r="L194">
        <f t="shared" si="54"/>
        <v>14.540000000000001</v>
      </c>
      <c r="M194">
        <f t="shared" si="55"/>
        <v>2</v>
      </c>
      <c r="N194" s="2">
        <f>FiberLength!D30*$C$2*PI()</f>
        <v>3.9364155949480104E-4</v>
      </c>
      <c r="O194" s="2">
        <f t="shared" si="56"/>
        <v>15.525899101187822</v>
      </c>
      <c r="Q194">
        <v>0.124</v>
      </c>
      <c r="S194">
        <v>0.97299999999999998</v>
      </c>
      <c r="U194">
        <v>0.999</v>
      </c>
      <c r="W194">
        <v>0.998</v>
      </c>
      <c r="X194">
        <v>269</v>
      </c>
      <c r="Y194" s="2">
        <f t="shared" si="72"/>
        <v>0.15198730147692702</v>
      </c>
      <c r="Z194" s="2">
        <f t="shared" si="73"/>
        <v>8.4014028223919031</v>
      </c>
      <c r="AB194" s="2">
        <f t="shared" si="74"/>
        <v>2.974071192456817E-5</v>
      </c>
      <c r="AD194" s="2">
        <f t="shared" si="75"/>
        <v>2.1445795447839343E-5</v>
      </c>
      <c r="AF194" s="2">
        <f t="shared" si="76"/>
        <v>1.7236656671873639E-5</v>
      </c>
      <c r="AH194" s="2">
        <f t="shared" si="77"/>
        <v>1.3395970942894071E-5</v>
      </c>
      <c r="AJ194" s="2">
        <f t="shared" si="78"/>
        <v>1.0210312161618171</v>
      </c>
      <c r="AL194" s="2">
        <f t="shared" si="79"/>
        <v>1.2449246667030749</v>
      </c>
      <c r="AN194" s="2">
        <f t="shared" si="80"/>
        <v>1.3333695473616891</v>
      </c>
      <c r="AP194" s="2">
        <f t="shared" si="81"/>
        <v>1.4738543914743389</v>
      </c>
    </row>
    <row r="195" spans="4:42" x14ac:dyDescent="0.3">
      <c r="E195" t="s">
        <v>5</v>
      </c>
      <c r="F195">
        <v>21.1</v>
      </c>
      <c r="G195">
        <v>2.11</v>
      </c>
      <c r="H195">
        <v>1.89</v>
      </c>
      <c r="I195">
        <v>26.81</v>
      </c>
      <c r="J195">
        <v>11.72</v>
      </c>
      <c r="K195">
        <f t="shared" si="71"/>
        <v>8580</v>
      </c>
      <c r="L195">
        <f t="shared" si="54"/>
        <v>15.089999999999998</v>
      </c>
      <c r="M195">
        <f t="shared" si="55"/>
        <v>2</v>
      </c>
      <c r="N195" s="2">
        <f>FiberLength!D31*$C$2*PI()</f>
        <v>3.9584067435231396E-4</v>
      </c>
      <c r="O195" s="2">
        <f t="shared" si="56"/>
        <v>16.02367466040403</v>
      </c>
      <c r="Q195">
        <v>0.129</v>
      </c>
      <c r="S195">
        <v>0.97499999999999998</v>
      </c>
      <c r="U195">
        <v>0.999</v>
      </c>
      <c r="W195">
        <v>0.998</v>
      </c>
      <c r="X195">
        <v>266</v>
      </c>
      <c r="Y195" s="2">
        <f t="shared" si="72"/>
        <v>0.15460940159174522</v>
      </c>
      <c r="Z195" s="2">
        <f t="shared" si="73"/>
        <v>8.6830802509914609</v>
      </c>
      <c r="AB195" s="2">
        <f t="shared" si="74"/>
        <v>2.9839512847921987E-5</v>
      </c>
      <c r="AD195" s="2">
        <f t="shared" si="75"/>
        <v>2.1539972849194627E-5</v>
      </c>
      <c r="AF195" s="2">
        <f t="shared" si="76"/>
        <v>1.7327964493361183E-5</v>
      </c>
      <c r="AH195" s="2">
        <f t="shared" si="77"/>
        <v>1.3484686534082068E-5</v>
      </c>
      <c r="AJ195" s="2">
        <f t="shared" si="78"/>
        <v>1.0226158242430394</v>
      </c>
      <c r="AL195" s="2">
        <f t="shared" si="79"/>
        <v>1.2539503412814554</v>
      </c>
      <c r="AN195" s="2">
        <f t="shared" si="80"/>
        <v>1.3453125060639122</v>
      </c>
      <c r="AP195" s="2">
        <f t="shared" si="81"/>
        <v>1.4917293597403127</v>
      </c>
    </row>
    <row r="196" spans="4:42" x14ac:dyDescent="0.3">
      <c r="E196" t="s">
        <v>6</v>
      </c>
      <c r="F196">
        <v>21.1</v>
      </c>
      <c r="G196">
        <v>2.11</v>
      </c>
      <c r="H196">
        <v>1.89</v>
      </c>
      <c r="I196">
        <v>26.97</v>
      </c>
      <c r="J196">
        <v>11.65</v>
      </c>
      <c r="K196">
        <f t="shared" si="71"/>
        <v>8580</v>
      </c>
      <c r="L196">
        <f t="shared" si="54"/>
        <v>15.319999999999999</v>
      </c>
      <c r="M196">
        <f t="shared" si="55"/>
        <v>2</v>
      </c>
      <c r="N196" s="2">
        <f>FiberLength!D32*$C$2*PI()</f>
        <v>3.9364155949480104E-4</v>
      </c>
      <c r="O196" s="2">
        <f t="shared" si="56"/>
        <v>16.358787773741224</v>
      </c>
      <c r="Q196">
        <v>0.128</v>
      </c>
      <c r="S196">
        <v>0.97399999999999998</v>
      </c>
      <c r="U196">
        <v>0.999</v>
      </c>
      <c r="W196">
        <v>0.998</v>
      </c>
      <c r="X196">
        <v>267</v>
      </c>
      <c r="Y196" s="2">
        <f t="shared" si="72"/>
        <v>0.15502275426452325</v>
      </c>
      <c r="Z196" s="2">
        <f t="shared" si="73"/>
        <v>8.8666609908351468</v>
      </c>
      <c r="AB196" s="2">
        <f t="shared" si="74"/>
        <v>2.9905804761843644E-5</v>
      </c>
      <c r="AD196" s="2">
        <f t="shared" si="75"/>
        <v>2.1603166810504045E-5</v>
      </c>
      <c r="AF196" s="2">
        <f t="shared" si="76"/>
        <v>1.7389258135134689E-5</v>
      </c>
      <c r="AH196" s="2">
        <f t="shared" si="77"/>
        <v>1.3544306964572077E-5</v>
      </c>
      <c r="AJ196" s="2">
        <f t="shared" si="78"/>
        <v>1.0229340247395446</v>
      </c>
      <c r="AL196" s="2">
        <f t="shared" si="79"/>
        <v>1.2594492984368528</v>
      </c>
      <c r="AN196" s="2">
        <f t="shared" si="80"/>
        <v>1.3534068079165542</v>
      </c>
      <c r="AP196" s="2">
        <f t="shared" si="81"/>
        <v>1.5038799001786169</v>
      </c>
    </row>
    <row r="197" spans="4:42" x14ac:dyDescent="0.3">
      <c r="E197" t="s">
        <v>7</v>
      </c>
      <c r="F197">
        <v>21.1</v>
      </c>
      <c r="G197">
        <v>2.11</v>
      </c>
      <c r="H197">
        <v>1.89</v>
      </c>
      <c r="I197">
        <v>27.4</v>
      </c>
      <c r="J197">
        <v>11.8</v>
      </c>
      <c r="K197">
        <f t="shared" si="71"/>
        <v>8580</v>
      </c>
      <c r="L197">
        <f t="shared" si="54"/>
        <v>15.599999999999998</v>
      </c>
      <c r="M197">
        <f t="shared" si="55"/>
        <v>2</v>
      </c>
      <c r="N197" s="2">
        <f>FiberLength!D33*$C$2*PI()</f>
        <v>3.9144244463728818E-4</v>
      </c>
      <c r="O197" s="2">
        <f t="shared" si="56"/>
        <v>16.7513564479842</v>
      </c>
      <c r="Q197">
        <v>0.121</v>
      </c>
      <c r="S197">
        <v>0.97099999999999997</v>
      </c>
      <c r="U197">
        <v>0.999</v>
      </c>
      <c r="W197">
        <v>0.998</v>
      </c>
      <c r="X197">
        <v>270</v>
      </c>
      <c r="Y197" s="2">
        <f t="shared" si="72"/>
        <v>0.15378005423848545</v>
      </c>
      <c r="Z197" s="2">
        <f t="shared" si="73"/>
        <v>9.0733265483570165</v>
      </c>
      <c r="AB197" s="2">
        <f t="shared" si="74"/>
        <v>2.9983240154465891E-5</v>
      </c>
      <c r="AD197" s="2">
        <f t="shared" si="75"/>
        <v>2.1676989785583556E-5</v>
      </c>
      <c r="AF197" s="2">
        <f t="shared" si="76"/>
        <v>1.7460888624356799E-5</v>
      </c>
      <c r="AH197" s="2">
        <f t="shared" si="77"/>
        <v>1.3614052624809692E-5</v>
      </c>
      <c r="AJ197" s="2">
        <f t="shared" si="78"/>
        <v>1.0222277852529453</v>
      </c>
      <c r="AL197" s="2">
        <f t="shared" si="79"/>
        <v>1.2654051233975077</v>
      </c>
      <c r="AN197" s="2">
        <f t="shared" si="80"/>
        <v>1.3629448733228087</v>
      </c>
      <c r="AP197" s="2">
        <f t="shared" si="81"/>
        <v>1.5182346937510456</v>
      </c>
    </row>
    <row r="198" spans="4:42" x14ac:dyDescent="0.3">
      <c r="D198">
        <v>7</v>
      </c>
      <c r="E198" t="s">
        <v>4</v>
      </c>
      <c r="F198">
        <v>20.3</v>
      </c>
      <c r="G198">
        <v>1.1100000000000001</v>
      </c>
      <c r="H198">
        <v>0.89</v>
      </c>
      <c r="I198">
        <v>16.329999999999998</v>
      </c>
      <c r="J198">
        <v>11.8</v>
      </c>
      <c r="K198">
        <f>85*60</f>
        <v>5100</v>
      </c>
      <c r="L198">
        <f t="shared" si="54"/>
        <v>4.5299999999999976</v>
      </c>
      <c r="M198">
        <f t="shared" si="55"/>
        <v>1</v>
      </c>
      <c r="N198" s="2">
        <f>FiberLength!D18*$C$2*PI()</f>
        <v>3.9364155949480104E-4</v>
      </c>
      <c r="O198" s="2">
        <f t="shared" si="56"/>
        <v>8.137812265360024</v>
      </c>
      <c r="Q198">
        <v>6.5000000000000002E-2</v>
      </c>
      <c r="S198">
        <v>0.95499999999999996</v>
      </c>
      <c r="U198">
        <v>0.999</v>
      </c>
      <c r="W198">
        <v>0.998</v>
      </c>
      <c r="X198">
        <v>292</v>
      </c>
      <c r="Y198" s="2">
        <f t="shared" si="72"/>
        <v>0.1202411105158504</v>
      </c>
      <c r="Z198" s="2">
        <f t="shared" si="73"/>
        <v>9.2500483514655532</v>
      </c>
      <c r="AB198" s="2">
        <f t="shared" si="74"/>
        <v>2.8217787771556512E-5</v>
      </c>
      <c r="AD198" s="2">
        <f t="shared" si="75"/>
        <v>1.9991853378719163E-5</v>
      </c>
      <c r="AF198" s="2">
        <f t="shared" si="76"/>
        <v>1.5829539226078848E-5</v>
      </c>
      <c r="AH198" s="2">
        <f t="shared" si="77"/>
        <v>1.2039217557034932E-5</v>
      </c>
      <c r="AJ198" s="2">
        <f t="shared" si="78"/>
        <v>1.0056605583001113</v>
      </c>
      <c r="AL198" s="2">
        <f t="shared" si="79"/>
        <v>1.1217493736898791</v>
      </c>
      <c r="AN198" s="2">
        <f t="shared" si="80"/>
        <v>1.1664261878113391</v>
      </c>
      <c r="AP198" s="2">
        <f t="shared" si="81"/>
        <v>1.2307033793632836</v>
      </c>
    </row>
    <row r="199" spans="4:42" x14ac:dyDescent="0.3">
      <c r="E199" t="s">
        <v>5</v>
      </c>
      <c r="F199">
        <v>20.3</v>
      </c>
      <c r="G199">
        <v>1.1100000000000001</v>
      </c>
      <c r="H199">
        <v>0.89</v>
      </c>
      <c r="I199">
        <v>16.489999999999998</v>
      </c>
      <c r="J199">
        <v>11.75</v>
      </c>
      <c r="K199">
        <f t="shared" ref="K199:K213" si="82">85*60</f>
        <v>5100</v>
      </c>
      <c r="L199">
        <f t="shared" ref="L199:L261" si="83">I199-J199</f>
        <v>4.7399999999999984</v>
      </c>
      <c r="M199">
        <f t="shared" ref="M199:M261" si="84">(G199+H199)/2</f>
        <v>1</v>
      </c>
      <c r="N199" s="2">
        <f>FiberLength!D19*$C$2*PI()</f>
        <v>3.9144244463728818E-4</v>
      </c>
      <c r="O199" s="2">
        <f t="shared" si="56"/>
        <v>8.5628992666460402</v>
      </c>
      <c r="Q199">
        <v>6.2E-2</v>
      </c>
      <c r="S199">
        <v>0.95399999999999996</v>
      </c>
      <c r="U199">
        <v>0.998</v>
      </c>
      <c r="W199">
        <v>0.997</v>
      </c>
      <c r="X199">
        <v>295</v>
      </c>
      <c r="Y199" s="2">
        <f t="shared" si="72"/>
        <v>0.12017855700579455</v>
      </c>
      <c r="Z199" s="2">
        <f t="shared" si="73"/>
        <v>9.7325421366235503</v>
      </c>
      <c r="AB199" s="2">
        <f t="shared" si="74"/>
        <v>2.8308853460427009E-5</v>
      </c>
      <c r="AD199" s="2">
        <f t="shared" si="75"/>
        <v>2.0079081789823316E-5</v>
      </c>
      <c r="AF199" s="2">
        <f t="shared" si="76"/>
        <v>1.5913991775777794E-5</v>
      </c>
      <c r="AH199" s="2">
        <f t="shared" si="77"/>
        <v>1.2120357343011561E-5</v>
      </c>
      <c r="AJ199" s="2">
        <f t="shared" si="78"/>
        <v>1.0056872586423249</v>
      </c>
      <c r="AL199" s="2">
        <f t="shared" si="79"/>
        <v>1.1281979874817627</v>
      </c>
      <c r="AN199" s="2">
        <f t="shared" si="80"/>
        <v>1.1753789653066129</v>
      </c>
      <c r="AP199" s="2">
        <f t="shared" si="81"/>
        <v>1.2434307476533444</v>
      </c>
    </row>
    <row r="200" spans="4:42" x14ac:dyDescent="0.3">
      <c r="E200" t="s">
        <v>6</v>
      </c>
      <c r="F200">
        <v>20.3</v>
      </c>
      <c r="G200">
        <v>1.1100000000000001</v>
      </c>
      <c r="H200">
        <v>0.89</v>
      </c>
      <c r="I200">
        <v>16.91</v>
      </c>
      <c r="J200">
        <v>11.76</v>
      </c>
      <c r="K200">
        <f t="shared" si="82"/>
        <v>5100</v>
      </c>
      <c r="L200">
        <f t="shared" si="83"/>
        <v>5.15</v>
      </c>
      <c r="M200">
        <f t="shared" si="84"/>
        <v>1</v>
      </c>
      <c r="N200" s="2">
        <f>FiberLength!D20*$C$2*PI()</f>
        <v>3.9364155949480104E-4</v>
      </c>
      <c r="O200" s="2">
        <f t="shared" si="56"/>
        <v>9.2515967255196792</v>
      </c>
      <c r="Q200">
        <v>6.2E-2</v>
      </c>
      <c r="S200">
        <v>0.95399999999999996</v>
      </c>
      <c r="U200">
        <v>0.998</v>
      </c>
      <c r="W200">
        <v>0.997</v>
      </c>
      <c r="X200">
        <v>295</v>
      </c>
      <c r="Y200" s="2">
        <f t="shared" si="72"/>
        <v>0.12147419883807176</v>
      </c>
      <c r="Z200" s="2">
        <f t="shared" si="73"/>
        <v>10.530819599474054</v>
      </c>
      <c r="AB200" s="2">
        <f t="shared" si="74"/>
        <v>2.8455347251799318E-5</v>
      </c>
      <c r="AD200" s="2">
        <f t="shared" si="75"/>
        <v>2.0219285878440973E-5</v>
      </c>
      <c r="AF200" s="2">
        <f t="shared" si="76"/>
        <v>1.6049684922271133E-5</v>
      </c>
      <c r="AH200" s="2">
        <f t="shared" si="77"/>
        <v>1.2250739519596445E-5</v>
      </c>
      <c r="AJ200" s="2">
        <f t="shared" si="78"/>
        <v>1.006155311097247</v>
      </c>
      <c r="AL200" s="2">
        <f t="shared" si="79"/>
        <v>1.1389097320075476</v>
      </c>
      <c r="AN200" s="2">
        <f t="shared" si="80"/>
        <v>1.1902660859214094</v>
      </c>
      <c r="AP200" s="2">
        <f t="shared" si="81"/>
        <v>1.2646645602105315</v>
      </c>
    </row>
    <row r="201" spans="4:42" x14ac:dyDescent="0.3">
      <c r="E201" t="s">
        <v>7</v>
      </c>
      <c r="F201">
        <v>20.3</v>
      </c>
      <c r="G201">
        <v>1.1100000000000001</v>
      </c>
      <c r="H201">
        <v>0.89</v>
      </c>
      <c r="I201">
        <v>16.77</v>
      </c>
      <c r="J201">
        <v>11.84</v>
      </c>
      <c r="K201">
        <f t="shared" si="82"/>
        <v>5100</v>
      </c>
      <c r="L201">
        <f t="shared" si="83"/>
        <v>4.93</v>
      </c>
      <c r="M201">
        <f t="shared" si="84"/>
        <v>1</v>
      </c>
      <c r="N201" s="2">
        <f>FiberLength!D21*$C$2*PI()</f>
        <v>3.9364155949480104E-4</v>
      </c>
      <c r="O201" s="2">
        <f t="shared" si="56"/>
        <v>8.856382884817867</v>
      </c>
      <c r="Q201">
        <v>5.8999999999999997E-2</v>
      </c>
      <c r="S201">
        <v>0.95399999999999996</v>
      </c>
      <c r="U201">
        <v>0.998</v>
      </c>
      <c r="W201">
        <v>0.997</v>
      </c>
      <c r="X201">
        <v>295</v>
      </c>
      <c r="Y201" s="2">
        <f t="shared" si="72"/>
        <v>0.11997409993235096</v>
      </c>
      <c r="Z201" s="2">
        <f t="shared" si="73"/>
        <v>10.063775264042867</v>
      </c>
      <c r="AB201" s="2">
        <f t="shared" si="74"/>
        <v>2.8371435431343915E-5</v>
      </c>
      <c r="AD201" s="2">
        <f t="shared" si="75"/>
        <v>2.0138993654074924E-5</v>
      </c>
      <c r="AF201" s="2">
        <f t="shared" si="76"/>
        <v>1.597198267370697E-5</v>
      </c>
      <c r="AH201" s="2">
        <f t="shared" si="77"/>
        <v>1.2176075414923768E-5</v>
      </c>
      <c r="AJ201" s="2">
        <f t="shared" si="78"/>
        <v>1.0056016530313707</v>
      </c>
      <c r="AL201" s="2">
        <f t="shared" si="79"/>
        <v>1.132753912903272</v>
      </c>
      <c r="AN201" s="2">
        <f t="shared" si="80"/>
        <v>1.1817057887900457</v>
      </c>
      <c r="AP201" s="2">
        <f t="shared" si="81"/>
        <v>1.2524427592527247</v>
      </c>
    </row>
    <row r="202" spans="4:42" x14ac:dyDescent="0.3">
      <c r="D202">
        <v>8</v>
      </c>
      <c r="E202" t="s">
        <v>4</v>
      </c>
      <c r="F202">
        <v>20.3</v>
      </c>
      <c r="G202">
        <v>1.1100000000000001</v>
      </c>
      <c r="H202">
        <v>0.89</v>
      </c>
      <c r="I202">
        <v>16.12</v>
      </c>
      <c r="J202">
        <v>11.83</v>
      </c>
      <c r="K202">
        <f t="shared" si="82"/>
        <v>5100</v>
      </c>
      <c r="L202">
        <f t="shared" si="83"/>
        <v>4.2900000000000009</v>
      </c>
      <c r="M202">
        <f t="shared" si="84"/>
        <v>1</v>
      </c>
      <c r="N202" s="2">
        <f>FiberLength!D22*$C$2*PI()</f>
        <v>3.9364155949480104E-4</v>
      </c>
      <c r="O202" s="2">
        <f t="shared" si="56"/>
        <v>7.7066698936853273</v>
      </c>
      <c r="Q202">
        <v>6.0999999999999999E-2</v>
      </c>
      <c r="S202">
        <v>0.95699999999999996</v>
      </c>
      <c r="U202">
        <v>0.999</v>
      </c>
      <c r="W202">
        <v>0.998</v>
      </c>
      <c r="X202">
        <v>290</v>
      </c>
      <c r="Y202" s="2">
        <f t="shared" si="72"/>
        <v>0.11857642518378425</v>
      </c>
      <c r="Z202" s="2">
        <f t="shared" si="73"/>
        <v>8.7434351813113604</v>
      </c>
      <c r="AB202" s="2">
        <f t="shared" si="74"/>
        <v>2.8124898243616464E-5</v>
      </c>
      <c r="AD202" s="2">
        <f t="shared" si="75"/>
        <v>1.9902815045147306E-5</v>
      </c>
      <c r="AF202" s="2">
        <f t="shared" si="76"/>
        <v>1.5743304534731422E-5</v>
      </c>
      <c r="AH202" s="2">
        <f t="shared" si="77"/>
        <v>1.1956361968217185E-5</v>
      </c>
      <c r="AJ202" s="2">
        <f t="shared" si="78"/>
        <v>1.0050255716143832</v>
      </c>
      <c r="AL202" s="2">
        <f t="shared" si="79"/>
        <v>1.1153406868487465</v>
      </c>
      <c r="AN202" s="2">
        <f t="shared" si="80"/>
        <v>1.1572204379128832</v>
      </c>
      <c r="AP202" s="2">
        <f t="shared" si="81"/>
        <v>1.2176592086691842</v>
      </c>
    </row>
    <row r="203" spans="4:42" x14ac:dyDescent="0.3">
      <c r="E203" t="s">
        <v>5</v>
      </c>
      <c r="F203">
        <v>20.3</v>
      </c>
      <c r="G203">
        <v>1.1100000000000001</v>
      </c>
      <c r="H203">
        <v>0.89</v>
      </c>
      <c r="I203">
        <v>15.89</v>
      </c>
      <c r="J203">
        <v>11.74</v>
      </c>
      <c r="K203">
        <f t="shared" si="82"/>
        <v>5100</v>
      </c>
      <c r="L203">
        <f t="shared" si="83"/>
        <v>4.1500000000000004</v>
      </c>
      <c r="M203">
        <f t="shared" si="84"/>
        <v>1</v>
      </c>
      <c r="N203" s="2">
        <f>FiberLength!D23*$C$2*PI()</f>
        <v>3.8264598520723679E-4</v>
      </c>
      <c r="O203" s="2">
        <f t="shared" si="56"/>
        <v>7.6693992049462025</v>
      </c>
      <c r="Q203">
        <v>6.2E-2</v>
      </c>
      <c r="S203">
        <v>0.95799999999999996</v>
      </c>
      <c r="U203">
        <v>0.999</v>
      </c>
      <c r="W203">
        <v>0.998</v>
      </c>
      <c r="X203">
        <v>289</v>
      </c>
      <c r="Y203" s="2">
        <f t="shared" si="72"/>
        <v>0.11882427543629447</v>
      </c>
      <c r="Z203" s="2">
        <f t="shared" si="73"/>
        <v>8.7035979216784867</v>
      </c>
      <c r="AB203" s="2">
        <f t="shared" si="74"/>
        <v>2.8116842679811909E-5</v>
      </c>
      <c r="AD203" s="2">
        <f t="shared" si="75"/>
        <v>1.9895090311264365E-5</v>
      </c>
      <c r="AF203" s="2">
        <f t="shared" si="76"/>
        <v>1.5735821459784988E-5</v>
      </c>
      <c r="AH203" s="2">
        <f t="shared" si="77"/>
        <v>1.1949171681713291E-5</v>
      </c>
      <c r="AJ203" s="2">
        <f t="shared" si="78"/>
        <v>1.0050828057325054</v>
      </c>
      <c r="AL203" s="2">
        <f t="shared" si="79"/>
        <v>1.1148858216125122</v>
      </c>
      <c r="AN203" s="2">
        <f t="shared" si="80"/>
        <v>1.1564270914383534</v>
      </c>
      <c r="AP203" s="2">
        <f t="shared" si="81"/>
        <v>1.2165368037712914</v>
      </c>
    </row>
    <row r="204" spans="4:42" x14ac:dyDescent="0.3">
      <c r="E204" t="s">
        <v>6</v>
      </c>
      <c r="F204">
        <v>20.3</v>
      </c>
      <c r="G204">
        <v>1.1100000000000001</v>
      </c>
      <c r="H204">
        <v>0.89</v>
      </c>
      <c r="I204">
        <v>15.96</v>
      </c>
      <c r="J204">
        <v>11.7</v>
      </c>
      <c r="K204">
        <f t="shared" si="82"/>
        <v>5100</v>
      </c>
      <c r="L204">
        <f t="shared" si="83"/>
        <v>4.2600000000000016</v>
      </c>
      <c r="M204">
        <f t="shared" si="84"/>
        <v>1</v>
      </c>
      <c r="N204" s="2">
        <f>FiberLength!D24*$C$2*PI()</f>
        <v>3.8924332977977537E-4</v>
      </c>
      <c r="O204" s="2">
        <f t="shared" si="56"/>
        <v>7.7392491548217635</v>
      </c>
      <c r="Q204">
        <v>6.4000000000000001E-2</v>
      </c>
      <c r="S204">
        <v>0.95799999999999996</v>
      </c>
      <c r="U204">
        <v>0.999</v>
      </c>
      <c r="W204">
        <v>0.998</v>
      </c>
      <c r="X204">
        <v>289</v>
      </c>
      <c r="Y204" s="2">
        <f t="shared" si="72"/>
        <v>0.1194520780280912</v>
      </c>
      <c r="Z204" s="2">
        <f t="shared" si="73"/>
        <v>8.7891288613689564</v>
      </c>
      <c r="AB204" s="2">
        <f t="shared" si="74"/>
        <v>2.8131936438340125E-5</v>
      </c>
      <c r="AD204" s="2">
        <f t="shared" si="75"/>
        <v>1.9909563770441926E-5</v>
      </c>
      <c r="AF204" s="2">
        <f t="shared" si="76"/>
        <v>1.5749841918834468E-5</v>
      </c>
      <c r="AH204" s="2">
        <f t="shared" si="77"/>
        <v>1.1962643493065313E-5</v>
      </c>
      <c r="AJ204" s="2">
        <f t="shared" si="78"/>
        <v>1.0052954308278683</v>
      </c>
      <c r="AL204" s="2">
        <f t="shared" si="79"/>
        <v>1.1159643351556523</v>
      </c>
      <c r="AN204" s="2">
        <f t="shared" si="80"/>
        <v>1.1579142402835545</v>
      </c>
      <c r="AP204" s="2">
        <f t="shared" si="81"/>
        <v>1.2186410062698176</v>
      </c>
    </row>
    <row r="205" spans="4:42" x14ac:dyDescent="0.3">
      <c r="E205" t="s">
        <v>7</v>
      </c>
      <c r="F205">
        <v>20.3</v>
      </c>
      <c r="G205">
        <v>1.1100000000000001</v>
      </c>
      <c r="H205">
        <v>0.89</v>
      </c>
      <c r="I205">
        <v>16.059999999999999</v>
      </c>
      <c r="J205">
        <v>11.7</v>
      </c>
      <c r="K205">
        <f t="shared" si="82"/>
        <v>5100</v>
      </c>
      <c r="L205">
        <f t="shared" si="83"/>
        <v>4.3599999999999994</v>
      </c>
      <c r="M205">
        <f t="shared" si="84"/>
        <v>1</v>
      </c>
      <c r="N205" s="2">
        <f>FiberLength!D25*$C$2*PI()</f>
        <v>3.8704421492226246E-4</v>
      </c>
      <c r="O205" s="2">
        <f t="shared" si="56"/>
        <v>7.9659269069556249</v>
      </c>
      <c r="Q205">
        <v>6.6000000000000003E-2</v>
      </c>
      <c r="S205">
        <v>0.95799999999999996</v>
      </c>
      <c r="U205">
        <v>0.999</v>
      </c>
      <c r="W205">
        <v>0.998</v>
      </c>
      <c r="X205">
        <v>289</v>
      </c>
      <c r="Y205" s="2">
        <f t="shared" si="72"/>
        <v>0.12037451129825637</v>
      </c>
      <c r="Z205" s="2">
        <f t="shared" si="73"/>
        <v>9.0560437473369397</v>
      </c>
      <c r="AB205" s="2">
        <f t="shared" si="74"/>
        <v>2.8180819852696797E-5</v>
      </c>
      <c r="AD205" s="2">
        <f t="shared" si="75"/>
        <v>1.9956426028619443E-5</v>
      </c>
      <c r="AF205" s="2">
        <f t="shared" si="76"/>
        <v>1.5795231287989392E-5</v>
      </c>
      <c r="AH205" s="2">
        <f t="shared" si="77"/>
        <v>1.2006254853480418E-5</v>
      </c>
      <c r="AJ205" s="2">
        <f t="shared" si="78"/>
        <v>1.0056239079822475</v>
      </c>
      <c r="AL205" s="2">
        <f t="shared" si="79"/>
        <v>1.1194691872051687</v>
      </c>
      <c r="AN205" s="2">
        <f t="shared" si="80"/>
        <v>1.1627497867456615</v>
      </c>
      <c r="AP205" s="2">
        <f t="shared" si="81"/>
        <v>1.2254896155757173</v>
      </c>
    </row>
    <row r="206" spans="4:42" x14ac:dyDescent="0.3">
      <c r="D206">
        <v>9</v>
      </c>
      <c r="E206" t="s">
        <v>4</v>
      </c>
      <c r="F206">
        <v>20.3</v>
      </c>
      <c r="G206">
        <v>1.1100000000000001</v>
      </c>
      <c r="H206">
        <v>0.89</v>
      </c>
      <c r="I206">
        <v>16.2</v>
      </c>
      <c r="J206">
        <v>11.79</v>
      </c>
      <c r="K206">
        <f t="shared" si="82"/>
        <v>5100</v>
      </c>
      <c r="L206">
        <f t="shared" si="83"/>
        <v>4.41</v>
      </c>
      <c r="M206">
        <f t="shared" si="84"/>
        <v>1</v>
      </c>
      <c r="N206" s="2">
        <f>FiberLength!D26*$C$2*PI()</f>
        <v>3.9144244463728818E-4</v>
      </c>
      <c r="O206" s="2">
        <f t="shared" si="56"/>
        <v>7.9667480518795459</v>
      </c>
      <c r="Q206">
        <v>6.2E-2</v>
      </c>
      <c r="S206">
        <v>0.95599999999999996</v>
      </c>
      <c r="U206">
        <v>0.999</v>
      </c>
      <c r="W206">
        <v>0.998</v>
      </c>
      <c r="X206">
        <v>291</v>
      </c>
      <c r="Y206" s="2">
        <f t="shared" si="72"/>
        <v>0.11924089540591781</v>
      </c>
      <c r="Z206" s="2">
        <f t="shared" si="73"/>
        <v>9.0453201225222681</v>
      </c>
      <c r="AB206" s="2">
        <f t="shared" si="74"/>
        <v>2.8180996661316206E-5</v>
      </c>
      <c r="AD206" s="2">
        <f t="shared" si="75"/>
        <v>1.9956595493497473E-5</v>
      </c>
      <c r="AF206" s="2">
        <f t="shared" si="76"/>
        <v>1.579539541003684E-5</v>
      </c>
      <c r="AH206" s="2">
        <f t="shared" si="77"/>
        <v>1.2006412542348994E-5</v>
      </c>
      <c r="AJ206" s="2">
        <f t="shared" si="78"/>
        <v>1.0052836200991777</v>
      </c>
      <c r="AL206" s="2">
        <f t="shared" si="79"/>
        <v>1.1192324568678869</v>
      </c>
      <c r="AN206" s="2">
        <f t="shared" si="80"/>
        <v>1.1627673299825219</v>
      </c>
      <c r="AP206" s="2">
        <f t="shared" si="81"/>
        <v>1.2255144807894891</v>
      </c>
    </row>
    <row r="207" spans="4:42" x14ac:dyDescent="0.3">
      <c r="E207" t="s">
        <v>5</v>
      </c>
      <c r="F207">
        <v>20.3</v>
      </c>
      <c r="G207">
        <v>1.1100000000000001</v>
      </c>
      <c r="H207">
        <v>0.89</v>
      </c>
      <c r="I207">
        <v>16.3</v>
      </c>
      <c r="J207">
        <v>11.8</v>
      </c>
      <c r="K207">
        <f t="shared" si="82"/>
        <v>5100</v>
      </c>
      <c r="L207">
        <f t="shared" si="83"/>
        <v>4.5</v>
      </c>
      <c r="M207">
        <f t="shared" si="84"/>
        <v>1</v>
      </c>
      <c r="N207" s="2">
        <f>FiberLength!D27*$C$2*PI()</f>
        <v>3.9364155949480104E-4</v>
      </c>
      <c r="O207" s="2">
        <f t="shared" si="56"/>
        <v>8.0839194689006906</v>
      </c>
      <c r="Q207">
        <v>6.0999999999999999E-2</v>
      </c>
      <c r="S207">
        <v>0.95699999999999996</v>
      </c>
      <c r="U207">
        <v>0.999</v>
      </c>
      <c r="W207">
        <v>0.998</v>
      </c>
      <c r="X207">
        <v>290</v>
      </c>
      <c r="Y207" s="2">
        <f t="shared" si="72"/>
        <v>0.11927819500695262</v>
      </c>
      <c r="Z207" s="2">
        <f t="shared" si="73"/>
        <v>9.178743415992189</v>
      </c>
      <c r="AB207" s="2">
        <f t="shared" si="74"/>
        <v>2.8206206010651881E-5</v>
      </c>
      <c r="AD207" s="2">
        <f t="shared" si="75"/>
        <v>1.9980755362549651E-5</v>
      </c>
      <c r="AF207" s="2">
        <f t="shared" si="76"/>
        <v>1.5818792404913424E-5</v>
      </c>
      <c r="AH207" s="2">
        <f t="shared" si="77"/>
        <v>1.2028892209367867E-5</v>
      </c>
      <c r="AJ207" s="2">
        <f t="shared" si="78"/>
        <v>1.0052763472371584</v>
      </c>
      <c r="AL207" s="2">
        <f t="shared" si="79"/>
        <v>1.1211699090882572</v>
      </c>
      <c r="AN207" s="2">
        <f t="shared" si="80"/>
        <v>1.1652725860758606</v>
      </c>
      <c r="AP207" s="2">
        <f t="shared" si="81"/>
        <v>1.2290667360808121</v>
      </c>
    </row>
    <row r="208" spans="4:42" x14ac:dyDescent="0.3">
      <c r="E208" t="s">
        <v>6</v>
      </c>
      <c r="F208">
        <v>20.3</v>
      </c>
      <c r="G208">
        <v>1.1100000000000001</v>
      </c>
      <c r="H208">
        <v>0.89</v>
      </c>
      <c r="I208">
        <v>15.92</v>
      </c>
      <c r="J208">
        <v>11.75</v>
      </c>
      <c r="K208">
        <f t="shared" si="82"/>
        <v>5100</v>
      </c>
      <c r="L208">
        <f t="shared" si="83"/>
        <v>4.17</v>
      </c>
      <c r="M208">
        <f t="shared" si="84"/>
        <v>1</v>
      </c>
      <c r="N208" s="2">
        <f>FiberLength!D28*$C$2*PI()</f>
        <v>3.9364155949480104E-4</v>
      </c>
      <c r="O208" s="2">
        <f t="shared" si="56"/>
        <v>7.4910987078479723</v>
      </c>
      <c r="Q208">
        <v>5.8999999999999997E-2</v>
      </c>
      <c r="S208">
        <v>0.95699999999999996</v>
      </c>
      <c r="U208">
        <v>0.999</v>
      </c>
      <c r="W208">
        <v>0.998</v>
      </c>
      <c r="X208">
        <v>291</v>
      </c>
      <c r="Y208" s="2">
        <f t="shared" si="72"/>
        <v>0.11768010843631865</v>
      </c>
      <c r="Z208" s="2">
        <f t="shared" si="73"/>
        <v>8.490229880879097</v>
      </c>
      <c r="AB208" s="2">
        <f t="shared" si="74"/>
        <v>2.8078247862707573E-5</v>
      </c>
      <c r="AD208" s="2">
        <f t="shared" si="75"/>
        <v>1.9858073283906381E-5</v>
      </c>
      <c r="AF208" s="2">
        <f t="shared" si="76"/>
        <v>1.5699958711420578E-5</v>
      </c>
      <c r="AH208" s="2">
        <f t="shared" si="77"/>
        <v>1.1914710726288516E-5</v>
      </c>
      <c r="AJ208" s="2">
        <f t="shared" si="78"/>
        <v>1.004722427829253</v>
      </c>
      <c r="AL208" s="2">
        <f t="shared" si="79"/>
        <v>1.1120188970167455</v>
      </c>
      <c r="AN208" s="2">
        <f t="shared" si="80"/>
        <v>1.1526371201418193</v>
      </c>
      <c r="AP208" s="2">
        <f t="shared" si="81"/>
        <v>1.211178636662483</v>
      </c>
    </row>
    <row r="209" spans="4:42" x14ac:dyDescent="0.3">
      <c r="E209" t="s">
        <v>7</v>
      </c>
      <c r="F209">
        <v>20.3</v>
      </c>
      <c r="G209">
        <v>1.1100000000000001</v>
      </c>
      <c r="H209">
        <v>0.89</v>
      </c>
      <c r="I209">
        <v>16.059999999999999</v>
      </c>
      <c r="J209">
        <v>11.72</v>
      </c>
      <c r="K209">
        <f t="shared" si="82"/>
        <v>5100</v>
      </c>
      <c r="L209">
        <f t="shared" si="83"/>
        <v>4.3399999999999981</v>
      </c>
      <c r="M209">
        <f t="shared" si="84"/>
        <v>1</v>
      </c>
      <c r="N209" s="2">
        <f>FiberLength!D29*$C$2*PI()</f>
        <v>3.9364155949480104E-4</v>
      </c>
      <c r="O209" s="2">
        <f t="shared" si="56"/>
        <v>7.7964912211175506</v>
      </c>
      <c r="Q209">
        <v>0.06</v>
      </c>
      <c r="S209">
        <v>0.95699999999999996</v>
      </c>
      <c r="U209">
        <v>0.999</v>
      </c>
      <c r="W209">
        <v>0.998</v>
      </c>
      <c r="X209">
        <v>290</v>
      </c>
      <c r="Y209" s="2">
        <f t="shared" si="72"/>
        <v>0.11849413977054211</v>
      </c>
      <c r="Z209" s="2">
        <f t="shared" si="73"/>
        <v>8.8445143394600994</v>
      </c>
      <c r="AB209" s="2">
        <f t="shared" si="74"/>
        <v>2.8144295007809638E-5</v>
      </c>
      <c r="AD209" s="2">
        <f t="shared" si="75"/>
        <v>1.9921413108254024E-5</v>
      </c>
      <c r="AF209" s="2">
        <f t="shared" si="76"/>
        <v>1.5761319706660709E-5</v>
      </c>
      <c r="AH209" s="2">
        <f t="shared" si="77"/>
        <v>1.1973671912333579E-5</v>
      </c>
      <c r="AJ209" s="2">
        <f t="shared" si="78"/>
        <v>1.0050018671266596</v>
      </c>
      <c r="AL209" s="2">
        <f t="shared" si="79"/>
        <v>1.1167267292419345</v>
      </c>
      <c r="AN209" s="2">
        <f t="shared" si="80"/>
        <v>1.1591339775899903</v>
      </c>
      <c r="AP209" s="2">
        <f t="shared" si="81"/>
        <v>1.2203675621754697</v>
      </c>
    </row>
    <row r="210" spans="4:42" x14ac:dyDescent="0.3">
      <c r="D210">
        <v>10</v>
      </c>
      <c r="E210" t="s">
        <v>4</v>
      </c>
      <c r="F210">
        <v>20.3</v>
      </c>
      <c r="G210">
        <v>1.1100000000000001</v>
      </c>
      <c r="H210">
        <v>0.89</v>
      </c>
      <c r="I210">
        <v>15.72</v>
      </c>
      <c r="J210">
        <v>11.72</v>
      </c>
      <c r="K210">
        <f t="shared" si="82"/>
        <v>5100</v>
      </c>
      <c r="L210">
        <f t="shared" si="83"/>
        <v>4</v>
      </c>
      <c r="M210">
        <f t="shared" si="84"/>
        <v>1</v>
      </c>
      <c r="N210" s="2">
        <f>FiberLength!D30*$C$2*PI()</f>
        <v>3.9364155949480104E-4</v>
      </c>
      <c r="O210" s="2">
        <f t="shared" si="56"/>
        <v>7.1857061945783922</v>
      </c>
      <c r="Q210">
        <v>5.8000000000000003E-2</v>
      </c>
      <c r="S210">
        <v>0.95699999999999996</v>
      </c>
      <c r="U210">
        <v>0.999</v>
      </c>
      <c r="W210">
        <v>0.998</v>
      </c>
      <c r="X210">
        <v>290</v>
      </c>
      <c r="Y210" s="2">
        <f t="shared" si="72"/>
        <v>0.11686955748184195</v>
      </c>
      <c r="Z210" s="2">
        <f t="shared" si="73"/>
        <v>8.1366306138072542</v>
      </c>
      <c r="AB210" s="2">
        <f t="shared" si="74"/>
        <v>2.8011917882782534E-5</v>
      </c>
      <c r="AD210" s="2">
        <f t="shared" si="75"/>
        <v>1.9794426111242798E-5</v>
      </c>
      <c r="AF210" s="2">
        <f t="shared" si="76"/>
        <v>1.5638280867704692E-5</v>
      </c>
      <c r="AH210" s="2">
        <f t="shared" si="77"/>
        <v>1.1855436927796412E-5</v>
      </c>
      <c r="AJ210" s="2">
        <f t="shared" si="78"/>
        <v>1.0044499618541787</v>
      </c>
      <c r="AL210" s="2">
        <f t="shared" si="79"/>
        <v>1.1073242872164395</v>
      </c>
      <c r="AN210" s="2">
        <f t="shared" si="80"/>
        <v>1.1461660113884027</v>
      </c>
      <c r="AP210" s="2">
        <f t="shared" si="81"/>
        <v>1.2020443372262539</v>
      </c>
    </row>
    <row r="211" spans="4:42" x14ac:dyDescent="0.3">
      <c r="E211" t="s">
        <v>5</v>
      </c>
      <c r="F211">
        <v>20.3</v>
      </c>
      <c r="G211">
        <v>1.1100000000000001</v>
      </c>
      <c r="H211">
        <v>0.89</v>
      </c>
      <c r="I211">
        <v>15.82</v>
      </c>
      <c r="J211">
        <v>11.72</v>
      </c>
      <c r="K211">
        <f t="shared" si="82"/>
        <v>5100</v>
      </c>
      <c r="L211">
        <f t="shared" si="83"/>
        <v>4.0999999999999996</v>
      </c>
      <c r="M211">
        <f t="shared" si="84"/>
        <v>1</v>
      </c>
      <c r="N211" s="2">
        <f>FiberLength!D31*$C$2*PI()</f>
        <v>3.9584067435231396E-4</v>
      </c>
      <c r="O211" s="2">
        <f t="shared" si="56"/>
        <v>7.3244302447237226</v>
      </c>
      <c r="Q211">
        <v>5.8999999999999997E-2</v>
      </c>
      <c r="S211">
        <v>0.95799999999999996</v>
      </c>
      <c r="U211">
        <v>0.999</v>
      </c>
      <c r="W211">
        <v>0.998</v>
      </c>
      <c r="X211">
        <v>289</v>
      </c>
      <c r="Y211" s="2">
        <f t="shared" si="72"/>
        <v>0.11744052089899476</v>
      </c>
      <c r="Z211" s="2">
        <f t="shared" si="73"/>
        <v>8.2990783263520669</v>
      </c>
      <c r="AB211" s="2">
        <f t="shared" si="74"/>
        <v>2.804208376993236E-5</v>
      </c>
      <c r="AD211" s="2">
        <f t="shared" si="75"/>
        <v>1.9823376501708187E-5</v>
      </c>
      <c r="AF211" s="2">
        <f t="shared" si="76"/>
        <v>1.5666337984964921E-5</v>
      </c>
      <c r="AH211" s="2">
        <f t="shared" si="77"/>
        <v>1.1882401660676598E-5</v>
      </c>
      <c r="AJ211" s="2">
        <f t="shared" si="78"/>
        <v>1.0046155602040487</v>
      </c>
      <c r="AL211" s="2">
        <f t="shared" si="79"/>
        <v>1.1095695547842839</v>
      </c>
      <c r="AN211" s="2">
        <f t="shared" si="80"/>
        <v>1.1491023390441679</v>
      </c>
      <c r="AP211" s="2">
        <f t="shared" si="81"/>
        <v>1.2061868696484124</v>
      </c>
    </row>
    <row r="212" spans="4:42" x14ac:dyDescent="0.3">
      <c r="E212" t="s">
        <v>6</v>
      </c>
      <c r="F212">
        <v>20.3</v>
      </c>
      <c r="G212">
        <v>1.1100000000000001</v>
      </c>
      <c r="H212">
        <v>0.89</v>
      </c>
      <c r="I212">
        <v>15.82</v>
      </c>
      <c r="J212">
        <v>11.65</v>
      </c>
      <c r="K212">
        <f t="shared" si="82"/>
        <v>5100</v>
      </c>
      <c r="L212">
        <f t="shared" si="83"/>
        <v>4.17</v>
      </c>
      <c r="M212">
        <f t="shared" si="84"/>
        <v>1</v>
      </c>
      <c r="N212" s="2">
        <f>FiberLength!D32*$C$2*PI()</f>
        <v>3.9364155949480104E-4</v>
      </c>
      <c r="O212" s="2">
        <f t="shared" si="56"/>
        <v>7.4910987078479723</v>
      </c>
      <c r="Q212">
        <v>5.7000000000000002E-2</v>
      </c>
      <c r="S212">
        <v>0.95699999999999996</v>
      </c>
      <c r="U212">
        <v>0.999</v>
      </c>
      <c r="W212">
        <v>0.998</v>
      </c>
      <c r="X212">
        <v>290</v>
      </c>
      <c r="Y212" s="2">
        <f t="shared" si="72"/>
        <v>0.11718344252689536</v>
      </c>
      <c r="Z212" s="2">
        <f t="shared" si="73"/>
        <v>8.4854533418469469</v>
      </c>
      <c r="AB212" s="2">
        <f t="shared" si="74"/>
        <v>2.8078247862707573E-5</v>
      </c>
      <c r="AD212" s="2">
        <f t="shared" si="75"/>
        <v>1.9858073283906381E-5</v>
      </c>
      <c r="AF212" s="2">
        <f t="shared" si="76"/>
        <v>1.5699958711420578E-5</v>
      </c>
      <c r="AH212" s="2">
        <f t="shared" si="77"/>
        <v>1.1914710726288516E-5</v>
      </c>
      <c r="AJ212" s="2">
        <f t="shared" si="78"/>
        <v>1.0045623455299564</v>
      </c>
      <c r="AL212" s="2">
        <f t="shared" si="79"/>
        <v>1.1120188970167455</v>
      </c>
      <c r="AN212" s="2">
        <f t="shared" si="80"/>
        <v>1.1526371201418193</v>
      </c>
      <c r="AP212" s="2">
        <f t="shared" si="81"/>
        <v>1.211178636662483</v>
      </c>
    </row>
    <row r="213" spans="4:42" x14ac:dyDescent="0.3">
      <c r="E213" t="s">
        <v>7</v>
      </c>
      <c r="F213">
        <v>20.3</v>
      </c>
      <c r="G213">
        <v>1.1100000000000001</v>
      </c>
      <c r="H213">
        <v>0.89</v>
      </c>
      <c r="I213">
        <v>15.93</v>
      </c>
      <c r="J213">
        <v>11.8</v>
      </c>
      <c r="K213">
        <f t="shared" si="82"/>
        <v>5100</v>
      </c>
      <c r="L213">
        <f t="shared" si="83"/>
        <v>4.129999999999999</v>
      </c>
      <c r="M213">
        <f t="shared" si="84"/>
        <v>1</v>
      </c>
      <c r="N213" s="2">
        <f>FiberLength!D33*$C$2*PI()</f>
        <v>3.9144244463728818E-4</v>
      </c>
      <c r="O213" s="2">
        <f t="shared" si="56"/>
        <v>7.4609227787443348</v>
      </c>
      <c r="Q213">
        <v>5.5E-2</v>
      </c>
      <c r="S213">
        <v>0.95399999999999996</v>
      </c>
      <c r="U213">
        <v>0.999</v>
      </c>
      <c r="W213">
        <v>0.998</v>
      </c>
      <c r="X213">
        <v>294</v>
      </c>
      <c r="Y213" s="2">
        <f t="shared" si="72"/>
        <v>0.11642726225970233</v>
      </c>
      <c r="Z213" s="2">
        <f t="shared" si="73"/>
        <v>8.444039137994853</v>
      </c>
      <c r="AB213" s="2">
        <f t="shared" si="74"/>
        <v>2.8071706507481275E-5</v>
      </c>
      <c r="AD213" s="2">
        <f t="shared" si="75"/>
        <v>1.9851798141022929E-5</v>
      </c>
      <c r="AF213" s="2">
        <f t="shared" si="76"/>
        <v>1.5693878610396908E-5</v>
      </c>
      <c r="AH213" s="2">
        <f t="shared" si="77"/>
        <v>1.1908868025384373E-5</v>
      </c>
      <c r="AJ213" s="2">
        <f t="shared" si="78"/>
        <v>1.0043842194243497</v>
      </c>
      <c r="AL213" s="2">
        <f t="shared" si="79"/>
        <v>1.1112047357159132</v>
      </c>
      <c r="AN213" s="2">
        <f t="shared" si="80"/>
        <v>1.1519965687718159</v>
      </c>
      <c r="AP213" s="2">
        <f t="shared" si="81"/>
        <v>1.2102736575909867</v>
      </c>
    </row>
    <row r="214" spans="4:42" x14ac:dyDescent="0.3">
      <c r="D214">
        <v>7</v>
      </c>
      <c r="E214" t="s">
        <v>4</v>
      </c>
      <c r="F214">
        <v>20.2</v>
      </c>
      <c r="G214">
        <v>2.11</v>
      </c>
      <c r="H214">
        <v>1.89</v>
      </c>
      <c r="I214">
        <v>20.329999999999998</v>
      </c>
      <c r="J214">
        <v>11.8</v>
      </c>
      <c r="K214">
        <f>75*60</f>
        <v>4500</v>
      </c>
      <c r="L214">
        <f t="shared" si="83"/>
        <v>8.5299999999999976</v>
      </c>
      <c r="M214">
        <f t="shared" si="84"/>
        <v>2</v>
      </c>
      <c r="N214" s="2">
        <f>FiberLength!D18*$C$2*PI()</f>
        <v>3.9364155949480104E-4</v>
      </c>
      <c r="O214" s="2">
        <f t="shared" ref="O214:O261" si="85">L214/N214/K214*60*60/$C$4</f>
        <v>17.36665425459687</v>
      </c>
      <c r="P214">
        <v>3.4000000000000002E-2</v>
      </c>
      <c r="R214">
        <v>0.63400000000000001</v>
      </c>
      <c r="T214">
        <v>0.999</v>
      </c>
      <c r="V214">
        <v>0.998</v>
      </c>
      <c r="X214">
        <v>313</v>
      </c>
      <c r="Y214" s="2">
        <f t="shared" ref="Y214" si="86">8.314*293.15*1000*(1/62*(P214+AI214-1)+1/200*(R214+AK214-1)+1/600*(T214+AM214-1)+1/2000*(V214+AO214-1))/10^5</f>
        <v>0.18218753286096159</v>
      </c>
      <c r="Z214" s="2">
        <f t="shared" si="73"/>
        <v>9.5536005878149552</v>
      </c>
      <c r="AA214" s="2">
        <f t="shared" ref="AA214:AA245" si="87">(($O214/1000/60/60/$AW$85)+(1+0.26*($O214/1000/60/60/$AW$85)^(1.4))^(-1.7))*$AW$85</f>
        <v>3.4403342283028841E-5</v>
      </c>
      <c r="AC214" s="2">
        <f t="shared" ref="AC214:AC245" si="88">(($O214/1000/60/60/$AY$85)+(1+0.26*($O214/1000/60/60/$AY$85)^(1.4))^(-1.7))*$AY$85</f>
        <v>2.5757944986149347E-5</v>
      </c>
      <c r="AE214" s="2">
        <f t="shared" ref="AE214:AE245" si="89">(($O214/1000/60/60/$BA$85)+(1+0.26*($O214/1000/60/60/$BA$85)^(1.4))^(-1.7))*$BA$85</f>
        <v>1.9795232164768783E-5</v>
      </c>
      <c r="AG214" s="2">
        <f t="shared" ref="AG214:AG245" si="90">(($O214/1000/60/60/$BC$85)+(1+0.26*($O214/1000/60/60/$BC$85)^(1.4))^(-1.7))*$BC$85</f>
        <v>1.5011256560514449E-5</v>
      </c>
      <c r="AI214" s="2">
        <f t="shared" ref="AI214:AI245" si="91">(AA214/($O214/1000/60/60)+P214-1)/(AA214/($O214/1000/60/60)-1)</f>
        <v>1.0055450453005315</v>
      </c>
      <c r="AK214" s="2">
        <f t="shared" ref="AK214:AK245" si="92">(AC214/($O214/1000/60/60)+R214-1)/(AC214/($O214/1000/60/60)-1)</f>
        <v>1.1461010381777317</v>
      </c>
      <c r="AM214" s="2">
        <f t="shared" ref="AM214:AM245" si="93">(AE214/($O214/1000/60/60)+T214-1)/(AE214/($O214/1000/60/60)-1)</f>
        <v>1.3219019809024182</v>
      </c>
      <c r="AO214" s="2">
        <f t="shared" ref="AO214:AO245" si="94">(AG214/($O214/1000/60/60)+V214-1)/(AG214/($O214/1000/60/60)-1)</f>
        <v>1.4725959176659214</v>
      </c>
    </row>
    <row r="215" spans="4:42" x14ac:dyDescent="0.3">
      <c r="E215" t="s">
        <v>5</v>
      </c>
      <c r="F215">
        <v>20.2</v>
      </c>
      <c r="G215">
        <v>2.11</v>
      </c>
      <c r="H215">
        <v>1.89</v>
      </c>
      <c r="I215">
        <v>20.7</v>
      </c>
      <c r="J215">
        <v>11.75</v>
      </c>
      <c r="K215">
        <f t="shared" ref="K215:K229" si="95">75*60</f>
        <v>4500</v>
      </c>
      <c r="L215">
        <f t="shared" si="83"/>
        <v>8.9499999999999993</v>
      </c>
      <c r="M215">
        <f t="shared" si="84"/>
        <v>2</v>
      </c>
      <c r="N215" s="2">
        <f>FiberLength!D19*$C$2*PI()</f>
        <v>3.9144244463728818E-4</v>
      </c>
      <c r="O215" s="2">
        <f t="shared" si="85"/>
        <v>18.32412269226716</v>
      </c>
      <c r="P215">
        <v>3.3000000000000002E-2</v>
      </c>
      <c r="R215">
        <v>0.629</v>
      </c>
      <c r="T215">
        <v>0.996</v>
      </c>
      <c r="V215">
        <v>0.999</v>
      </c>
      <c r="X215">
        <v>315</v>
      </c>
      <c r="Y215" s="2">
        <f t="shared" ref="Y215:Y245" si="96">8.314*293.15*1000*(1/62*(P215+AI215-1)+1/200*(R215+AK215-1)+1/600*(T215+AM215-1)+1/2000*(V215+AO215-1))/10^5</f>
        <v>0.18318517381278332</v>
      </c>
      <c r="Z215" s="2">
        <f t="shared" ref="Z215:Z246" si="97">O215/(M215-Y215)</f>
        <v>10.085850483024911</v>
      </c>
      <c r="AA215" s="2">
        <f t="shared" si="87"/>
        <v>3.4594025769823342E-5</v>
      </c>
      <c r="AC215" s="2">
        <f t="shared" si="88"/>
        <v>2.5940740507231664E-5</v>
      </c>
      <c r="AE215" s="2">
        <f t="shared" si="89"/>
        <v>1.9971264807448673E-5</v>
      </c>
      <c r="AG215" s="2">
        <f t="shared" si="90"/>
        <v>1.5181798210436314E-5</v>
      </c>
      <c r="AI215" s="2">
        <f t="shared" si="91"/>
        <v>1.0056931660790769</v>
      </c>
      <c r="AK215" s="2">
        <f t="shared" si="92"/>
        <v>1.1535502621180327</v>
      </c>
      <c r="AM215" s="2">
        <f t="shared" si="93"/>
        <v>1.3406757168218146</v>
      </c>
      <c r="AO215" s="2">
        <f t="shared" si="94"/>
        <v>1.5038706792963403</v>
      </c>
    </row>
    <row r="216" spans="4:42" x14ac:dyDescent="0.3">
      <c r="E216" t="s">
        <v>6</v>
      </c>
      <c r="F216">
        <v>20.2</v>
      </c>
      <c r="G216">
        <v>2.11</v>
      </c>
      <c r="H216">
        <v>1.89</v>
      </c>
      <c r="I216">
        <v>21.56</v>
      </c>
      <c r="J216">
        <v>11.76</v>
      </c>
      <c r="K216">
        <f t="shared" si="95"/>
        <v>4500</v>
      </c>
      <c r="L216">
        <f t="shared" si="83"/>
        <v>9.7999999999999989</v>
      </c>
      <c r="M216">
        <f t="shared" si="84"/>
        <v>2</v>
      </c>
      <c r="N216" s="2">
        <f>FiberLength!D20*$C$2*PI()</f>
        <v>3.9364155949480104E-4</v>
      </c>
      <c r="O216" s="2">
        <f t="shared" si="85"/>
        <v>19.952310866945993</v>
      </c>
      <c r="P216">
        <v>3.5000000000000003E-2</v>
      </c>
      <c r="R216">
        <v>0.63200000000000001</v>
      </c>
      <c r="T216">
        <v>0.996</v>
      </c>
      <c r="V216">
        <v>0.999</v>
      </c>
      <c r="X216">
        <v>314</v>
      </c>
      <c r="Y216" s="2">
        <f t="shared" si="96"/>
        <v>0.18864154166683253</v>
      </c>
      <c r="Z216" s="2">
        <f t="shared" si="97"/>
        <v>11.015109005705218</v>
      </c>
      <c r="AA216" s="2">
        <f t="shared" si="87"/>
        <v>3.4915388570679119E-5</v>
      </c>
      <c r="AC216" s="2">
        <f t="shared" si="88"/>
        <v>2.6248836105483107E-5</v>
      </c>
      <c r="AE216" s="2">
        <f t="shared" si="89"/>
        <v>2.0268326760410139E-5</v>
      </c>
      <c r="AG216" s="2">
        <f t="shared" si="90"/>
        <v>1.5470585934740308E-5</v>
      </c>
      <c r="AI216" s="2">
        <f t="shared" si="91"/>
        <v>1.0066040333570141</v>
      </c>
      <c r="AK216" s="2">
        <f t="shared" si="92"/>
        <v>1.1691611021482857</v>
      </c>
      <c r="AM216" s="2">
        <f t="shared" si="93"/>
        <v>1.3748562082454954</v>
      </c>
      <c r="AO216" s="2">
        <f t="shared" si="94"/>
        <v>1.5576764291010137</v>
      </c>
    </row>
    <row r="217" spans="4:42" x14ac:dyDescent="0.3">
      <c r="E217" t="s">
        <v>7</v>
      </c>
      <c r="F217">
        <v>20.2</v>
      </c>
      <c r="G217">
        <v>2.11</v>
      </c>
      <c r="H217">
        <v>1.89</v>
      </c>
      <c r="I217">
        <v>21.12</v>
      </c>
      <c r="J217">
        <v>11.79</v>
      </c>
      <c r="K217">
        <f t="shared" si="95"/>
        <v>4500</v>
      </c>
      <c r="L217">
        <f t="shared" si="83"/>
        <v>9.3300000000000018</v>
      </c>
      <c r="M217">
        <f t="shared" si="84"/>
        <v>2</v>
      </c>
      <c r="N217" s="2">
        <f>FiberLength!D21*$C$2*PI()</f>
        <v>3.9364155949480104E-4</v>
      </c>
      <c r="O217" s="2">
        <f t="shared" si="85"/>
        <v>18.995414325367978</v>
      </c>
      <c r="P217">
        <v>3.6999999999999998E-2</v>
      </c>
      <c r="R217">
        <v>0.63200000000000001</v>
      </c>
      <c r="T217">
        <v>0.99399999999999999</v>
      </c>
      <c r="V217">
        <v>0.995</v>
      </c>
      <c r="X217">
        <v>314</v>
      </c>
      <c r="Y217" s="2">
        <f t="shared" si="96"/>
        <v>0.18697614030999968</v>
      </c>
      <c r="Z217" s="2">
        <f t="shared" si="97"/>
        <v>10.477200409605148</v>
      </c>
      <c r="AA217" s="2">
        <f t="shared" si="87"/>
        <v>3.4726950557947017E-5</v>
      </c>
      <c r="AC217" s="2">
        <f t="shared" si="88"/>
        <v>2.6068169810979529E-5</v>
      </c>
      <c r="AE217" s="2">
        <f t="shared" si="89"/>
        <v>2.009407018084091E-5</v>
      </c>
      <c r="AG217" s="2">
        <f t="shared" si="90"/>
        <v>1.5301025968040033E-5</v>
      </c>
      <c r="AI217" s="2">
        <f t="shared" si="91"/>
        <v>1.006629123490925</v>
      </c>
      <c r="AK217" s="2">
        <f t="shared" si="92"/>
        <v>1.1603888087606669</v>
      </c>
      <c r="AM217" s="2">
        <f t="shared" si="93"/>
        <v>1.3539612972902955</v>
      </c>
      <c r="AO217" s="2">
        <f t="shared" si="94"/>
        <v>1.5237278610644378</v>
      </c>
    </row>
    <row r="218" spans="4:42" x14ac:dyDescent="0.3">
      <c r="D218">
        <v>8</v>
      </c>
      <c r="E218" t="s">
        <v>4</v>
      </c>
      <c r="F218">
        <v>20.2</v>
      </c>
      <c r="G218">
        <v>2.11</v>
      </c>
      <c r="H218">
        <v>1.89</v>
      </c>
      <c r="I218">
        <v>19.760000000000002</v>
      </c>
      <c r="J218">
        <v>11.83</v>
      </c>
      <c r="K218">
        <f t="shared" si="95"/>
        <v>4500</v>
      </c>
      <c r="L218">
        <f t="shared" si="83"/>
        <v>7.9300000000000015</v>
      </c>
      <c r="M218">
        <f t="shared" si="84"/>
        <v>2</v>
      </c>
      <c r="N218" s="2">
        <f>FiberLength!D22*$C$2*PI()</f>
        <v>3.9364155949480104E-4</v>
      </c>
      <c r="O218" s="2">
        <f t="shared" si="85"/>
        <v>16.145084201518554</v>
      </c>
      <c r="P218">
        <v>0.04</v>
      </c>
      <c r="R218">
        <v>0.64200000000000002</v>
      </c>
      <c r="T218">
        <v>0.99399999999999999</v>
      </c>
      <c r="V218">
        <v>0.995</v>
      </c>
      <c r="X218">
        <v>310</v>
      </c>
      <c r="Y218" s="2">
        <f t="shared" si="96"/>
        <v>0.18279661911120493</v>
      </c>
      <c r="Z218" s="2">
        <f t="shared" si="97"/>
        <v>8.884577461892011</v>
      </c>
      <c r="AA218" s="2">
        <f t="shared" si="87"/>
        <v>3.4158096379233913E-5</v>
      </c>
      <c r="AC218" s="2">
        <f t="shared" si="88"/>
        <v>2.5522823180079481E-5</v>
      </c>
      <c r="AE218" s="2">
        <f t="shared" si="89"/>
        <v>1.9568996514822964E-5</v>
      </c>
      <c r="AG218" s="2">
        <f t="shared" si="90"/>
        <v>1.4792656385627676E-5</v>
      </c>
      <c r="AI218" s="2">
        <f t="shared" si="91"/>
        <v>1.0060454859266039</v>
      </c>
      <c r="AK218" s="2">
        <f t="shared" si="92"/>
        <v>1.1368569287390007</v>
      </c>
      <c r="AM218" s="2">
        <f t="shared" si="93"/>
        <v>1.2955292355214956</v>
      </c>
      <c r="AO218" s="2">
        <f t="shared" si="94"/>
        <v>1.432902649360307</v>
      </c>
    </row>
    <row r="219" spans="4:42" x14ac:dyDescent="0.3">
      <c r="E219" t="s">
        <v>5</v>
      </c>
      <c r="F219">
        <v>20.2</v>
      </c>
      <c r="G219">
        <v>2.11</v>
      </c>
      <c r="H219">
        <v>1.89</v>
      </c>
      <c r="I219">
        <v>19.61</v>
      </c>
      <c r="J219">
        <v>11.74</v>
      </c>
      <c r="K219">
        <f t="shared" si="95"/>
        <v>4500</v>
      </c>
      <c r="L219">
        <f t="shared" si="83"/>
        <v>7.8699999999999992</v>
      </c>
      <c r="M219">
        <f t="shared" si="84"/>
        <v>2</v>
      </c>
      <c r="N219" s="2">
        <f>FiberLength!D23*$C$2*PI()</f>
        <v>3.8264598520723679E-4</v>
      </c>
      <c r="O219" s="2">
        <f t="shared" si="85"/>
        <v>16.483356138630562</v>
      </c>
      <c r="P219">
        <v>4.1000000000000002E-2</v>
      </c>
      <c r="R219">
        <v>0.64400000000000002</v>
      </c>
      <c r="T219">
        <v>0.999</v>
      </c>
      <c r="V219">
        <v>0.998</v>
      </c>
      <c r="X219">
        <v>310</v>
      </c>
      <c r="Y219" s="2">
        <f t="shared" si="96"/>
        <v>0.18469439799187742</v>
      </c>
      <c r="Z219" s="2">
        <f t="shared" si="97"/>
        <v>9.0802100320719479</v>
      </c>
      <c r="AA219" s="2">
        <f t="shared" si="87"/>
        <v>3.4226237219395237E-5</v>
      </c>
      <c r="AC219" s="2">
        <f t="shared" si="88"/>
        <v>2.5588155575959972E-5</v>
      </c>
      <c r="AE219" s="2">
        <f t="shared" si="89"/>
        <v>1.9631841425442416E-5</v>
      </c>
      <c r="AG219" s="2">
        <f t="shared" si="90"/>
        <v>1.4853318783499765E-5</v>
      </c>
      <c r="AI219" s="2">
        <f t="shared" si="91"/>
        <v>1.0063319652405909</v>
      </c>
      <c r="AK219" s="2">
        <f t="shared" si="92"/>
        <v>1.1403506465481503</v>
      </c>
      <c r="AM219" s="2">
        <f t="shared" si="93"/>
        <v>1.3038657679185814</v>
      </c>
      <c r="AO219" s="2">
        <f t="shared" si="94"/>
        <v>1.4447422507118888</v>
      </c>
    </row>
    <row r="220" spans="4:42" x14ac:dyDescent="0.3">
      <c r="E220" t="s">
        <v>6</v>
      </c>
      <c r="F220">
        <v>20.2</v>
      </c>
      <c r="G220">
        <v>2.11</v>
      </c>
      <c r="H220">
        <v>1.89</v>
      </c>
      <c r="I220">
        <v>19.82</v>
      </c>
      <c r="J220">
        <v>11.7</v>
      </c>
      <c r="K220">
        <f t="shared" si="95"/>
        <v>4500</v>
      </c>
      <c r="L220">
        <f t="shared" si="83"/>
        <v>8.120000000000001</v>
      </c>
      <c r="M220">
        <f t="shared" si="84"/>
        <v>2</v>
      </c>
      <c r="N220" s="2">
        <f>FiberLength!D24*$C$2*PI()</f>
        <v>3.8924332977977537E-4</v>
      </c>
      <c r="O220" s="2">
        <f t="shared" si="85"/>
        <v>16.718716014578963</v>
      </c>
      <c r="P220">
        <v>4.2000000000000003E-2</v>
      </c>
      <c r="R220">
        <v>0.64300000000000002</v>
      </c>
      <c r="T220">
        <v>0.99399999999999999</v>
      </c>
      <c r="V220">
        <v>0.995</v>
      </c>
      <c r="X220">
        <v>309</v>
      </c>
      <c r="Y220" s="2">
        <f t="shared" si="96"/>
        <v>0.18526335987424697</v>
      </c>
      <c r="Z220" s="2">
        <f t="shared" si="97"/>
        <v>9.2127505693721119</v>
      </c>
      <c r="AA220" s="2">
        <f t="shared" si="87"/>
        <v>3.4273543179653446E-5</v>
      </c>
      <c r="AC220" s="2">
        <f t="shared" si="88"/>
        <v>2.5633509422542981E-5</v>
      </c>
      <c r="AE220" s="2">
        <f t="shared" si="89"/>
        <v>1.9675476289038402E-5</v>
      </c>
      <c r="AG220" s="2">
        <f t="shared" si="90"/>
        <v>1.4895465470945061E-5</v>
      </c>
      <c r="AI220" s="2">
        <f t="shared" si="91"/>
        <v>1.0065830331411041</v>
      </c>
      <c r="AK220" s="2">
        <f t="shared" si="92"/>
        <v>1.1422692104065657</v>
      </c>
      <c r="AM220" s="2">
        <f t="shared" si="93"/>
        <v>1.3071055779658687</v>
      </c>
      <c r="AO220" s="2">
        <f t="shared" si="94"/>
        <v>1.4507557406477833</v>
      </c>
    </row>
    <row r="221" spans="4:42" x14ac:dyDescent="0.3">
      <c r="E221" t="s">
        <v>7</v>
      </c>
      <c r="F221">
        <v>20.2</v>
      </c>
      <c r="G221">
        <v>2.11</v>
      </c>
      <c r="H221">
        <v>1.89</v>
      </c>
      <c r="I221">
        <v>19.93</v>
      </c>
      <c r="J221">
        <v>11.7</v>
      </c>
      <c r="K221">
        <f t="shared" si="95"/>
        <v>4500</v>
      </c>
      <c r="L221">
        <f t="shared" si="83"/>
        <v>8.23</v>
      </c>
      <c r="M221">
        <f t="shared" si="84"/>
        <v>2</v>
      </c>
      <c r="N221" s="2">
        <f>FiberLength!D25*$C$2*PI()</f>
        <v>3.8704421492226246E-4</v>
      </c>
      <c r="O221" s="2">
        <f t="shared" si="85"/>
        <v>17.041480635354155</v>
      </c>
      <c r="P221">
        <v>3.1E-2</v>
      </c>
      <c r="R221">
        <v>0.64200000000000002</v>
      </c>
      <c r="T221">
        <v>0.99399999999999999</v>
      </c>
      <c r="V221">
        <v>0.995</v>
      </c>
      <c r="X221">
        <v>310</v>
      </c>
      <c r="Y221" s="2">
        <f t="shared" si="96"/>
        <v>0.18089829764837734</v>
      </c>
      <c r="Z221" s="2">
        <f t="shared" si="97"/>
        <v>9.3680747004546134</v>
      </c>
      <c r="AA221" s="2">
        <f t="shared" si="87"/>
        <v>3.4338279950449502E-5</v>
      </c>
      <c r="AC221" s="2">
        <f t="shared" si="88"/>
        <v>2.5695572256475449E-5</v>
      </c>
      <c r="AE221" s="2">
        <f t="shared" si="89"/>
        <v>1.9735198094183357E-5</v>
      </c>
      <c r="AG221" s="2">
        <f t="shared" si="90"/>
        <v>1.4953187745256447E-5</v>
      </c>
      <c r="AI221" s="2">
        <f t="shared" si="91"/>
        <v>1.0049568784517473</v>
      </c>
      <c r="AK221" s="2">
        <f t="shared" si="92"/>
        <v>1.1449808718723073</v>
      </c>
      <c r="AM221" s="2">
        <f t="shared" si="93"/>
        <v>1.3136590838745048</v>
      </c>
      <c r="AO221" s="2">
        <f t="shared" si="94"/>
        <v>1.4608935966986241</v>
      </c>
    </row>
    <row r="222" spans="4:42" x14ac:dyDescent="0.3">
      <c r="D222">
        <v>9</v>
      </c>
      <c r="E222" t="s">
        <v>4</v>
      </c>
      <c r="F222">
        <v>20.2</v>
      </c>
      <c r="G222">
        <v>2.11</v>
      </c>
      <c r="H222">
        <v>1.89</v>
      </c>
      <c r="I222">
        <v>20.11</v>
      </c>
      <c r="J222">
        <v>11.79</v>
      </c>
      <c r="K222">
        <f t="shared" si="95"/>
        <v>4500</v>
      </c>
      <c r="L222">
        <f t="shared" si="83"/>
        <v>8.32</v>
      </c>
      <c r="M222">
        <f t="shared" si="84"/>
        <v>2</v>
      </c>
      <c r="N222" s="2">
        <f>FiberLength!D26*$C$2*PI()</f>
        <v>3.9144244463728818E-4</v>
      </c>
      <c r="O222" s="2">
        <f t="shared" si="85"/>
        <v>17.034268245772381</v>
      </c>
      <c r="P222">
        <v>2.9000000000000001E-2</v>
      </c>
      <c r="R222">
        <v>0.63800000000000001</v>
      </c>
      <c r="T222">
        <v>0.99399999999999999</v>
      </c>
      <c r="V222">
        <v>0.995</v>
      </c>
      <c r="X222">
        <v>310</v>
      </c>
      <c r="Y222" s="2">
        <f t="shared" si="96"/>
        <v>0.17937135945281787</v>
      </c>
      <c r="Z222" s="2">
        <f t="shared" si="97"/>
        <v>9.3562563316881615</v>
      </c>
      <c r="AA222" s="2">
        <f t="shared" si="87"/>
        <v>3.4336835077549229E-5</v>
      </c>
      <c r="AC222" s="2">
        <f t="shared" si="88"/>
        <v>2.5694187090670103E-5</v>
      </c>
      <c r="AE222" s="2">
        <f t="shared" si="89"/>
        <v>1.9733865028884259E-5</v>
      </c>
      <c r="AG222" s="2">
        <f t="shared" si="90"/>
        <v>1.4951898832910399E-5</v>
      </c>
      <c r="AI222" s="2">
        <f t="shared" si="91"/>
        <v>1.0046350298591873</v>
      </c>
      <c r="AK222" s="2">
        <f t="shared" si="92"/>
        <v>1.1440123392671213</v>
      </c>
      <c r="AM222" s="2">
        <f t="shared" si="93"/>
        <v>1.3135123252872447</v>
      </c>
      <c r="AO222" s="2">
        <f t="shared" si="94"/>
        <v>1.460666325617642</v>
      </c>
    </row>
    <row r="223" spans="4:42" x14ac:dyDescent="0.3">
      <c r="E223" t="s">
        <v>5</v>
      </c>
      <c r="F223">
        <v>20.2</v>
      </c>
      <c r="G223">
        <v>2.11</v>
      </c>
      <c r="H223">
        <v>1.89</v>
      </c>
      <c r="I223">
        <v>20.32</v>
      </c>
      <c r="J223">
        <v>11.8</v>
      </c>
      <c r="K223">
        <f t="shared" si="95"/>
        <v>4500</v>
      </c>
      <c r="L223">
        <f t="shared" si="83"/>
        <v>8.52</v>
      </c>
      <c r="M223">
        <f t="shared" si="84"/>
        <v>2</v>
      </c>
      <c r="N223" s="2">
        <f>FiberLength!D27*$C$2*PI()</f>
        <v>3.9364155949480104E-4</v>
      </c>
      <c r="O223" s="2">
        <f t="shared" si="85"/>
        <v>17.346294753712236</v>
      </c>
      <c r="P223">
        <v>2.9000000000000001E-2</v>
      </c>
      <c r="R223">
        <v>0.64</v>
      </c>
      <c r="T223">
        <v>0.99399999999999999</v>
      </c>
      <c r="V223">
        <v>0.995</v>
      </c>
      <c r="X223">
        <v>310</v>
      </c>
      <c r="Y223" s="2">
        <f t="shared" si="96"/>
        <v>0.18042907671257696</v>
      </c>
      <c r="Z223" s="2">
        <f t="shared" si="97"/>
        <v>9.5331786915855101</v>
      </c>
      <c r="AA223" s="2">
        <f t="shared" si="87"/>
        <v>3.4399273241844821E-5</v>
      </c>
      <c r="AC223" s="2">
        <f t="shared" si="88"/>
        <v>2.5754044204668169E-5</v>
      </c>
      <c r="AE223" s="2">
        <f t="shared" si="89"/>
        <v>1.9791477209680447E-5</v>
      </c>
      <c r="AG223" s="2">
        <f t="shared" si="90"/>
        <v>1.5007623185084112E-5</v>
      </c>
      <c r="AI223" s="2">
        <f t="shared" si="91"/>
        <v>1.0047237994556526</v>
      </c>
      <c r="AK223" s="2">
        <f t="shared" si="92"/>
        <v>1.147298451586291</v>
      </c>
      <c r="AM223" s="2">
        <f t="shared" si="93"/>
        <v>1.3198747669653184</v>
      </c>
      <c r="AO223" s="2">
        <f t="shared" si="94"/>
        <v>1.4705295195409036</v>
      </c>
    </row>
    <row r="224" spans="4:42" x14ac:dyDescent="0.3">
      <c r="E224" t="s">
        <v>6</v>
      </c>
      <c r="F224">
        <v>20.2</v>
      </c>
      <c r="G224">
        <v>2.11</v>
      </c>
      <c r="H224">
        <v>1.89</v>
      </c>
      <c r="I224">
        <v>19.690000000000001</v>
      </c>
      <c r="J224">
        <v>11.75</v>
      </c>
      <c r="K224">
        <f t="shared" si="95"/>
        <v>4500</v>
      </c>
      <c r="L224">
        <f t="shared" si="83"/>
        <v>7.9400000000000013</v>
      </c>
      <c r="M224">
        <f t="shared" si="84"/>
        <v>2</v>
      </c>
      <c r="N224" s="2">
        <f>FiberLength!D28*$C$2*PI()</f>
        <v>3.9364155949480104E-4</v>
      </c>
      <c r="O224" s="2">
        <f t="shared" si="85"/>
        <v>16.165443702403188</v>
      </c>
      <c r="P224">
        <v>0.03</v>
      </c>
      <c r="R224">
        <v>0.63900000000000001</v>
      </c>
      <c r="T224">
        <v>0.99399999999999999</v>
      </c>
      <c r="V224">
        <v>0.995</v>
      </c>
      <c r="X224">
        <v>310</v>
      </c>
      <c r="Y224" s="2">
        <f t="shared" si="96"/>
        <v>0.17787686130703187</v>
      </c>
      <c r="Z224" s="2">
        <f t="shared" si="97"/>
        <v>8.871762483626032</v>
      </c>
      <c r="AA224" s="2">
        <f t="shared" si="87"/>
        <v>3.4162202619543054E-5</v>
      </c>
      <c r="AC224" s="2">
        <f t="shared" si="88"/>
        <v>2.5526760309740191E-5</v>
      </c>
      <c r="AE224" s="2">
        <f t="shared" si="89"/>
        <v>1.9572783383054147E-5</v>
      </c>
      <c r="AG224" s="2">
        <f t="shared" si="90"/>
        <v>1.4796310458569684E-5</v>
      </c>
      <c r="AI224" s="2">
        <f t="shared" si="91"/>
        <v>1.004540069144092</v>
      </c>
      <c r="AK224" s="2">
        <f t="shared" si="92"/>
        <v>1.13640032568411</v>
      </c>
      <c r="AM224" s="2">
        <f t="shared" si="93"/>
        <v>1.2959385670865671</v>
      </c>
      <c r="AO224" s="2">
        <f t="shared" si="94"/>
        <v>1.4335327273732108</v>
      </c>
    </row>
    <row r="225" spans="4:41" x14ac:dyDescent="0.3">
      <c r="E225" t="s">
        <v>7</v>
      </c>
      <c r="F225">
        <v>20.2</v>
      </c>
      <c r="G225">
        <v>2.11</v>
      </c>
      <c r="H225">
        <v>1.89</v>
      </c>
      <c r="I225">
        <v>20.190000000000001</v>
      </c>
      <c r="J225">
        <v>11.72</v>
      </c>
      <c r="K225">
        <f t="shared" si="95"/>
        <v>4500</v>
      </c>
      <c r="L225">
        <f t="shared" si="83"/>
        <v>8.4700000000000006</v>
      </c>
      <c r="M225">
        <f t="shared" si="84"/>
        <v>2</v>
      </c>
      <c r="N225" s="2">
        <f>FiberLength!D29*$C$2*PI()</f>
        <v>3.9364155949480104E-4</v>
      </c>
      <c r="O225" s="2">
        <f t="shared" si="85"/>
        <v>17.244497249289044</v>
      </c>
      <c r="P225">
        <v>3.1E-2</v>
      </c>
      <c r="R225">
        <v>0.64</v>
      </c>
      <c r="T225">
        <v>0.99399999999999999</v>
      </c>
      <c r="V225">
        <v>0.995</v>
      </c>
      <c r="X225">
        <v>310</v>
      </c>
      <c r="Y225" s="2">
        <f t="shared" si="96"/>
        <v>0.18109462807444579</v>
      </c>
      <c r="Z225" s="2">
        <f t="shared" si="97"/>
        <v>9.4807005990825353</v>
      </c>
      <c r="AA225" s="2">
        <f t="shared" si="87"/>
        <v>3.437891887840908E-5</v>
      </c>
      <c r="AC225" s="2">
        <f t="shared" si="88"/>
        <v>2.5734531427646102E-5</v>
      </c>
      <c r="AE225" s="2">
        <f t="shared" si="89"/>
        <v>1.9772694776312416E-5</v>
      </c>
      <c r="AG225" s="2">
        <f t="shared" si="90"/>
        <v>1.4989451601685655E-5</v>
      </c>
      <c r="AI225" s="2">
        <f t="shared" si="91"/>
        <v>1.005018600905033</v>
      </c>
      <c r="AK225" s="2">
        <f t="shared" si="92"/>
        <v>1.1463727478540704</v>
      </c>
      <c r="AM225" s="2">
        <f t="shared" si="93"/>
        <v>1.3177960482181028</v>
      </c>
      <c r="AO225" s="2">
        <f t="shared" si="94"/>
        <v>1.4673047303606381</v>
      </c>
    </row>
    <row r="226" spans="4:41" x14ac:dyDescent="0.3">
      <c r="D226">
        <v>10</v>
      </c>
      <c r="E226" t="s">
        <v>4</v>
      </c>
      <c r="F226">
        <v>20.2</v>
      </c>
      <c r="G226">
        <v>2.11</v>
      </c>
      <c r="H226">
        <v>1.89</v>
      </c>
      <c r="I226">
        <v>19.190000000000001</v>
      </c>
      <c r="J226">
        <v>11.72</v>
      </c>
      <c r="K226">
        <f t="shared" si="95"/>
        <v>4500</v>
      </c>
      <c r="L226">
        <f t="shared" si="83"/>
        <v>7.4700000000000006</v>
      </c>
      <c r="M226">
        <f t="shared" si="84"/>
        <v>2</v>
      </c>
      <c r="N226" s="2">
        <f>FiberLength!D30*$C$2*PI()</f>
        <v>3.9364155949480104E-4</v>
      </c>
      <c r="O226" s="2">
        <f t="shared" si="85"/>
        <v>15.208547160825166</v>
      </c>
      <c r="P226">
        <v>3.4000000000000002E-2</v>
      </c>
      <c r="R226">
        <v>0.64100000000000001</v>
      </c>
      <c r="T226">
        <v>0.99399999999999999</v>
      </c>
      <c r="V226">
        <v>0.995</v>
      </c>
      <c r="X226">
        <v>310</v>
      </c>
      <c r="Y226" s="2">
        <f t="shared" si="96"/>
        <v>0.1776781206665195</v>
      </c>
      <c r="Z226" s="2">
        <f t="shared" si="97"/>
        <v>8.3456975045416986</v>
      </c>
      <c r="AA226" s="2">
        <f t="shared" si="87"/>
        <v>3.3968490827654823E-5</v>
      </c>
      <c r="AC226" s="2">
        <f t="shared" si="88"/>
        <v>2.5341003553603202E-5</v>
      </c>
      <c r="AE226" s="2">
        <f t="shared" si="89"/>
        <v>1.9394159789842641E-5</v>
      </c>
      <c r="AG226" s="2">
        <f t="shared" si="90"/>
        <v>1.4624121060681347E-5</v>
      </c>
      <c r="AI226" s="2">
        <f t="shared" si="91"/>
        <v>1.0048291012884196</v>
      </c>
      <c r="AK226" s="2">
        <f t="shared" si="92"/>
        <v>1.1282399178288043</v>
      </c>
      <c r="AM226" s="2">
        <f t="shared" si="93"/>
        <v>1.2768206807497007</v>
      </c>
      <c r="AO226" s="2">
        <f t="shared" si="94"/>
        <v>1.4041986150437447</v>
      </c>
    </row>
    <row r="227" spans="4:41" x14ac:dyDescent="0.3">
      <c r="E227" t="s">
        <v>5</v>
      </c>
      <c r="F227">
        <v>20.2</v>
      </c>
      <c r="G227">
        <v>2.11</v>
      </c>
      <c r="H227">
        <v>1.89</v>
      </c>
      <c r="I227">
        <v>19.489999999999998</v>
      </c>
      <c r="J227">
        <v>11.72</v>
      </c>
      <c r="K227">
        <f t="shared" si="95"/>
        <v>4500</v>
      </c>
      <c r="L227">
        <f t="shared" si="83"/>
        <v>7.7699999999999978</v>
      </c>
      <c r="M227">
        <f t="shared" si="84"/>
        <v>2</v>
      </c>
      <c r="N227" s="2">
        <f>FiberLength!D31*$C$2*PI()</f>
        <v>3.9584067435231396E-4</v>
      </c>
      <c r="O227" s="2">
        <f t="shared" si="85"/>
        <v>15.731447008545631</v>
      </c>
      <c r="P227">
        <v>3.6999999999999998E-2</v>
      </c>
      <c r="R227">
        <v>0.64600000000000002</v>
      </c>
      <c r="T227">
        <v>0.99399999999999999</v>
      </c>
      <c r="V227">
        <v>0.995</v>
      </c>
      <c r="X227">
        <v>308</v>
      </c>
      <c r="Y227" s="2">
        <f t="shared" si="96"/>
        <v>0.18102278679432762</v>
      </c>
      <c r="Z227" s="2">
        <f t="shared" si="97"/>
        <v>8.6485124136444433</v>
      </c>
      <c r="AA227" s="2">
        <f t="shared" si="87"/>
        <v>3.4074528807668362E-5</v>
      </c>
      <c r="AC227" s="2">
        <f t="shared" si="88"/>
        <v>2.5442693088953984E-5</v>
      </c>
      <c r="AE227" s="2">
        <f t="shared" si="89"/>
        <v>1.9491933846432092E-5</v>
      </c>
      <c r="AG227" s="2">
        <f t="shared" si="90"/>
        <v>1.4718330814376169E-5</v>
      </c>
      <c r="AI227" s="2">
        <f t="shared" si="91"/>
        <v>1.0054430582428115</v>
      </c>
      <c r="AK227" s="2">
        <f t="shared" si="92"/>
        <v>1.1339601055924238</v>
      </c>
      <c r="AM227" s="2">
        <f t="shared" si="93"/>
        <v>1.2872372829341263</v>
      </c>
      <c r="AO227" s="2">
        <f t="shared" si="94"/>
        <v>1.4201578686822049</v>
      </c>
    </row>
    <row r="228" spans="4:41" x14ac:dyDescent="0.3">
      <c r="E228" t="s">
        <v>6</v>
      </c>
      <c r="F228">
        <v>20.2</v>
      </c>
      <c r="G228">
        <v>2.11</v>
      </c>
      <c r="H228">
        <v>1.89</v>
      </c>
      <c r="I228">
        <v>19.71</v>
      </c>
      <c r="J228">
        <v>11.83</v>
      </c>
      <c r="K228">
        <f t="shared" si="95"/>
        <v>4500</v>
      </c>
      <c r="L228">
        <f t="shared" si="83"/>
        <v>7.8800000000000008</v>
      </c>
      <c r="M228">
        <f t="shared" si="84"/>
        <v>2</v>
      </c>
      <c r="N228" s="2">
        <f>FiberLength!D32*$C$2*PI()</f>
        <v>3.9364155949480104E-4</v>
      </c>
      <c r="O228" s="2">
        <f t="shared" si="85"/>
        <v>16.043286697095358</v>
      </c>
      <c r="P228">
        <v>3.9E-2</v>
      </c>
      <c r="R228">
        <v>0.64200000000000002</v>
      </c>
      <c r="T228">
        <v>0.99399999999999999</v>
      </c>
      <c r="V228">
        <v>0.995</v>
      </c>
      <c r="X228">
        <v>310</v>
      </c>
      <c r="Y228" s="2">
        <f t="shared" si="96"/>
        <v>0.18209556648748693</v>
      </c>
      <c r="Z228" s="2">
        <f t="shared" si="97"/>
        <v>8.8251540627451401</v>
      </c>
      <c r="AA228" s="2">
        <f t="shared" si="87"/>
        <v>3.4137555369328063E-5</v>
      </c>
      <c r="AC228" s="2">
        <f t="shared" si="88"/>
        <v>2.55031278563641E-5</v>
      </c>
      <c r="AE228" s="2">
        <f t="shared" si="89"/>
        <v>1.9550053527180376E-5</v>
      </c>
      <c r="AG228" s="2">
        <f t="shared" si="90"/>
        <v>1.4774380106390246E-5</v>
      </c>
      <c r="AI228" s="2">
        <f t="shared" si="91"/>
        <v>1.0058556572902795</v>
      </c>
      <c r="AK228" s="2">
        <f t="shared" si="92"/>
        <v>1.1359385710358163</v>
      </c>
      <c r="AM228" s="2">
        <f t="shared" si="93"/>
        <v>1.2934842660473067</v>
      </c>
      <c r="AO228" s="2">
        <f t="shared" si="94"/>
        <v>1.4297561720901695</v>
      </c>
    </row>
    <row r="229" spans="4:41" x14ac:dyDescent="0.3">
      <c r="E229" t="s">
        <v>7</v>
      </c>
      <c r="F229">
        <v>20.2</v>
      </c>
      <c r="G229">
        <v>2.11</v>
      </c>
      <c r="H229">
        <v>1.89</v>
      </c>
      <c r="I229">
        <v>19.22</v>
      </c>
      <c r="J229">
        <v>11.8</v>
      </c>
      <c r="K229">
        <f t="shared" si="95"/>
        <v>4500</v>
      </c>
      <c r="L229">
        <f t="shared" si="83"/>
        <v>7.4199999999999982</v>
      </c>
      <c r="M229">
        <f t="shared" si="84"/>
        <v>2</v>
      </c>
      <c r="N229" s="2">
        <f>FiberLength!D33*$C$2*PI()</f>
        <v>3.9144244463728818E-4</v>
      </c>
      <c r="O229" s="2">
        <f t="shared" si="85"/>
        <v>15.191619036494114</v>
      </c>
      <c r="P229">
        <v>4.4999999999999998E-2</v>
      </c>
      <c r="R229">
        <v>0.63500000000000001</v>
      </c>
      <c r="T229">
        <v>0.999</v>
      </c>
      <c r="V229">
        <v>0.998</v>
      </c>
      <c r="X229">
        <v>314</v>
      </c>
      <c r="Y229" s="2">
        <f t="shared" si="96"/>
        <v>0.18200890319010865</v>
      </c>
      <c r="Z229" s="2">
        <f t="shared" si="97"/>
        <v>8.3562670153619081</v>
      </c>
      <c r="AA229" s="2">
        <f t="shared" si="87"/>
        <v>3.3965050473669567E-5</v>
      </c>
      <c r="AC229" s="2">
        <f t="shared" si="88"/>
        <v>2.5337703996510045E-5</v>
      </c>
      <c r="AE229" s="2">
        <f t="shared" si="89"/>
        <v>1.9390987656705653E-5</v>
      </c>
      <c r="AG229" s="2">
        <f t="shared" si="90"/>
        <v>1.4621066211802142E-5</v>
      </c>
      <c r="AI229" s="2">
        <f t="shared" si="91"/>
        <v>1.0063840726221427</v>
      </c>
      <c r="AK229" s="2">
        <f t="shared" si="92"/>
        <v>1.1268897118189778</v>
      </c>
      <c r="AM229" s="2">
        <f t="shared" si="93"/>
        <v>1.2778754404362436</v>
      </c>
      <c r="AO229" s="2">
        <f t="shared" si="94"/>
        <v>1.4049019066581598</v>
      </c>
    </row>
    <row r="230" spans="4:41" x14ac:dyDescent="0.3">
      <c r="D230">
        <v>7</v>
      </c>
      <c r="E230" t="s">
        <v>4</v>
      </c>
      <c r="F230">
        <v>19.7</v>
      </c>
      <c r="G230">
        <v>1.1000000000000001</v>
      </c>
      <c r="H230">
        <v>0.9</v>
      </c>
      <c r="I230">
        <v>23.04</v>
      </c>
      <c r="J230">
        <v>12.48</v>
      </c>
      <c r="K230">
        <f>205*60</f>
        <v>12300</v>
      </c>
      <c r="L230">
        <f t="shared" si="83"/>
        <v>10.559999999999999</v>
      </c>
      <c r="M230">
        <f t="shared" si="84"/>
        <v>1</v>
      </c>
      <c r="N230" s="2">
        <f>FiberLength!D18*$C$2*PI()</f>
        <v>3.9364155949480104E-4</v>
      </c>
      <c r="O230" s="2">
        <f t="shared" si="85"/>
        <v>7.8657193661628817</v>
      </c>
      <c r="P230">
        <v>0</v>
      </c>
      <c r="R230">
        <v>0.499</v>
      </c>
      <c r="T230">
        <v>0.99299999999999999</v>
      </c>
      <c r="V230">
        <v>0.999</v>
      </c>
      <c r="X230">
        <v>348</v>
      </c>
      <c r="Y230" s="2">
        <f t="shared" si="96"/>
        <v>0.12743897313295477</v>
      </c>
      <c r="Z230" s="2">
        <f t="shared" si="97"/>
        <v>9.0145206168615708</v>
      </c>
      <c r="AA230" s="2">
        <f t="shared" si="87"/>
        <v>3.242341856823612E-5</v>
      </c>
      <c r="AC230" s="2">
        <f t="shared" si="88"/>
        <v>2.3855231740431621E-5</v>
      </c>
      <c r="AE230" s="2">
        <f t="shared" si="89"/>
        <v>1.796525518187513E-5</v>
      </c>
      <c r="AG230" s="2">
        <f t="shared" si="90"/>
        <v>1.3254129785591866E-5</v>
      </c>
      <c r="AI230" s="2">
        <f t="shared" si="91"/>
        <v>1</v>
      </c>
      <c r="AK230" s="2">
        <f t="shared" si="92"/>
        <v>1.0503119759898976</v>
      </c>
      <c r="AM230" s="2">
        <f t="shared" si="93"/>
        <v>1.1374893402549475</v>
      </c>
      <c r="AO230" s="2">
        <f t="shared" si="94"/>
        <v>1.1971900045144073</v>
      </c>
    </row>
    <row r="231" spans="4:41" x14ac:dyDescent="0.3">
      <c r="E231" t="s">
        <v>5</v>
      </c>
      <c r="F231">
        <v>19.7</v>
      </c>
      <c r="G231">
        <v>1.1000000000000001</v>
      </c>
      <c r="H231">
        <v>0.9</v>
      </c>
      <c r="I231">
        <v>22.8</v>
      </c>
      <c r="J231">
        <v>11.75</v>
      </c>
      <c r="K231">
        <f t="shared" ref="K231:K245" si="98">205*60</f>
        <v>12300</v>
      </c>
      <c r="L231">
        <f t="shared" si="83"/>
        <v>11.05</v>
      </c>
      <c r="M231">
        <f t="shared" si="84"/>
        <v>1</v>
      </c>
      <c r="N231" s="2">
        <f>FiberLength!D19*$C$2*PI()</f>
        <v>3.9144244463728818E-4</v>
      </c>
      <c r="O231" s="2">
        <f t="shared" si="85"/>
        <v>8.276940553871869</v>
      </c>
      <c r="P231">
        <v>1E-3</v>
      </c>
      <c r="R231">
        <v>0.502</v>
      </c>
      <c r="T231">
        <v>0.99399999999999999</v>
      </c>
      <c r="V231">
        <v>0.998</v>
      </c>
      <c r="X231">
        <v>348</v>
      </c>
      <c r="Y231" s="2">
        <f t="shared" si="96"/>
        <v>0.12906388190241186</v>
      </c>
      <c r="Z231" s="2">
        <f t="shared" si="97"/>
        <v>9.5034990303897828</v>
      </c>
      <c r="AA231" s="2">
        <f t="shared" si="87"/>
        <v>3.2513234680561922E-5</v>
      </c>
      <c r="AC231" s="2">
        <f t="shared" si="88"/>
        <v>2.3941926551353782E-5</v>
      </c>
      <c r="AE231" s="2">
        <f t="shared" si="89"/>
        <v>1.8048811220721762E-5</v>
      </c>
      <c r="AG231" s="2">
        <f t="shared" si="90"/>
        <v>1.3334142622232344E-5</v>
      </c>
      <c r="AI231" s="2">
        <f t="shared" si="91"/>
        <v>1.0000760953108416</v>
      </c>
      <c r="AK231" s="2">
        <f t="shared" si="92"/>
        <v>1.0533283418003456</v>
      </c>
      <c r="AM231" s="2">
        <f t="shared" si="93"/>
        <v>1.1451050434182186</v>
      </c>
      <c r="AO231" s="2">
        <f t="shared" si="94"/>
        <v>1.2079341567400854</v>
      </c>
    </row>
    <row r="232" spans="4:41" x14ac:dyDescent="0.3">
      <c r="E232" t="s">
        <v>6</v>
      </c>
      <c r="F232">
        <v>19.7</v>
      </c>
      <c r="G232">
        <v>1.1000000000000001</v>
      </c>
      <c r="H232">
        <v>0.9</v>
      </c>
      <c r="I232">
        <v>23.68</v>
      </c>
      <c r="J232">
        <v>11.72</v>
      </c>
      <c r="K232">
        <f t="shared" si="98"/>
        <v>12300</v>
      </c>
      <c r="L232">
        <f t="shared" si="83"/>
        <v>11.959999999999999</v>
      </c>
      <c r="M232">
        <f t="shared" si="84"/>
        <v>1</v>
      </c>
      <c r="N232" s="2">
        <f>FiberLength!D20*$C$2*PI()</f>
        <v>3.9364155949480104E-4</v>
      </c>
      <c r="O232" s="2">
        <f t="shared" si="85"/>
        <v>8.9085230700102329</v>
      </c>
      <c r="P232">
        <v>1E-3</v>
      </c>
      <c r="R232">
        <v>0.502</v>
      </c>
      <c r="T232">
        <v>0.99399999999999999</v>
      </c>
      <c r="V232">
        <v>0.998</v>
      </c>
      <c r="X232">
        <v>348</v>
      </c>
      <c r="Y232" s="2">
        <f t="shared" si="96"/>
        <v>0.13025196510280987</v>
      </c>
      <c r="Z232" s="2">
        <f t="shared" si="97"/>
        <v>10.242648114822448</v>
      </c>
      <c r="AA232" s="2">
        <f t="shared" si="87"/>
        <v>3.2650294419089275E-5</v>
      </c>
      <c r="AC232" s="2">
        <f t="shared" si="88"/>
        <v>2.4074120050325634E-5</v>
      </c>
      <c r="AE232" s="2">
        <f t="shared" si="89"/>
        <v>1.8176140967757121E-5</v>
      </c>
      <c r="AG232" s="2">
        <f t="shared" si="90"/>
        <v>1.3456040539918764E-5</v>
      </c>
      <c r="AI232" s="2">
        <f t="shared" si="91"/>
        <v>1.0000820060299542</v>
      </c>
      <c r="AK232" s="2">
        <f t="shared" si="92"/>
        <v>1.0575125492344739</v>
      </c>
      <c r="AM232" s="2">
        <f t="shared" si="93"/>
        <v>1.1566559996398771</v>
      </c>
      <c r="AO232" s="2">
        <f t="shared" si="94"/>
        <v>1.2248920117713318</v>
      </c>
    </row>
    <row r="233" spans="4:41" x14ac:dyDescent="0.3">
      <c r="E233" t="s">
        <v>7</v>
      </c>
      <c r="F233">
        <v>19.7</v>
      </c>
      <c r="G233">
        <v>1.1000000000000001</v>
      </c>
      <c r="H233">
        <v>0.9</v>
      </c>
      <c r="I233">
        <v>23.27</v>
      </c>
      <c r="J233">
        <v>11.77</v>
      </c>
      <c r="K233">
        <f t="shared" si="98"/>
        <v>12300</v>
      </c>
      <c r="L233">
        <f t="shared" si="83"/>
        <v>11.5</v>
      </c>
      <c r="M233">
        <f t="shared" si="84"/>
        <v>1</v>
      </c>
      <c r="N233" s="2">
        <f>FiberLength!D21*$C$2*PI()</f>
        <v>3.9364155949480104E-4</v>
      </c>
      <c r="O233" s="2">
        <f t="shared" si="85"/>
        <v>8.5658875673175334</v>
      </c>
      <c r="P233">
        <v>0</v>
      </c>
      <c r="R233">
        <v>0.498</v>
      </c>
      <c r="T233">
        <v>0.99399999999999999</v>
      </c>
      <c r="V233">
        <v>0.998</v>
      </c>
      <c r="X233">
        <v>349</v>
      </c>
      <c r="Y233" s="2">
        <f t="shared" si="96"/>
        <v>0.12864126221001704</v>
      </c>
      <c r="Z233" s="2">
        <f t="shared" si="97"/>
        <v>9.8304948304565052</v>
      </c>
      <c r="AA233" s="2">
        <f t="shared" si="87"/>
        <v>3.2576069617529353E-5</v>
      </c>
      <c r="AC233" s="2">
        <f t="shared" si="88"/>
        <v>2.4002545542990263E-5</v>
      </c>
      <c r="AE233" s="2">
        <f t="shared" si="89"/>
        <v>1.8107210873957362E-5</v>
      </c>
      <c r="AG233" s="2">
        <f t="shared" si="90"/>
        <v>1.3390054770863184E-5</v>
      </c>
      <c r="AI233" s="2">
        <f t="shared" si="91"/>
        <v>1</v>
      </c>
      <c r="AK233" s="2">
        <f t="shared" si="92"/>
        <v>1.0548000059413225</v>
      </c>
      <c r="AM233" s="2">
        <f t="shared" si="93"/>
        <v>1.1503793973493011</v>
      </c>
      <c r="AO233" s="2">
        <f t="shared" si="94"/>
        <v>1.2156690302076569</v>
      </c>
    </row>
    <row r="234" spans="4:41" x14ac:dyDescent="0.3">
      <c r="D234">
        <v>8</v>
      </c>
      <c r="E234" t="s">
        <v>4</v>
      </c>
      <c r="F234">
        <v>19.7</v>
      </c>
      <c r="G234">
        <v>1.1000000000000001</v>
      </c>
      <c r="H234">
        <v>0.9</v>
      </c>
      <c r="I234">
        <v>21.43</v>
      </c>
      <c r="J234">
        <v>11.72</v>
      </c>
      <c r="K234">
        <f t="shared" si="98"/>
        <v>12300</v>
      </c>
      <c r="L234">
        <f t="shared" si="83"/>
        <v>9.7099999999999991</v>
      </c>
      <c r="M234">
        <f t="shared" si="84"/>
        <v>1</v>
      </c>
      <c r="N234" s="2">
        <f>FiberLength!D22*$C$2*PI()</f>
        <v>3.9364155949480104E-4</v>
      </c>
      <c r="O234" s="2">
        <f t="shared" si="85"/>
        <v>7.2325885459698469</v>
      </c>
      <c r="P234">
        <v>1E-3</v>
      </c>
      <c r="R234">
        <v>0.50900000000000001</v>
      </c>
      <c r="T234">
        <v>0.99399999999999999</v>
      </c>
      <c r="V234">
        <v>0.999</v>
      </c>
      <c r="X234">
        <v>344</v>
      </c>
      <c r="Y234" s="2">
        <f t="shared" si="96"/>
        <v>0.12806287868070296</v>
      </c>
      <c r="Z234" s="2">
        <f t="shared" si="97"/>
        <v>8.2948510496106351</v>
      </c>
      <c r="AA234" s="2">
        <f t="shared" si="87"/>
        <v>3.2284199365810967E-5</v>
      </c>
      <c r="AC234" s="2">
        <f t="shared" si="88"/>
        <v>2.3720736735369817E-5</v>
      </c>
      <c r="AE234" s="2">
        <f t="shared" si="89"/>
        <v>1.7835538653437265E-5</v>
      </c>
      <c r="AG234" s="2">
        <f t="shared" si="90"/>
        <v>1.3129862740327694E-5</v>
      </c>
      <c r="AI234" s="2">
        <f t="shared" si="91"/>
        <v>1.0000663597892496</v>
      </c>
      <c r="AK234" s="2">
        <f t="shared" si="92"/>
        <v>1.0470994162073861</v>
      </c>
      <c r="AM234" s="2">
        <f t="shared" si="93"/>
        <v>1.1261807595421085</v>
      </c>
      <c r="AO234" s="2">
        <f t="shared" si="94"/>
        <v>1.1804763551730117</v>
      </c>
    </row>
    <row r="235" spans="4:41" x14ac:dyDescent="0.3">
      <c r="E235" t="s">
        <v>5</v>
      </c>
      <c r="F235">
        <v>19.7</v>
      </c>
      <c r="G235">
        <v>1.1000000000000001</v>
      </c>
      <c r="H235">
        <v>0.9</v>
      </c>
      <c r="I235">
        <v>21.44</v>
      </c>
      <c r="J235">
        <v>11.75</v>
      </c>
      <c r="K235">
        <f t="shared" si="98"/>
        <v>12300</v>
      </c>
      <c r="L235">
        <f t="shared" si="83"/>
        <v>9.6900000000000013</v>
      </c>
      <c r="M235">
        <f t="shared" si="84"/>
        <v>1</v>
      </c>
      <c r="N235" s="2">
        <f>FiberLength!D23*$C$2*PI()</f>
        <v>3.8264598520723679E-4</v>
      </c>
      <c r="O235" s="2">
        <f t="shared" si="85"/>
        <v>7.4250962740569406</v>
      </c>
      <c r="P235">
        <v>2E-3</v>
      </c>
      <c r="R235">
        <v>0.51500000000000001</v>
      </c>
      <c r="T235">
        <v>0.995</v>
      </c>
      <c r="V235">
        <v>0.999</v>
      </c>
      <c r="X235">
        <v>343</v>
      </c>
      <c r="Y235" s="2">
        <f t="shared" si="96"/>
        <v>0.1296889688997242</v>
      </c>
      <c r="Z235" s="2">
        <f t="shared" si="97"/>
        <v>8.5315433318935305</v>
      </c>
      <c r="AA235" s="2">
        <f t="shared" si="87"/>
        <v>3.2326653043341424E-5</v>
      </c>
      <c r="AC235" s="2">
        <f t="shared" si="88"/>
        <v>2.3761765050291918E-5</v>
      </c>
      <c r="AE235" s="2">
        <f t="shared" si="89"/>
        <v>1.7875121729047568E-5</v>
      </c>
      <c r="AG235" s="2">
        <f t="shared" si="90"/>
        <v>1.3167790693922896E-5</v>
      </c>
      <c r="AI235" s="2">
        <f t="shared" si="91"/>
        <v>1.0001363017535885</v>
      </c>
      <c r="AK235" s="2">
        <f t="shared" si="92"/>
        <v>1.0489510856319622</v>
      </c>
      <c r="AM235" s="2">
        <f t="shared" si="93"/>
        <v>1.1297835118690913</v>
      </c>
      <c r="AO235" s="2">
        <f t="shared" si="94"/>
        <v>1.185539418524246</v>
      </c>
    </row>
    <row r="236" spans="4:41" x14ac:dyDescent="0.3">
      <c r="E236" t="s">
        <v>6</v>
      </c>
      <c r="F236">
        <v>19.7</v>
      </c>
      <c r="G236">
        <v>1.1000000000000001</v>
      </c>
      <c r="H236">
        <v>0.9</v>
      </c>
      <c r="I236">
        <v>21.85</v>
      </c>
      <c r="J236">
        <v>11.77</v>
      </c>
      <c r="K236">
        <f t="shared" si="98"/>
        <v>12300</v>
      </c>
      <c r="L236">
        <f t="shared" si="83"/>
        <v>10.080000000000002</v>
      </c>
      <c r="M236">
        <f t="shared" si="84"/>
        <v>1</v>
      </c>
      <c r="N236" s="2">
        <f>FiberLength!D24*$C$2*PI()</f>
        <v>3.8924332977977537E-4</v>
      </c>
      <c r="O236" s="2">
        <f t="shared" si="85"/>
        <v>7.5930249351325827</v>
      </c>
      <c r="P236">
        <v>1E-3</v>
      </c>
      <c r="R236">
        <v>0.50800000000000001</v>
      </c>
      <c r="T236">
        <v>0.995</v>
      </c>
      <c r="V236">
        <v>0.999</v>
      </c>
      <c r="X236">
        <v>346</v>
      </c>
      <c r="Y236" s="2">
        <f t="shared" si="96"/>
        <v>0.12864907407370735</v>
      </c>
      <c r="Z236" s="2">
        <f t="shared" si="97"/>
        <v>8.7140837396377258</v>
      </c>
      <c r="AA236" s="2">
        <f t="shared" si="87"/>
        <v>3.2363597692690969E-5</v>
      </c>
      <c r="AC236" s="2">
        <f t="shared" si="88"/>
        <v>2.3797458288491909E-5</v>
      </c>
      <c r="AE236" s="2">
        <f t="shared" si="89"/>
        <v>1.7909548591327371E-5</v>
      </c>
      <c r="AG236" s="2">
        <f t="shared" si="90"/>
        <v>1.3200772195502727E-5</v>
      </c>
      <c r="AI236" s="2">
        <f t="shared" si="91"/>
        <v>1.0000697145510404</v>
      </c>
      <c r="AK236" s="2">
        <f t="shared" si="92"/>
        <v>1.0494027167357411</v>
      </c>
      <c r="AM236" s="2">
        <f t="shared" si="93"/>
        <v>1.1328213871734913</v>
      </c>
      <c r="AO236" s="2">
        <f t="shared" si="94"/>
        <v>1.1899694079301968</v>
      </c>
    </row>
    <row r="237" spans="4:41" x14ac:dyDescent="0.3">
      <c r="E237" t="s">
        <v>7</v>
      </c>
      <c r="F237">
        <v>19.7</v>
      </c>
      <c r="G237">
        <v>1.1000000000000001</v>
      </c>
      <c r="H237">
        <v>0.9</v>
      </c>
      <c r="I237">
        <v>22.02</v>
      </c>
      <c r="J237">
        <v>11.72</v>
      </c>
      <c r="K237">
        <f t="shared" si="98"/>
        <v>12300</v>
      </c>
      <c r="L237">
        <f t="shared" si="83"/>
        <v>10.299999999999999</v>
      </c>
      <c r="M237">
        <f t="shared" si="84"/>
        <v>1</v>
      </c>
      <c r="N237" s="2">
        <f>FiberLength!D25*$C$2*PI()</f>
        <v>3.8704421492226246E-4</v>
      </c>
      <c r="O237" s="2">
        <f t="shared" si="85"/>
        <v>7.8028294999324794</v>
      </c>
      <c r="P237">
        <v>1E-3</v>
      </c>
      <c r="R237">
        <v>0.51</v>
      </c>
      <c r="T237">
        <v>0.995</v>
      </c>
      <c r="V237">
        <v>0.999</v>
      </c>
      <c r="X237">
        <v>345</v>
      </c>
      <c r="Y237" s="2">
        <f t="shared" si="96"/>
        <v>0.12931038143563661</v>
      </c>
      <c r="Z237" s="2">
        <f t="shared" si="97"/>
        <v>8.9616659410711428</v>
      </c>
      <c r="AA237" s="2">
        <f t="shared" si="87"/>
        <v>3.2409641159924938E-5</v>
      </c>
      <c r="AC237" s="2">
        <f t="shared" si="88"/>
        <v>2.3841928154216012E-5</v>
      </c>
      <c r="AE237" s="2">
        <f t="shared" si="89"/>
        <v>1.7952429356874944E-5</v>
      </c>
      <c r="AG237" s="2">
        <f t="shared" si="90"/>
        <v>1.3241845831773253E-5</v>
      </c>
      <c r="AI237" s="2">
        <f t="shared" si="91"/>
        <v>1.0000716698342569</v>
      </c>
      <c r="AK237" s="2">
        <f t="shared" si="92"/>
        <v>1.0510001197049095</v>
      </c>
      <c r="AM237" s="2">
        <f t="shared" si="93"/>
        <v>1.1366245522057616</v>
      </c>
      <c r="AO237" s="2">
        <f t="shared" si="94"/>
        <v>1.1955217905409803</v>
      </c>
    </row>
    <row r="238" spans="4:41" x14ac:dyDescent="0.3">
      <c r="D238">
        <v>9</v>
      </c>
      <c r="E238" t="s">
        <v>4</v>
      </c>
      <c r="F238">
        <v>19.7</v>
      </c>
      <c r="G238">
        <v>1.1000000000000001</v>
      </c>
      <c r="H238">
        <v>0.9</v>
      </c>
      <c r="I238">
        <v>21.92</v>
      </c>
      <c r="J238">
        <v>11.72</v>
      </c>
      <c r="K238">
        <f t="shared" si="98"/>
        <v>12300</v>
      </c>
      <c r="L238">
        <f t="shared" si="83"/>
        <v>10.200000000000001</v>
      </c>
      <c r="M238">
        <f t="shared" si="84"/>
        <v>1</v>
      </c>
      <c r="N238" s="2">
        <f>FiberLength!D26*$C$2*PI()</f>
        <v>3.9144244463728818E-4</v>
      </c>
      <c r="O238" s="2">
        <f t="shared" si="85"/>
        <v>7.6402528189586496</v>
      </c>
      <c r="P238">
        <v>2E-3</v>
      </c>
      <c r="R238">
        <v>0.505</v>
      </c>
      <c r="T238">
        <v>0.995</v>
      </c>
      <c r="V238">
        <v>0.999</v>
      </c>
      <c r="X238">
        <v>347</v>
      </c>
      <c r="Y238" s="2">
        <f t="shared" si="96"/>
        <v>0.12875682936359295</v>
      </c>
      <c r="Z238" s="2">
        <f t="shared" si="97"/>
        <v>8.7693689620290076</v>
      </c>
      <c r="AA238" s="2">
        <f t="shared" si="87"/>
        <v>3.2373973237468057E-5</v>
      </c>
      <c r="AC238" s="2">
        <f t="shared" si="88"/>
        <v>2.3807480576256454E-5</v>
      </c>
      <c r="AE238" s="2">
        <f t="shared" si="89"/>
        <v>1.7919213820215801E-5</v>
      </c>
      <c r="AG238" s="2">
        <f t="shared" si="90"/>
        <v>1.3210030736891555E-5</v>
      </c>
      <c r="AI238" s="2">
        <f t="shared" si="91"/>
        <v>1.0001403090601544</v>
      </c>
      <c r="AK238" s="2">
        <f t="shared" si="92"/>
        <v>1.0494234903958219</v>
      </c>
      <c r="AM238" s="2">
        <f t="shared" si="93"/>
        <v>1.1336767423179663</v>
      </c>
      <c r="AO238" s="2">
        <f t="shared" si="94"/>
        <v>1.1912175506263776</v>
      </c>
    </row>
    <row r="239" spans="4:41" x14ac:dyDescent="0.3">
      <c r="E239" t="s">
        <v>5</v>
      </c>
      <c r="F239">
        <v>19.7</v>
      </c>
      <c r="G239">
        <v>1.1000000000000001</v>
      </c>
      <c r="H239">
        <v>0.9</v>
      </c>
      <c r="I239">
        <v>22.32</v>
      </c>
      <c r="J239">
        <v>11.79</v>
      </c>
      <c r="K239">
        <f t="shared" si="98"/>
        <v>12300</v>
      </c>
      <c r="L239">
        <f t="shared" si="83"/>
        <v>10.530000000000001</v>
      </c>
      <c r="M239">
        <f t="shared" si="84"/>
        <v>1</v>
      </c>
      <c r="N239" s="2">
        <f>FiberLength!D27*$C$2*PI()</f>
        <v>3.9364155949480104E-4</v>
      </c>
      <c r="O239" s="2">
        <f t="shared" si="85"/>
        <v>7.8433735725090123</v>
      </c>
      <c r="P239">
        <v>-1E-3</v>
      </c>
      <c r="R239">
        <v>0.50600000000000001</v>
      </c>
      <c r="T239">
        <v>0.99399999999999999</v>
      </c>
      <c r="V239">
        <v>0.999</v>
      </c>
      <c r="X239">
        <v>347</v>
      </c>
      <c r="Y239" s="2">
        <f t="shared" si="96"/>
        <v>0.12796105878965749</v>
      </c>
      <c r="Z239" s="2">
        <f t="shared" si="97"/>
        <v>8.9942928025930087</v>
      </c>
      <c r="AA239" s="2">
        <f t="shared" si="87"/>
        <v>3.2418524506148041E-5</v>
      </c>
      <c r="AC239" s="2">
        <f t="shared" si="88"/>
        <v>2.385050614557314E-5</v>
      </c>
      <c r="AE239" s="2">
        <f t="shared" si="89"/>
        <v>1.7960699416112352E-5</v>
      </c>
      <c r="AG239" s="2">
        <f t="shared" si="90"/>
        <v>1.3249766561396543E-5</v>
      </c>
      <c r="AI239" s="2">
        <f t="shared" si="91"/>
        <v>0.99992795209664753</v>
      </c>
      <c r="AK239" s="2">
        <f t="shared" si="92"/>
        <v>1.05086934053895</v>
      </c>
      <c r="AM239" s="2">
        <f t="shared" si="93"/>
        <v>1.1372224505214432</v>
      </c>
      <c r="AO239" s="2">
        <f t="shared" si="94"/>
        <v>1.1965970559305468</v>
      </c>
    </row>
    <row r="240" spans="4:41" x14ac:dyDescent="0.3">
      <c r="E240" t="s">
        <v>6</v>
      </c>
      <c r="F240">
        <v>19.7</v>
      </c>
      <c r="G240">
        <v>1.1000000000000001</v>
      </c>
      <c r="H240">
        <v>0.9</v>
      </c>
      <c r="I240">
        <v>21.76</v>
      </c>
      <c r="J240">
        <v>11.75</v>
      </c>
      <c r="K240">
        <f t="shared" si="98"/>
        <v>12300</v>
      </c>
      <c r="L240">
        <f t="shared" si="83"/>
        <v>10.010000000000002</v>
      </c>
      <c r="M240">
        <f t="shared" si="84"/>
        <v>1</v>
      </c>
      <c r="N240" s="2">
        <f>FiberLength!D28*$C$2*PI()</f>
        <v>3.9364155949480104E-4</v>
      </c>
      <c r="O240" s="2">
        <f t="shared" si="85"/>
        <v>7.4560464825085671</v>
      </c>
      <c r="P240">
        <v>-1E-3</v>
      </c>
      <c r="R240">
        <v>0.50800000000000001</v>
      </c>
      <c r="T240">
        <v>0.996</v>
      </c>
      <c r="V240">
        <v>0.999</v>
      </c>
      <c r="X240">
        <v>346</v>
      </c>
      <c r="Y240" s="2">
        <f t="shared" si="96"/>
        <v>0.12759873374481803</v>
      </c>
      <c r="Z240" s="2">
        <f t="shared" si="97"/>
        <v>8.5465791613461892</v>
      </c>
      <c r="AA240" s="2">
        <f t="shared" si="87"/>
        <v>3.2333468315429097E-5</v>
      </c>
      <c r="AC240" s="2">
        <f t="shared" si="88"/>
        <v>2.3768350234723988E-5</v>
      </c>
      <c r="AE240" s="2">
        <f t="shared" si="89"/>
        <v>1.7881473899550583E-5</v>
      </c>
      <c r="AG240" s="2">
        <f t="shared" si="90"/>
        <v>1.3173876570706907E-5</v>
      </c>
      <c r="AI240" s="2">
        <f t="shared" si="91"/>
        <v>0.99993156101844261</v>
      </c>
      <c r="AK240" s="2">
        <f t="shared" si="92"/>
        <v>1.0484914981008233</v>
      </c>
      <c r="AM240" s="2">
        <f t="shared" si="93"/>
        <v>1.1304739960167705</v>
      </c>
      <c r="AO240" s="2">
        <f t="shared" si="94"/>
        <v>1.18635495026937</v>
      </c>
    </row>
    <row r="241" spans="4:42" x14ac:dyDescent="0.3">
      <c r="E241" t="s">
        <v>7</v>
      </c>
      <c r="F241">
        <v>19.7</v>
      </c>
      <c r="G241">
        <v>1.1000000000000001</v>
      </c>
      <c r="H241">
        <v>0.9</v>
      </c>
      <c r="I241">
        <v>22.24</v>
      </c>
      <c r="J241">
        <v>11.75</v>
      </c>
      <c r="K241">
        <f t="shared" si="98"/>
        <v>12300</v>
      </c>
      <c r="L241">
        <f t="shared" si="83"/>
        <v>10.489999999999998</v>
      </c>
      <c r="M241">
        <f t="shared" si="84"/>
        <v>1</v>
      </c>
      <c r="N241" s="2">
        <f>FiberLength!D29*$C$2*PI()</f>
        <v>3.9364155949480104E-4</v>
      </c>
      <c r="O241" s="2">
        <f t="shared" si="85"/>
        <v>7.8135791809705157</v>
      </c>
      <c r="P241">
        <v>1E-3</v>
      </c>
      <c r="R241">
        <v>0.50800000000000001</v>
      </c>
      <c r="T241">
        <v>0.995</v>
      </c>
      <c r="V241">
        <v>0.999</v>
      </c>
      <c r="X241">
        <v>345</v>
      </c>
      <c r="Y241" s="2">
        <f t="shared" si="96"/>
        <v>0.12906245362129509</v>
      </c>
      <c r="Z241" s="2">
        <f t="shared" si="97"/>
        <v>8.9714574982543933</v>
      </c>
      <c r="AA241" s="2">
        <f t="shared" si="87"/>
        <v>3.2411996903744307E-5</v>
      </c>
      <c r="AC241" s="2">
        <f t="shared" si="88"/>
        <v>2.3844202976768915E-5</v>
      </c>
      <c r="AE241" s="2">
        <f t="shared" si="89"/>
        <v>1.7954622561519963E-5</v>
      </c>
      <c r="AG241" s="2">
        <f t="shared" si="90"/>
        <v>1.3243946419004025E-5</v>
      </c>
      <c r="AI241" s="2">
        <f t="shared" si="91"/>
        <v>1.0000717700670048</v>
      </c>
      <c r="AK241" s="2">
        <f t="shared" si="92"/>
        <v>1.0508717739999862</v>
      </c>
      <c r="AM241" s="2">
        <f t="shared" si="93"/>
        <v>1.1368196469159702</v>
      </c>
      <c r="AO241" s="2">
        <f t="shared" si="94"/>
        <v>1.1958068093849141</v>
      </c>
    </row>
    <row r="242" spans="4:42" x14ac:dyDescent="0.3">
      <c r="D242">
        <v>10</v>
      </c>
      <c r="E242" t="s">
        <v>4</v>
      </c>
      <c r="F242">
        <v>19.7</v>
      </c>
      <c r="G242">
        <v>1.1000000000000001</v>
      </c>
      <c r="H242">
        <v>0.9</v>
      </c>
      <c r="I242">
        <v>21.02</v>
      </c>
      <c r="J242">
        <v>11.75</v>
      </c>
      <c r="K242">
        <f t="shared" si="98"/>
        <v>12300</v>
      </c>
      <c r="L242">
        <f t="shared" si="83"/>
        <v>9.27</v>
      </c>
      <c r="M242">
        <f t="shared" si="84"/>
        <v>1</v>
      </c>
      <c r="N242" s="2">
        <f>FiberLength!D30*$C$2*PI()</f>
        <v>3.9364155949480104E-4</v>
      </c>
      <c r="O242" s="2">
        <f t="shared" si="85"/>
        <v>6.9048502390463939</v>
      </c>
      <c r="P242">
        <v>-2E-3</v>
      </c>
      <c r="R242">
        <v>0.50600000000000001</v>
      </c>
      <c r="T242">
        <v>0.995</v>
      </c>
      <c r="V242">
        <v>0.998</v>
      </c>
      <c r="X242">
        <v>346</v>
      </c>
      <c r="Y242" s="2">
        <f t="shared" si="96"/>
        <v>0.12583168239857015</v>
      </c>
      <c r="Z242" s="2">
        <f t="shared" si="97"/>
        <v>7.8987651462731296</v>
      </c>
      <c r="AA242" s="2">
        <f t="shared" si="87"/>
        <v>3.2211668117057027E-5</v>
      </c>
      <c r="AC242" s="2">
        <f t="shared" si="88"/>
        <v>2.3650608424646621E-5</v>
      </c>
      <c r="AE242" s="2">
        <f t="shared" si="89"/>
        <v>1.7767853569748521E-5</v>
      </c>
      <c r="AG242" s="2">
        <f t="shared" si="90"/>
        <v>1.3064989162162053E-5</v>
      </c>
      <c r="AI242" s="2">
        <f t="shared" si="91"/>
        <v>0.99987337189861303</v>
      </c>
      <c r="AK242" s="2">
        <f t="shared" si="92"/>
        <v>1.0446571191831491</v>
      </c>
      <c r="AM242" s="2">
        <f t="shared" si="93"/>
        <v>1.1204065108503301</v>
      </c>
      <c r="AO242" s="2">
        <f t="shared" si="94"/>
        <v>1.1717217354354674</v>
      </c>
    </row>
    <row r="243" spans="4:42" x14ac:dyDescent="0.3">
      <c r="E243" t="s">
        <v>5</v>
      </c>
      <c r="F243">
        <v>19.7</v>
      </c>
      <c r="G243">
        <v>1.1000000000000001</v>
      </c>
      <c r="H243">
        <v>0.9</v>
      </c>
      <c r="I243">
        <v>21.36</v>
      </c>
      <c r="J243">
        <v>11.83</v>
      </c>
      <c r="K243">
        <f t="shared" si="98"/>
        <v>12300</v>
      </c>
      <c r="L243">
        <f t="shared" si="83"/>
        <v>9.5299999999999994</v>
      </c>
      <c r="M243">
        <f t="shared" si="84"/>
        <v>1</v>
      </c>
      <c r="N243" s="2">
        <f>FiberLength!D31*$C$2*PI()</f>
        <v>3.9584067435231396E-4</v>
      </c>
      <c r="O243" s="2">
        <f t="shared" si="85"/>
        <v>7.0590775963574686</v>
      </c>
      <c r="P243">
        <v>-1E-3</v>
      </c>
      <c r="R243">
        <v>0.51</v>
      </c>
      <c r="T243">
        <v>0.99399999999999999</v>
      </c>
      <c r="V243">
        <v>0.999</v>
      </c>
      <c r="X243">
        <v>346</v>
      </c>
      <c r="Y243" s="2">
        <f t="shared" si="96"/>
        <v>0.12703510689910083</v>
      </c>
      <c r="Z243" s="2">
        <f t="shared" si="97"/>
        <v>8.0863247218139449</v>
      </c>
      <c r="AA243" s="2">
        <f t="shared" si="87"/>
        <v>3.224584046412748E-5</v>
      </c>
      <c r="AC243" s="2">
        <f t="shared" si="88"/>
        <v>2.3683653804615045E-5</v>
      </c>
      <c r="AE243" s="2">
        <f t="shared" si="89"/>
        <v>1.7799752031354379E-5</v>
      </c>
      <c r="AG243" s="2">
        <f t="shared" si="90"/>
        <v>1.3095565730878526E-5</v>
      </c>
      <c r="AI243" s="2">
        <f t="shared" si="91"/>
        <v>0.99993525323355559</v>
      </c>
      <c r="AK243" s="2">
        <f t="shared" si="92"/>
        <v>1.0460362403873635</v>
      </c>
      <c r="AM243" s="2">
        <f t="shared" si="93"/>
        <v>1.1230571636960516</v>
      </c>
      <c r="AO243" s="2">
        <f t="shared" si="94"/>
        <v>1.175926798693693</v>
      </c>
    </row>
    <row r="244" spans="4:42" x14ac:dyDescent="0.3">
      <c r="E244" t="s">
        <v>6</v>
      </c>
      <c r="F244">
        <v>19.7</v>
      </c>
      <c r="G244">
        <v>1.1000000000000001</v>
      </c>
      <c r="H244">
        <v>0.9</v>
      </c>
      <c r="I244">
        <v>21.46</v>
      </c>
      <c r="J244">
        <v>11.79</v>
      </c>
      <c r="K244">
        <f t="shared" si="98"/>
        <v>12300</v>
      </c>
      <c r="L244">
        <f t="shared" si="83"/>
        <v>9.6700000000000017</v>
      </c>
      <c r="M244">
        <f t="shared" si="84"/>
        <v>1</v>
      </c>
      <c r="N244" s="2">
        <f>FiberLength!D32*$C$2*PI()</f>
        <v>3.9364155949480104E-4</v>
      </c>
      <c r="O244" s="2">
        <f t="shared" si="85"/>
        <v>7.202794154431353</v>
      </c>
      <c r="P244">
        <v>2E-3</v>
      </c>
      <c r="R244">
        <v>0.50900000000000001</v>
      </c>
      <c r="T244">
        <v>0.995</v>
      </c>
      <c r="V244">
        <v>0.999</v>
      </c>
      <c r="X244">
        <v>347</v>
      </c>
      <c r="Y244" s="2">
        <f t="shared" si="96"/>
        <v>0.12847212291738208</v>
      </c>
      <c r="Z244" s="2">
        <f t="shared" si="97"/>
        <v>8.2645596817192253</v>
      </c>
      <c r="AA244" s="2">
        <f t="shared" si="87"/>
        <v>3.2277618998793245E-5</v>
      </c>
      <c r="AC244" s="2">
        <f t="shared" si="88"/>
        <v>2.3714376069077768E-5</v>
      </c>
      <c r="AE244" s="2">
        <f t="shared" si="89"/>
        <v>1.7829401018775504E-5</v>
      </c>
      <c r="AG244" s="2">
        <f t="shared" si="90"/>
        <v>1.3123981056643405E-5</v>
      </c>
      <c r="AI244" s="2">
        <f t="shared" si="91"/>
        <v>1.000132165441705</v>
      </c>
      <c r="AK244" s="2">
        <f t="shared" si="92"/>
        <v>1.0469012538857583</v>
      </c>
      <c r="AM244" s="2">
        <f t="shared" si="93"/>
        <v>1.1257703868938076</v>
      </c>
      <c r="AO244" s="2">
        <f t="shared" si="94"/>
        <v>1.179694197432366</v>
      </c>
    </row>
    <row r="245" spans="4:42" x14ac:dyDescent="0.3">
      <c r="E245" t="s">
        <v>7</v>
      </c>
      <c r="F245">
        <v>19.7</v>
      </c>
      <c r="G245">
        <v>1.1000000000000001</v>
      </c>
      <c r="H245">
        <v>0.9</v>
      </c>
      <c r="I245">
        <v>21.59</v>
      </c>
      <c r="J245">
        <v>11.75</v>
      </c>
      <c r="K245">
        <f t="shared" si="98"/>
        <v>12300</v>
      </c>
      <c r="L245">
        <f t="shared" si="83"/>
        <v>9.84</v>
      </c>
      <c r="M245">
        <f t="shared" si="84"/>
        <v>1</v>
      </c>
      <c r="N245" s="2">
        <f>FiberLength!D33*$C$2*PI()</f>
        <v>3.9144244463728818E-4</v>
      </c>
      <c r="O245" s="2">
        <f t="shared" si="85"/>
        <v>7.3705968371130481</v>
      </c>
      <c r="P245">
        <v>1E-3</v>
      </c>
      <c r="R245">
        <v>0.503</v>
      </c>
      <c r="T245">
        <v>0.99399999999999999</v>
      </c>
      <c r="V245">
        <v>0.999</v>
      </c>
      <c r="X245">
        <v>348</v>
      </c>
      <c r="Y245" s="2">
        <f t="shared" si="96"/>
        <v>0.12752045373704599</v>
      </c>
      <c r="Z245" s="2">
        <f t="shared" si="97"/>
        <v>8.4478734987921946</v>
      </c>
      <c r="AA245" s="2">
        <f t="shared" si="87"/>
        <v>3.2314645386318995E-5</v>
      </c>
      <c r="AC245" s="2">
        <f t="shared" si="88"/>
        <v>2.3750161930557621E-5</v>
      </c>
      <c r="AE245" s="2">
        <f t="shared" si="89"/>
        <v>1.7863928482082551E-5</v>
      </c>
      <c r="AG245" s="2">
        <f t="shared" si="90"/>
        <v>1.3157066236802204E-5</v>
      </c>
      <c r="AI245" s="2">
        <f t="shared" si="91"/>
        <v>1.0000676436581244</v>
      </c>
      <c r="AK245" s="2">
        <f t="shared" si="92"/>
        <v>1.0474518221942446</v>
      </c>
      <c r="AM245" s="2">
        <f t="shared" si="93"/>
        <v>1.1286693310638458</v>
      </c>
      <c r="AO245" s="2">
        <f t="shared" si="94"/>
        <v>1.1841043980393049</v>
      </c>
    </row>
    <row r="246" spans="4:42" x14ac:dyDescent="0.3">
      <c r="D246">
        <v>7</v>
      </c>
      <c r="E246" t="s">
        <v>4</v>
      </c>
      <c r="F246">
        <v>19.5</v>
      </c>
      <c r="G246">
        <v>3.06</v>
      </c>
      <c r="H246">
        <v>2.93</v>
      </c>
      <c r="I246">
        <v>18.61</v>
      </c>
      <c r="J246">
        <v>11.8</v>
      </c>
      <c r="K246">
        <f>40*60</f>
        <v>2400</v>
      </c>
      <c r="L246">
        <f t="shared" si="83"/>
        <v>6.8099999999999987</v>
      </c>
      <c r="M246">
        <f t="shared" si="84"/>
        <v>2.9950000000000001</v>
      </c>
      <c r="N246" s="2">
        <f>FiberLength!D18*$C$2*PI()</f>
        <v>3.9364155949480104E-4</v>
      </c>
      <c r="O246" s="2">
        <f t="shared" si="85"/>
        <v>25.996537692073133</v>
      </c>
      <c r="Q246">
        <v>0.17499999999999999</v>
      </c>
      <c r="S246">
        <v>0.97799999999999998</v>
      </c>
      <c r="U246">
        <v>0.999</v>
      </c>
      <c r="W246">
        <v>0.998</v>
      </c>
      <c r="X246">
        <v>259</v>
      </c>
      <c r="Y246" s="2">
        <f t="shared" ref="Y246" si="99">8.314*293.15*1000*(1/106*(Q246+AJ246-1)+1/400*(S246+AL246-1)+1/1000*(U246+AN246-1)+1/3000*(W246+AP246-1))/10^5</f>
        <v>0.19286292951824482</v>
      </c>
      <c r="Z246" s="2">
        <f t="shared" si="97"/>
        <v>9.2773968718110211</v>
      </c>
      <c r="AB246" s="2">
        <f t="shared" ref="AB246:AB261" si="100">(($O246/1000/60/60/$AX$85)+(1+0.26*($O246/1000/60/60/$AX$85)^(1.4))^(-1.7))*$AX$85</f>
        <v>3.1749852773029828E-5</v>
      </c>
      <c r="AD246" s="2">
        <f t="shared" ref="AD246:AD261" si="101">(($O246/1000/60/60/$AZ$85)+(1+0.26*($O246/1000/60/60/$AZ$85)^(1.4))^(-1.7))*$AZ$85</f>
        <v>2.3367167356000858E-5</v>
      </c>
      <c r="AF246" s="2">
        <f t="shared" ref="AF246:AF261" si="102">(($O246/1000/60/60/$BB$85)+(1+0.26*($O246/1000/60/60/$BB$85)^(1.4))^(-1.7))*$BB$85</f>
        <v>1.9112606130306363E-5</v>
      </c>
      <c r="AH246" s="2">
        <f t="shared" ref="AH246:AH261" si="103">(($O246/1000/60/60/$BD$85)+(1+0.26*($O246/1000/60/60/$BD$85)^(1.4))^(-1.7))*$BD$85</f>
        <v>1.5247580777707329E-5</v>
      </c>
      <c r="AJ246" s="2">
        <f t="shared" ref="AJ246:AJ261" si="104">(AB246/($O246/1000/60/60)+Q246-1)/(AB246/($O246/1000/60/60)-1)</f>
        <v>1.0515203060429401</v>
      </c>
      <c r="AL246" s="2">
        <f t="shared" ref="AL246:AL261" si="105">(AD246/($O246/1000/60/60)+S246-1)/(AD246/($O246/1000/60/60)-1)</f>
        <v>1.4374107189861305</v>
      </c>
      <c r="AN246" s="2">
        <f t="shared" ref="AN246:AN261" si="106">(AF246/($O246/1000/60/60)+U246-1)/(AF246/($O246/1000/60/60)-1)</f>
        <v>1.6066629812674</v>
      </c>
      <c r="AP246" s="2">
        <f t="shared" ref="AP246:AP261" si="107">(AH246/($O246/1000/60/60)+W246-1)/(AH246/($O246/1000/60/60)-1)</f>
        <v>1.8978981242722297</v>
      </c>
    </row>
    <row r="247" spans="4:42" x14ac:dyDescent="0.3">
      <c r="E247" t="s">
        <v>5</v>
      </c>
      <c r="F247">
        <v>19.5</v>
      </c>
      <c r="G247">
        <v>3.06</v>
      </c>
      <c r="H247">
        <v>2.93</v>
      </c>
      <c r="I247">
        <v>18.84</v>
      </c>
      <c r="J247">
        <v>11.75</v>
      </c>
      <c r="K247">
        <f t="shared" ref="K247:K261" si="108">40*60</f>
        <v>2400</v>
      </c>
      <c r="L247">
        <f t="shared" si="83"/>
        <v>7.09</v>
      </c>
      <c r="M247">
        <f t="shared" si="84"/>
        <v>2.9950000000000001</v>
      </c>
      <c r="N247" s="2">
        <f>FiberLength!D19*$C$2*PI()</f>
        <v>3.9144244463728818E-4</v>
      </c>
      <c r="O247" s="2">
        <f t="shared" si="85"/>
        <v>27.217464362047664</v>
      </c>
      <c r="Q247">
        <v>0.17599999999999999</v>
      </c>
      <c r="S247">
        <v>0.97899999999999998</v>
      </c>
      <c r="U247">
        <v>0.999</v>
      </c>
      <c r="W247">
        <v>0.998</v>
      </c>
      <c r="X247">
        <v>258</v>
      </c>
      <c r="Y247" s="2">
        <f t="shared" ref="Y247:Y261" si="109">8.314*293.15*1000*(1/106*(Q247+AJ247-1)+1/400*(S247+AL247-1)+1/1000*(U247+AN247-1)+1/3000*(W247+AP247-1))/10^5</f>
        <v>0.19664707887395874</v>
      </c>
      <c r="Z247" s="2">
        <f t="shared" ref="Z247:Z261" si="110">O247/(M247-Y247)</f>
        <v>9.7262443763153055</v>
      </c>
      <c r="AB247" s="2">
        <f t="shared" si="100"/>
        <v>3.1976578607642349E-5</v>
      </c>
      <c r="AD247" s="2">
        <f t="shared" si="101"/>
        <v>2.358547500645115E-5</v>
      </c>
      <c r="AF247" s="2">
        <f t="shared" si="102"/>
        <v>1.9328033498095664E-5</v>
      </c>
      <c r="AH247" s="2">
        <f t="shared" si="103"/>
        <v>1.5464594740278256E-5</v>
      </c>
      <c r="AJ247" s="2">
        <f t="shared" si="104"/>
        <v>1.0544979614220829</v>
      </c>
      <c r="AL247" s="2">
        <f t="shared" si="105"/>
        <v>1.46187873365872</v>
      </c>
      <c r="AN247" s="2">
        <f t="shared" si="106"/>
        <v>1.6418325914996219</v>
      </c>
      <c r="AP247" s="2">
        <f t="shared" si="107"/>
        <v>1.954593435712076</v>
      </c>
    </row>
    <row r="248" spans="4:42" x14ac:dyDescent="0.3">
      <c r="E248" t="s">
        <v>6</v>
      </c>
      <c r="F248">
        <v>19.5</v>
      </c>
      <c r="G248">
        <v>3.06</v>
      </c>
      <c r="H248">
        <v>2.93</v>
      </c>
      <c r="I248">
        <v>19.510000000000002</v>
      </c>
      <c r="J248">
        <v>11.76</v>
      </c>
      <c r="K248">
        <f t="shared" si="108"/>
        <v>2400</v>
      </c>
      <c r="L248">
        <f t="shared" si="83"/>
        <v>7.7500000000000018</v>
      </c>
      <c r="M248">
        <f t="shared" si="84"/>
        <v>2.9950000000000001</v>
      </c>
      <c r="N248" s="2">
        <f>FiberLength!D20*$C$2*PI()</f>
        <v>3.9364155949480104E-4</v>
      </c>
      <c r="O248" s="2">
        <f t="shared" si="85"/>
        <v>29.584899722990727</v>
      </c>
      <c r="Q248">
        <v>0.17399999999999999</v>
      </c>
      <c r="S248">
        <v>0.97899999999999998</v>
      </c>
      <c r="U248">
        <v>0.999</v>
      </c>
      <c r="W248">
        <v>0.998</v>
      </c>
      <c r="X248">
        <v>258</v>
      </c>
      <c r="Y248" s="2">
        <f t="shared" si="109"/>
        <v>0.20279854119542809</v>
      </c>
      <c r="Z248" s="2">
        <f t="shared" si="110"/>
        <v>10.595546259637347</v>
      </c>
      <c r="AB248" s="2">
        <f t="shared" si="100"/>
        <v>3.2412877308802862E-5</v>
      </c>
      <c r="AD248" s="2">
        <f t="shared" si="101"/>
        <v>2.4006831660469201E-5</v>
      </c>
      <c r="AF248" s="2">
        <f t="shared" si="102"/>
        <v>1.9745426633089538E-5</v>
      </c>
      <c r="AH248" s="2">
        <f t="shared" si="103"/>
        <v>1.5887755449975148E-5</v>
      </c>
      <c r="AJ248" s="2">
        <f t="shared" si="104"/>
        <v>1.0591008765548762</v>
      </c>
      <c r="AL248" s="2">
        <f t="shared" si="105"/>
        <v>1.5095667246030933</v>
      </c>
      <c r="AN248" s="2">
        <f t="shared" si="106"/>
        <v>1.7121996663232704</v>
      </c>
      <c r="AP248" s="2">
        <f t="shared" si="107"/>
        <v>2.0693458638533859</v>
      </c>
    </row>
    <row r="249" spans="4:42" x14ac:dyDescent="0.3">
      <c r="E249" t="s">
        <v>7</v>
      </c>
      <c r="F249">
        <v>19.5</v>
      </c>
      <c r="G249">
        <v>3.06</v>
      </c>
      <c r="H249">
        <v>2.93</v>
      </c>
      <c r="I249">
        <v>19.149999999999999</v>
      </c>
      <c r="J249">
        <v>11.84</v>
      </c>
      <c r="K249">
        <f t="shared" si="108"/>
        <v>2400</v>
      </c>
      <c r="L249">
        <f t="shared" si="83"/>
        <v>7.3099999999999987</v>
      </c>
      <c r="M249">
        <f t="shared" si="84"/>
        <v>2.9950000000000001</v>
      </c>
      <c r="N249" s="2">
        <f>FiberLength!D21*$C$2*PI()</f>
        <v>3.9364155949480104E-4</v>
      </c>
      <c r="O249" s="2">
        <f t="shared" si="85"/>
        <v>27.905240900008017</v>
      </c>
      <c r="Q249">
        <v>0.17399999999999999</v>
      </c>
      <c r="S249">
        <v>0.97699999999999998</v>
      </c>
      <c r="U249">
        <v>0.999</v>
      </c>
      <c r="W249">
        <v>0.998</v>
      </c>
      <c r="X249">
        <v>260</v>
      </c>
      <c r="Y249" s="2">
        <f t="shared" si="109"/>
        <v>0.19780135211349989</v>
      </c>
      <c r="Z249" s="2">
        <f t="shared" si="110"/>
        <v>9.9761384201628243</v>
      </c>
      <c r="AB249" s="2">
        <f t="shared" si="100"/>
        <v>3.2103765470306181E-5</v>
      </c>
      <c r="AD249" s="2">
        <f t="shared" si="101"/>
        <v>2.3708128864210963E-5</v>
      </c>
      <c r="AF249" s="2">
        <f t="shared" si="102"/>
        <v>1.9449313374584111E-5</v>
      </c>
      <c r="AH249" s="2">
        <f t="shared" si="103"/>
        <v>1.5587185403429752E-5</v>
      </c>
      <c r="AJ249" s="2">
        <f t="shared" si="104"/>
        <v>1.055385026255619</v>
      </c>
      <c r="AL249" s="2">
        <f t="shared" si="105"/>
        <v>1.474608478483745</v>
      </c>
      <c r="AN249" s="2">
        <f t="shared" si="106"/>
        <v>1.6619762895947769</v>
      </c>
      <c r="AP249" s="2">
        <f t="shared" si="107"/>
        <v>1.9872664437077561</v>
      </c>
    </row>
    <row r="250" spans="4:42" x14ac:dyDescent="0.3">
      <c r="D250">
        <v>8</v>
      </c>
      <c r="E250" t="s">
        <v>4</v>
      </c>
      <c r="F250">
        <v>19.5</v>
      </c>
      <c r="G250">
        <v>3.06</v>
      </c>
      <c r="H250">
        <v>2.93</v>
      </c>
      <c r="I250">
        <v>17.93</v>
      </c>
      <c r="J250">
        <v>11.65</v>
      </c>
      <c r="K250">
        <f t="shared" si="108"/>
        <v>2400</v>
      </c>
      <c r="L250">
        <f t="shared" si="83"/>
        <v>6.2799999999999994</v>
      </c>
      <c r="M250">
        <f t="shared" si="84"/>
        <v>2.9950000000000001</v>
      </c>
      <c r="N250" s="2">
        <f>FiberLength!D22*$C$2*PI()</f>
        <v>3.9364155949480104E-4</v>
      </c>
      <c r="O250" s="2">
        <f t="shared" si="85"/>
        <v>23.973312291662157</v>
      </c>
      <c r="Q250">
        <v>0.17499999999999999</v>
      </c>
      <c r="S250">
        <v>0.98</v>
      </c>
      <c r="U250">
        <v>0.999</v>
      </c>
      <c r="W250">
        <v>0.998</v>
      </c>
      <c r="X250">
        <v>257</v>
      </c>
      <c r="Y250" s="2">
        <f t="shared" si="109"/>
        <v>0.18754357667460514</v>
      </c>
      <c r="Z250" s="2">
        <f t="shared" si="110"/>
        <v>8.5391573997312786</v>
      </c>
      <c r="AB250" s="2">
        <f t="shared" si="100"/>
        <v>3.1371249125067467E-5</v>
      </c>
      <c r="AD250" s="2">
        <f t="shared" si="101"/>
        <v>2.3003503285437739E-5</v>
      </c>
      <c r="AF250" s="2">
        <f t="shared" si="102"/>
        <v>1.8754927696178083E-5</v>
      </c>
      <c r="AH250" s="2">
        <f t="shared" si="103"/>
        <v>1.4889361870729014E-5</v>
      </c>
      <c r="AJ250" s="2">
        <f t="shared" si="104"/>
        <v>1.0471580426426654</v>
      </c>
      <c r="AL250" s="2">
        <f t="shared" si="105"/>
        <v>1.3992883367261872</v>
      </c>
      <c r="AN250" s="2">
        <f t="shared" si="106"/>
        <v>1.5499977930896414</v>
      </c>
      <c r="AP250" s="2">
        <f t="shared" si="107"/>
        <v>1.8075148635946872</v>
      </c>
    </row>
    <row r="251" spans="4:42" x14ac:dyDescent="0.3">
      <c r="E251" t="s">
        <v>5</v>
      </c>
      <c r="F251">
        <v>19.5</v>
      </c>
      <c r="G251">
        <v>3.06</v>
      </c>
      <c r="H251">
        <v>2.93</v>
      </c>
      <c r="I251">
        <v>18.05</v>
      </c>
      <c r="J251">
        <v>11.75</v>
      </c>
      <c r="K251">
        <f t="shared" si="108"/>
        <v>2400</v>
      </c>
      <c r="L251">
        <f t="shared" si="83"/>
        <v>6.3000000000000007</v>
      </c>
      <c r="M251">
        <f t="shared" si="84"/>
        <v>2.9950000000000001</v>
      </c>
      <c r="N251" s="2">
        <f>FiberLength!D23*$C$2*PI()</f>
        <v>3.8264598520723679E-4</v>
      </c>
      <c r="O251" s="2">
        <f t="shared" si="85"/>
        <v>24.74074261595598</v>
      </c>
      <c r="Q251">
        <v>0.182</v>
      </c>
      <c r="S251">
        <v>0.98099999999999998</v>
      </c>
      <c r="U251">
        <v>0.999</v>
      </c>
      <c r="W251">
        <v>0.998</v>
      </c>
      <c r="X251">
        <v>256</v>
      </c>
      <c r="Y251" s="2">
        <f t="shared" si="109"/>
        <v>0.19175407861827654</v>
      </c>
      <c r="Z251" s="2">
        <f t="shared" si="110"/>
        <v>8.8257481897133161</v>
      </c>
      <c r="AB251" s="2">
        <f t="shared" si="100"/>
        <v>3.1515303643314877E-5</v>
      </c>
      <c r="AD251" s="2">
        <f t="shared" si="101"/>
        <v>2.3141751286119444E-5</v>
      </c>
      <c r="AF251" s="2">
        <f t="shared" si="102"/>
        <v>1.8890730368123474E-5</v>
      </c>
      <c r="AH251" s="2">
        <f t="shared" si="103"/>
        <v>1.5025063099253813E-5</v>
      </c>
      <c r="AJ251" s="2">
        <f t="shared" si="104"/>
        <v>1.0507563334536856</v>
      </c>
      <c r="AL251" s="2">
        <f t="shared" si="105"/>
        <v>1.4143904729972314</v>
      </c>
      <c r="AN251" s="2">
        <f t="shared" si="106"/>
        <v>1.5712584151900411</v>
      </c>
      <c r="AP251" s="2">
        <f t="shared" si="107"/>
        <v>1.8412843195229012</v>
      </c>
    </row>
    <row r="252" spans="4:42" x14ac:dyDescent="0.3">
      <c r="E252" t="s">
        <v>6</v>
      </c>
      <c r="F252">
        <v>19.5</v>
      </c>
      <c r="G252">
        <v>3.06</v>
      </c>
      <c r="H252">
        <v>2.93</v>
      </c>
      <c r="I252">
        <v>18.27</v>
      </c>
      <c r="J252">
        <v>11.83</v>
      </c>
      <c r="K252">
        <f t="shared" si="108"/>
        <v>2400</v>
      </c>
      <c r="L252">
        <f t="shared" si="83"/>
        <v>6.4399999999999995</v>
      </c>
      <c r="M252">
        <f t="shared" si="84"/>
        <v>2.9950000000000001</v>
      </c>
      <c r="N252" s="2">
        <f>FiberLength!D24*$C$2*PI()</f>
        <v>3.8924332977977537E-4</v>
      </c>
      <c r="O252" s="2">
        <f t="shared" si="85"/>
        <v>24.861883728576476</v>
      </c>
      <c r="Q252">
        <v>0.17899999999999999</v>
      </c>
      <c r="S252">
        <v>0.98099999999999998</v>
      </c>
      <c r="U252">
        <v>0.999</v>
      </c>
      <c r="W252">
        <v>0.998</v>
      </c>
      <c r="X252">
        <v>257</v>
      </c>
      <c r="Y252" s="2">
        <f t="shared" si="109"/>
        <v>0.19120159625159161</v>
      </c>
      <c r="Z252" s="2">
        <f t="shared" si="110"/>
        <v>8.8672151661612091</v>
      </c>
      <c r="AB252" s="2">
        <f t="shared" si="100"/>
        <v>3.1537992079736111E-5</v>
      </c>
      <c r="AD252" s="2">
        <f t="shared" si="101"/>
        <v>2.3163538463791525E-5</v>
      </c>
      <c r="AF252" s="2">
        <f t="shared" si="102"/>
        <v>1.8912150905561777E-5</v>
      </c>
      <c r="AH252" s="2">
        <f t="shared" si="103"/>
        <v>1.5046501817013417E-5</v>
      </c>
      <c r="AJ252" s="2">
        <f t="shared" si="104"/>
        <v>1.0501864428578309</v>
      </c>
      <c r="AL252" s="2">
        <f t="shared" si="105"/>
        <v>1.4167233664893568</v>
      </c>
      <c r="AN252" s="2">
        <f t="shared" si="106"/>
        <v>1.5746402888283371</v>
      </c>
      <c r="AP252" s="2">
        <f t="shared" si="107"/>
        <v>1.8466718072127495</v>
      </c>
    </row>
    <row r="253" spans="4:42" x14ac:dyDescent="0.3">
      <c r="E253" t="s">
        <v>7</v>
      </c>
      <c r="F253">
        <v>19.5</v>
      </c>
      <c r="G253">
        <v>3.06</v>
      </c>
      <c r="H253">
        <v>2.93</v>
      </c>
      <c r="I253">
        <v>18.309999999999999</v>
      </c>
      <c r="J253">
        <v>11.76</v>
      </c>
      <c r="K253">
        <f t="shared" si="108"/>
        <v>2400</v>
      </c>
      <c r="L253">
        <f t="shared" si="83"/>
        <v>6.5499999999999989</v>
      </c>
      <c r="M253">
        <f t="shared" si="84"/>
        <v>2.9950000000000001</v>
      </c>
      <c r="N253" s="2">
        <f>FiberLength!D25*$C$2*PI()</f>
        <v>3.8704421492226246E-4</v>
      </c>
      <c r="O253" s="2">
        <f t="shared" si="85"/>
        <v>25.430216774355181</v>
      </c>
      <c r="Q253">
        <v>0.18</v>
      </c>
      <c r="S253">
        <v>0.98</v>
      </c>
      <c r="U253">
        <v>0.999</v>
      </c>
      <c r="W253">
        <v>0.998</v>
      </c>
      <c r="X253">
        <v>257</v>
      </c>
      <c r="Y253" s="2">
        <f t="shared" si="109"/>
        <v>0.19296457939449985</v>
      </c>
      <c r="Z253" s="2">
        <f t="shared" si="110"/>
        <v>9.0756228801918173</v>
      </c>
      <c r="AB253" s="2">
        <f t="shared" si="100"/>
        <v>3.1644254576542393E-5</v>
      </c>
      <c r="AD253" s="2">
        <f t="shared" si="101"/>
        <v>2.3265629863924277E-5</v>
      </c>
      <c r="AF253" s="2">
        <f t="shared" si="102"/>
        <v>1.9012593531192294E-5</v>
      </c>
      <c r="AH253" s="2">
        <f t="shared" si="103"/>
        <v>1.5147154399837394E-5</v>
      </c>
      <c r="AJ253" s="2">
        <f t="shared" si="104"/>
        <v>1.0517288460933678</v>
      </c>
      <c r="AL253" s="2">
        <f t="shared" si="105"/>
        <v>1.4272809855028175</v>
      </c>
      <c r="AN253" s="2">
        <f t="shared" si="106"/>
        <v>1.5906013186580734</v>
      </c>
      <c r="AP253" s="2">
        <f t="shared" si="107"/>
        <v>1.8721566442707027</v>
      </c>
    </row>
    <row r="254" spans="4:42" x14ac:dyDescent="0.3">
      <c r="D254">
        <v>9</v>
      </c>
      <c r="E254" t="s">
        <v>4</v>
      </c>
      <c r="F254">
        <v>19.5</v>
      </c>
      <c r="G254">
        <v>3.06</v>
      </c>
      <c r="H254">
        <v>2.93</v>
      </c>
      <c r="I254">
        <v>18.28</v>
      </c>
      <c r="J254">
        <v>11.73</v>
      </c>
      <c r="K254">
        <f t="shared" si="108"/>
        <v>2400</v>
      </c>
      <c r="L254">
        <f t="shared" si="83"/>
        <v>6.5500000000000007</v>
      </c>
      <c r="M254">
        <f t="shared" si="84"/>
        <v>2.9950000000000001</v>
      </c>
      <c r="N254" s="2">
        <f>FiberLength!D26*$C$2*PI()</f>
        <v>3.9144244463728818E-4</v>
      </c>
      <c r="O254" s="2">
        <f t="shared" si="85"/>
        <v>25.144484001609623</v>
      </c>
      <c r="Q254">
        <v>0.17699999999999999</v>
      </c>
      <c r="S254">
        <v>0.98</v>
      </c>
      <c r="U254">
        <v>0.999</v>
      </c>
      <c r="W254">
        <v>0.998</v>
      </c>
      <c r="X254">
        <v>258</v>
      </c>
      <c r="Y254" s="2">
        <f t="shared" si="109"/>
        <v>0.19129539102627788</v>
      </c>
      <c r="Z254" s="2">
        <f t="shared" si="110"/>
        <v>8.9683071180646223</v>
      </c>
      <c r="AB254" s="2">
        <f t="shared" si="100"/>
        <v>3.159086731523357E-5</v>
      </c>
      <c r="AD254" s="2">
        <f t="shared" si="101"/>
        <v>2.3214327790076442E-5</v>
      </c>
      <c r="AF254" s="2">
        <f t="shared" si="102"/>
        <v>1.896210564664132E-5</v>
      </c>
      <c r="AH254" s="2">
        <f t="shared" si="103"/>
        <v>1.5096535261041058E-5</v>
      </c>
      <c r="AJ254" s="2">
        <f t="shared" si="104"/>
        <v>1.0502420536577683</v>
      </c>
      <c r="AL254" s="2">
        <f t="shared" si="105"/>
        <v>1.4217494277583682</v>
      </c>
      <c r="AN254" s="2">
        <f t="shared" si="106"/>
        <v>1.5825571882935605</v>
      </c>
      <c r="AP254" s="2">
        <f t="shared" si="107"/>
        <v>1.8593006929710816</v>
      </c>
    </row>
    <row r="255" spans="4:42" x14ac:dyDescent="0.3">
      <c r="E255" t="s">
        <v>5</v>
      </c>
      <c r="F255">
        <v>19.5</v>
      </c>
      <c r="G255">
        <v>3.06</v>
      </c>
      <c r="H255">
        <v>2.93</v>
      </c>
      <c r="I255">
        <v>18.399999999999999</v>
      </c>
      <c r="J255">
        <v>11.7</v>
      </c>
      <c r="K255">
        <f t="shared" si="108"/>
        <v>2400</v>
      </c>
      <c r="L255">
        <f t="shared" si="83"/>
        <v>6.6999999999999993</v>
      </c>
      <c r="M255">
        <f t="shared" si="84"/>
        <v>2.9950000000000001</v>
      </c>
      <c r="N255" s="2">
        <f>FiberLength!D27*$C$2*PI()</f>
        <v>3.9364155949480104E-4</v>
      </c>
      <c r="O255" s="2">
        <f t="shared" si="85"/>
        <v>25.576622986327461</v>
      </c>
      <c r="Q255">
        <v>0.17799999999999999</v>
      </c>
      <c r="S255">
        <v>0.98</v>
      </c>
      <c r="U255">
        <v>0.999</v>
      </c>
      <c r="W255">
        <v>0.998</v>
      </c>
      <c r="X255">
        <v>256</v>
      </c>
      <c r="Y255" s="2">
        <f t="shared" si="109"/>
        <v>0.1927745129159191</v>
      </c>
      <c r="Z255" s="2">
        <f t="shared" si="110"/>
        <v>9.1272537146686918</v>
      </c>
      <c r="AB255" s="2">
        <f t="shared" si="100"/>
        <v>3.1671581157698614E-5</v>
      </c>
      <c r="AD255" s="2">
        <f t="shared" si="101"/>
        <v>2.3291897414561609E-5</v>
      </c>
      <c r="AF255" s="2">
        <f t="shared" si="102"/>
        <v>1.903845551239551E-5</v>
      </c>
      <c r="AH255" s="2">
        <f t="shared" si="103"/>
        <v>1.5173103775896817E-5</v>
      </c>
      <c r="AJ255" s="2">
        <f t="shared" si="104"/>
        <v>1.05147652480579</v>
      </c>
      <c r="AL255" s="2">
        <f t="shared" si="105"/>
        <v>1.4301232314133996</v>
      </c>
      <c r="AN255" s="2">
        <f t="shared" si="106"/>
        <v>1.5947384964564635</v>
      </c>
      <c r="AP255" s="2">
        <f t="shared" si="107"/>
        <v>1.8787780031371537</v>
      </c>
    </row>
    <row r="256" spans="4:42" x14ac:dyDescent="0.3">
      <c r="E256" t="s">
        <v>6</v>
      </c>
      <c r="F256">
        <v>19.5</v>
      </c>
      <c r="G256">
        <v>3.06</v>
      </c>
      <c r="H256">
        <v>2.93</v>
      </c>
      <c r="I256">
        <v>18.059999999999999</v>
      </c>
      <c r="J256">
        <v>11.79</v>
      </c>
      <c r="K256">
        <f t="shared" si="108"/>
        <v>2400</v>
      </c>
      <c r="L256">
        <f t="shared" si="83"/>
        <v>6.27</v>
      </c>
      <c r="M256">
        <f t="shared" si="84"/>
        <v>2.9950000000000001</v>
      </c>
      <c r="N256" s="2">
        <f>FiberLength!D28*$C$2*PI()</f>
        <v>3.9364155949480104E-4</v>
      </c>
      <c r="O256" s="2">
        <f t="shared" si="85"/>
        <v>23.935138227503458</v>
      </c>
      <c r="Q256">
        <v>0.17799999999999999</v>
      </c>
      <c r="S256">
        <v>0.98</v>
      </c>
      <c r="U256">
        <v>0.999</v>
      </c>
      <c r="W256">
        <v>0.998</v>
      </c>
      <c r="X256">
        <v>257</v>
      </c>
      <c r="Y256" s="2">
        <f t="shared" si="109"/>
        <v>0.1883167817840731</v>
      </c>
      <c r="Z256" s="2">
        <f t="shared" si="110"/>
        <v>8.5279086974118403</v>
      </c>
      <c r="AB256" s="2">
        <f t="shared" si="100"/>
        <v>3.136406862022864E-5</v>
      </c>
      <c r="AD256" s="2">
        <f t="shared" si="101"/>
        <v>2.2996615916781574E-5</v>
      </c>
      <c r="AF256" s="2">
        <f t="shared" si="102"/>
        <v>1.8748167452683343E-5</v>
      </c>
      <c r="AH256" s="2">
        <f t="shared" si="103"/>
        <v>1.4882616429159909E-5</v>
      </c>
      <c r="AJ256" s="2">
        <f t="shared" si="104"/>
        <v>1.0478834531176167</v>
      </c>
      <c r="AL256" s="2">
        <f t="shared" si="105"/>
        <v>1.3985618978176704</v>
      </c>
      <c r="AN256" s="2">
        <f t="shared" si="106"/>
        <v>1.5489475604152538</v>
      </c>
      <c r="AP256" s="2">
        <f t="shared" si="107"/>
        <v>1.8058512102207507</v>
      </c>
    </row>
    <row r="257" spans="4:42" x14ac:dyDescent="0.3">
      <c r="E257" t="s">
        <v>7</v>
      </c>
      <c r="F257">
        <v>19.5</v>
      </c>
      <c r="G257">
        <v>3.06</v>
      </c>
      <c r="H257">
        <v>2.93</v>
      </c>
      <c r="I257">
        <v>18.399999999999999</v>
      </c>
      <c r="J257">
        <v>11.72</v>
      </c>
      <c r="K257">
        <f t="shared" si="108"/>
        <v>2400</v>
      </c>
      <c r="L257">
        <f t="shared" si="83"/>
        <v>6.6799999999999979</v>
      </c>
      <c r="M257">
        <f t="shared" si="84"/>
        <v>2.9950000000000001</v>
      </c>
      <c r="N257" s="2">
        <f>FiberLength!D29*$C$2*PI()</f>
        <v>3.9364155949480104E-4</v>
      </c>
      <c r="O257" s="2">
        <f t="shared" si="85"/>
        <v>25.500274858010059</v>
      </c>
      <c r="Q257">
        <v>0.17799999999999999</v>
      </c>
      <c r="S257">
        <v>0.98</v>
      </c>
      <c r="U257">
        <v>0.999</v>
      </c>
      <c r="W257">
        <v>0.998</v>
      </c>
      <c r="X257">
        <v>257</v>
      </c>
      <c r="Y257" s="2">
        <f t="shared" si="109"/>
        <v>0.19256479735789742</v>
      </c>
      <c r="Z257" s="2">
        <f t="shared" si="110"/>
        <v>9.0993271972778178</v>
      </c>
      <c r="AB257" s="2">
        <f t="shared" si="100"/>
        <v>3.165733323886322E-5</v>
      </c>
      <c r="AD257" s="2">
        <f t="shared" si="101"/>
        <v>2.3278200961769462E-5</v>
      </c>
      <c r="AF257" s="2">
        <f t="shared" si="102"/>
        <v>1.9024969572335263E-5</v>
      </c>
      <c r="AH257" s="2">
        <f t="shared" si="103"/>
        <v>1.5159570557995777E-5</v>
      </c>
      <c r="AJ257" s="2">
        <f t="shared" si="104"/>
        <v>1.051308327734374</v>
      </c>
      <c r="AL257" s="2">
        <f t="shared" si="105"/>
        <v>1.4286403800789436</v>
      </c>
      <c r="AN257" s="2">
        <f t="shared" si="106"/>
        <v>1.5925797248052549</v>
      </c>
      <c r="AP257" s="2">
        <f t="shared" si="107"/>
        <v>1.875322194869804</v>
      </c>
    </row>
    <row r="258" spans="4:42" x14ac:dyDescent="0.3">
      <c r="D258">
        <v>10</v>
      </c>
      <c r="E258" t="s">
        <v>4</v>
      </c>
      <c r="F258">
        <v>19.5</v>
      </c>
      <c r="G258">
        <v>3.06</v>
      </c>
      <c r="H258">
        <v>2.93</v>
      </c>
      <c r="I258">
        <v>17.649999999999999</v>
      </c>
      <c r="J258">
        <v>11.72</v>
      </c>
      <c r="K258">
        <f t="shared" si="108"/>
        <v>2400</v>
      </c>
      <c r="L258">
        <f t="shared" si="83"/>
        <v>5.9299999999999979</v>
      </c>
      <c r="M258">
        <f t="shared" si="84"/>
        <v>2.9950000000000001</v>
      </c>
      <c r="N258" s="2">
        <f>FiberLength!D30*$C$2*PI()</f>
        <v>3.9364155949480104E-4</v>
      </c>
      <c r="O258" s="2">
        <f t="shared" si="85"/>
        <v>22.637220046107732</v>
      </c>
      <c r="Q258">
        <v>0.17699999999999999</v>
      </c>
      <c r="S258">
        <v>0.98</v>
      </c>
      <c r="U258">
        <v>0.999</v>
      </c>
      <c r="W258">
        <v>0.998</v>
      </c>
      <c r="X258">
        <v>257</v>
      </c>
      <c r="Y258" s="2">
        <f t="shared" si="109"/>
        <v>0.18457834704610962</v>
      </c>
      <c r="Z258" s="2">
        <f t="shared" si="110"/>
        <v>8.0547415446770803</v>
      </c>
      <c r="AB258" s="2">
        <f t="shared" si="100"/>
        <v>3.1119058149415599E-5</v>
      </c>
      <c r="AD258" s="2">
        <f t="shared" si="101"/>
        <v>2.276180520610149E-5</v>
      </c>
      <c r="AF258" s="2">
        <f t="shared" si="102"/>
        <v>1.8517982410577936E-5</v>
      </c>
      <c r="AH258" s="2">
        <f t="shared" si="103"/>
        <v>1.4653482363318452E-5</v>
      </c>
      <c r="AJ258" s="2">
        <f t="shared" si="104"/>
        <v>1.0448229743368485</v>
      </c>
      <c r="AL258" s="2">
        <f t="shared" si="105"/>
        <v>1.3740725300180592</v>
      </c>
      <c r="AN258" s="2">
        <f t="shared" si="106"/>
        <v>1.5136465682381661</v>
      </c>
      <c r="AP258" s="2">
        <f t="shared" si="107"/>
        <v>1.7501812453023167</v>
      </c>
    </row>
    <row r="259" spans="4:42" x14ac:dyDescent="0.3">
      <c r="E259" t="s">
        <v>5</v>
      </c>
      <c r="F259">
        <v>19.5</v>
      </c>
      <c r="G259">
        <v>3.06</v>
      </c>
      <c r="H259">
        <v>2.93</v>
      </c>
      <c r="I259">
        <v>17.71</v>
      </c>
      <c r="J259">
        <v>11.72</v>
      </c>
      <c r="K259">
        <f t="shared" si="108"/>
        <v>2400</v>
      </c>
      <c r="L259">
        <f t="shared" si="83"/>
        <v>5.99</v>
      </c>
      <c r="M259">
        <f t="shared" si="84"/>
        <v>2.9950000000000001</v>
      </c>
      <c r="N259" s="2">
        <f>FiberLength!D31*$C$2*PI()</f>
        <v>3.9584067435231396E-4</v>
      </c>
      <c r="O259" s="2">
        <f t="shared" si="85"/>
        <v>22.739229628665143</v>
      </c>
      <c r="Q259">
        <v>0.18</v>
      </c>
      <c r="S259">
        <v>0.98099999999999998</v>
      </c>
      <c r="U259">
        <v>0.999</v>
      </c>
      <c r="W259">
        <v>0.998</v>
      </c>
      <c r="X259">
        <v>257</v>
      </c>
      <c r="Y259" s="2">
        <f t="shared" si="109"/>
        <v>0.18579653156554177</v>
      </c>
      <c r="Z259" s="2">
        <f t="shared" si="110"/>
        <v>8.0945470430226596</v>
      </c>
      <c r="AB259" s="2">
        <f t="shared" si="100"/>
        <v>3.1138377670054619E-5</v>
      </c>
      <c r="AD259" s="2">
        <f t="shared" si="101"/>
        <v>2.2780307089268621E-5</v>
      </c>
      <c r="AF259" s="2">
        <f t="shared" si="102"/>
        <v>1.8536099661774517E-5</v>
      </c>
      <c r="AH259" s="2">
        <f t="shared" si="103"/>
        <v>1.4671478610294796E-5</v>
      </c>
      <c r="AJ259" s="2">
        <f t="shared" si="104"/>
        <v>1.0458047263313701</v>
      </c>
      <c r="AL259" s="2">
        <f t="shared" si="105"/>
        <v>1.376366306318979</v>
      </c>
      <c r="AN259" s="2">
        <f t="shared" si="106"/>
        <v>1.5163926771855722</v>
      </c>
      <c r="AP259" s="2">
        <f t="shared" si="107"/>
        <v>1.7544943388350795</v>
      </c>
    </row>
    <row r="260" spans="4:42" x14ac:dyDescent="0.3">
      <c r="E260" t="s">
        <v>6</v>
      </c>
      <c r="F260">
        <v>19.5</v>
      </c>
      <c r="G260">
        <v>3.06</v>
      </c>
      <c r="H260">
        <v>2.93</v>
      </c>
      <c r="I260">
        <v>18.09</v>
      </c>
      <c r="J260">
        <v>11.83</v>
      </c>
      <c r="K260">
        <f t="shared" si="108"/>
        <v>2400</v>
      </c>
      <c r="L260">
        <f t="shared" si="83"/>
        <v>6.26</v>
      </c>
      <c r="M260">
        <f t="shared" si="84"/>
        <v>2.9950000000000001</v>
      </c>
      <c r="N260" s="2">
        <f>FiberLength!D32*$C$2*PI()</f>
        <v>3.9364155949480104E-4</v>
      </c>
      <c r="O260" s="2">
        <f t="shared" si="85"/>
        <v>23.896964163344766</v>
      </c>
      <c r="Q260">
        <v>0.17799999999999999</v>
      </c>
      <c r="S260">
        <v>0.98099999999999998</v>
      </c>
      <c r="U260">
        <v>0.999</v>
      </c>
      <c r="W260">
        <v>0.998</v>
      </c>
      <c r="X260">
        <v>256</v>
      </c>
      <c r="Y260" s="2">
        <f t="shared" si="109"/>
        <v>0.18830004254282776</v>
      </c>
      <c r="Z260" s="2">
        <f t="shared" si="110"/>
        <v>8.5142567875317372</v>
      </c>
      <c r="AB260" s="2">
        <f t="shared" si="100"/>
        <v>3.1356886684659651E-5</v>
      </c>
      <c r="AD260" s="2">
        <f t="shared" si="101"/>
        <v>2.2989727519009313E-5</v>
      </c>
      <c r="AF260" s="2">
        <f t="shared" si="102"/>
        <v>1.874140669626116E-5</v>
      </c>
      <c r="AH260" s="2">
        <f t="shared" si="103"/>
        <v>1.4875871397896187E-5</v>
      </c>
      <c r="AJ260" s="2">
        <f t="shared" si="104"/>
        <v>1.047800465764678</v>
      </c>
      <c r="AL260" s="2">
        <f t="shared" si="105"/>
        <v>1.3982417690813294</v>
      </c>
      <c r="AN260" s="2">
        <f t="shared" si="106"/>
        <v>1.5478980180047448</v>
      </c>
      <c r="AP260" s="2">
        <f t="shared" si="107"/>
        <v>1.804189075249234</v>
      </c>
    </row>
    <row r="261" spans="4:42" x14ac:dyDescent="0.3">
      <c r="E261" t="s">
        <v>7</v>
      </c>
      <c r="F261">
        <v>19.5</v>
      </c>
      <c r="G261">
        <v>3.06</v>
      </c>
      <c r="H261">
        <v>2.93</v>
      </c>
      <c r="I261">
        <v>18.09</v>
      </c>
      <c r="J261">
        <v>11.8</v>
      </c>
      <c r="K261">
        <f t="shared" si="108"/>
        <v>2400</v>
      </c>
      <c r="L261">
        <f t="shared" si="83"/>
        <v>6.2899999999999991</v>
      </c>
      <c r="M261">
        <f t="shared" si="84"/>
        <v>2.9950000000000001</v>
      </c>
      <c r="N261" s="2">
        <f>FiberLength!D33*$C$2*PI()</f>
        <v>3.9144244463728818E-4</v>
      </c>
      <c r="O261" s="2">
        <f t="shared" si="85"/>
        <v>24.146382346583891</v>
      </c>
      <c r="Q261">
        <v>0.18</v>
      </c>
      <c r="S261">
        <v>0.98</v>
      </c>
      <c r="U261">
        <v>0.999</v>
      </c>
      <c r="W261">
        <v>0.998</v>
      </c>
      <c r="X261">
        <v>256</v>
      </c>
      <c r="Y261" s="2">
        <f t="shared" si="109"/>
        <v>0.18946924394005601</v>
      </c>
      <c r="Z261" s="2">
        <f t="shared" si="110"/>
        <v>8.6067074097932181</v>
      </c>
      <c r="AB261" s="2">
        <f t="shared" si="100"/>
        <v>3.1403785579081316E-5</v>
      </c>
      <c r="AD261" s="2">
        <f t="shared" si="101"/>
        <v>2.3034715807172552E-5</v>
      </c>
      <c r="AF261" s="2">
        <f t="shared" si="102"/>
        <v>1.8785570359463134E-5</v>
      </c>
      <c r="AH261" s="2">
        <f t="shared" si="103"/>
        <v>1.4919949012997117E-5</v>
      </c>
      <c r="AJ261" s="2">
        <f t="shared" si="104"/>
        <v>1.0488863285135162</v>
      </c>
      <c r="AL261" s="2">
        <f t="shared" si="105"/>
        <v>1.4025862625177961</v>
      </c>
      <c r="AN261" s="2">
        <f t="shared" si="106"/>
        <v>1.5547679157356173</v>
      </c>
      <c r="AP261" s="2">
        <f t="shared" si="107"/>
        <v>1.8150764673441082</v>
      </c>
    </row>
  </sheetData>
  <mergeCells count="22">
    <mergeCell ref="AW80:BD80"/>
    <mergeCell ref="I7:K7"/>
    <mergeCell ref="F7:H7"/>
    <mergeCell ref="R6:T6"/>
    <mergeCell ref="R7:T7"/>
    <mergeCell ref="P68:W68"/>
    <mergeCell ref="AA68:AH68"/>
    <mergeCell ref="AI68:AP68"/>
    <mergeCell ref="I6:K6"/>
    <mergeCell ref="L6:N6"/>
    <mergeCell ref="L7:N7"/>
    <mergeCell ref="O6:Q6"/>
    <mergeCell ref="O7:Q7"/>
    <mergeCell ref="I34:K34"/>
    <mergeCell ref="L34:N34"/>
    <mergeCell ref="O34:Q34"/>
    <mergeCell ref="R34:T34"/>
    <mergeCell ref="F35:H35"/>
    <mergeCell ref="I35:K35"/>
    <mergeCell ref="L35:N35"/>
    <mergeCell ref="O35:Q35"/>
    <mergeCell ref="R35:T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4ACB9-C880-4D63-99A6-D2138D5D273B}">
  <dimension ref="B2:BD261"/>
  <sheetViews>
    <sheetView zoomScaleNormal="100" workbookViewId="0"/>
  </sheetViews>
  <sheetFormatPr defaultRowHeight="14.4" x14ac:dyDescent="0.3"/>
  <cols>
    <col min="2" max="2" width="24" bestFit="1" customWidth="1"/>
    <col min="5" max="5" width="10.21875" bestFit="1" customWidth="1"/>
    <col min="6" max="8" width="12.44140625" bestFit="1" customWidth="1"/>
    <col min="9" max="9" width="10.33203125" bestFit="1" customWidth="1"/>
    <col min="10" max="11" width="12.44140625" bestFit="1" customWidth="1"/>
    <col min="12" max="12" width="9.77734375" bestFit="1" customWidth="1"/>
    <col min="13" max="14" width="12.44140625" bestFit="1" customWidth="1"/>
    <col min="15" max="15" width="20.21875" bestFit="1" customWidth="1"/>
    <col min="16" max="16" width="15.21875" bestFit="1" customWidth="1"/>
    <col min="17" max="17" width="12.44140625" bestFit="1" customWidth="1"/>
    <col min="18" max="18" width="9.77734375" bestFit="1" customWidth="1"/>
    <col min="19" max="20" width="12.44140625" bestFit="1" customWidth="1"/>
    <col min="26" max="26" width="21.5546875" bestFit="1" customWidth="1"/>
    <col min="27" max="27" width="38.33203125" bestFit="1" customWidth="1"/>
    <col min="45" max="45" width="78.21875" bestFit="1" customWidth="1"/>
    <col min="46" max="46" width="12.21875" bestFit="1" customWidth="1"/>
    <col min="49" max="49" width="10.21875" bestFit="1" customWidth="1"/>
  </cols>
  <sheetData>
    <row r="2" spans="2:20" x14ac:dyDescent="0.3">
      <c r="B2" t="s">
        <v>36</v>
      </c>
      <c r="C2">
        <v>6.9999999999999999E-4</v>
      </c>
    </row>
    <row r="3" spans="2:20" x14ac:dyDescent="0.3">
      <c r="B3" t="s">
        <v>37</v>
      </c>
      <c r="C3">
        <v>1</v>
      </c>
    </row>
    <row r="4" spans="2:20" x14ac:dyDescent="0.3">
      <c r="B4" t="s">
        <v>38</v>
      </c>
      <c r="C4">
        <v>998.21</v>
      </c>
    </row>
    <row r="5" spans="2:20" x14ac:dyDescent="0.3">
      <c r="B5" t="s">
        <v>39</v>
      </c>
      <c r="C5">
        <v>1.0016000000000001E-3</v>
      </c>
    </row>
    <row r="6" spans="2:20" x14ac:dyDescent="0.3">
      <c r="I6" s="4" t="s">
        <v>46</v>
      </c>
      <c r="J6" s="4"/>
      <c r="K6" s="4"/>
      <c r="L6" s="4">
        <v>200</v>
      </c>
      <c r="M6" s="4"/>
      <c r="N6" s="4"/>
      <c r="O6" s="4">
        <v>600</v>
      </c>
      <c r="P6" s="4"/>
      <c r="Q6" s="4"/>
      <c r="R6" s="4">
        <v>2000</v>
      </c>
      <c r="S6" s="4"/>
      <c r="T6" s="4"/>
    </row>
    <row r="7" spans="2:20" x14ac:dyDescent="0.3">
      <c r="F7" s="4" t="s">
        <v>28</v>
      </c>
      <c r="G7" s="4"/>
      <c r="H7" s="4"/>
      <c r="I7" s="4" t="s">
        <v>35</v>
      </c>
      <c r="J7" s="4"/>
      <c r="K7" s="4"/>
      <c r="L7" s="4" t="s">
        <v>35</v>
      </c>
      <c r="M7" s="4"/>
      <c r="N7" s="4"/>
      <c r="O7" s="4" t="s">
        <v>35</v>
      </c>
      <c r="P7" s="4"/>
      <c r="Q7" s="4"/>
      <c r="R7" s="4" t="s">
        <v>35</v>
      </c>
      <c r="S7" s="4"/>
      <c r="T7" s="4"/>
    </row>
    <row r="8" spans="2:20" x14ac:dyDescent="0.3">
      <c r="E8" t="s">
        <v>70</v>
      </c>
      <c r="F8" t="s">
        <v>2</v>
      </c>
      <c r="G8" t="s">
        <v>16</v>
      </c>
      <c r="H8" t="s">
        <v>71</v>
      </c>
      <c r="I8" t="s">
        <v>2</v>
      </c>
      <c r="J8" t="s">
        <v>16</v>
      </c>
      <c r="K8" t="s">
        <v>71</v>
      </c>
      <c r="L8" t="s">
        <v>2</v>
      </c>
      <c r="M8" t="s">
        <v>16</v>
      </c>
      <c r="N8" t="s">
        <v>71</v>
      </c>
      <c r="O8" t="s">
        <v>2</v>
      </c>
      <c r="P8" t="s">
        <v>16</v>
      </c>
      <c r="Q8" t="s">
        <v>71</v>
      </c>
      <c r="R8" t="s">
        <v>2</v>
      </c>
      <c r="S8" t="s">
        <v>16</v>
      </c>
      <c r="T8" t="s">
        <v>71</v>
      </c>
    </row>
    <row r="9" spans="2:20" x14ac:dyDescent="0.3">
      <c r="E9">
        <v>3</v>
      </c>
      <c r="F9" s="2">
        <v>7.2602454211627743</v>
      </c>
      <c r="G9" s="2">
        <v>0.73670822608141051</v>
      </c>
      <c r="H9" s="2">
        <v>1.1722501293407404</v>
      </c>
      <c r="I9" s="2">
        <v>3.0249999999999999E-2</v>
      </c>
      <c r="J9" s="2">
        <v>3.4034296427770242E-3</v>
      </c>
      <c r="K9" s="2">
        <v>5.4155372475868007E-3</v>
      </c>
      <c r="L9" s="2">
        <v>0.22374999999999998</v>
      </c>
      <c r="M9" s="2">
        <v>1.3275918047351756E-2</v>
      </c>
      <c r="N9" s="2">
        <v>2.1124640796946113E-2</v>
      </c>
      <c r="O9" s="2">
        <v>0.55825000000000002</v>
      </c>
      <c r="P9" s="2">
        <v>2.0694202086574846E-2</v>
      </c>
      <c r="Q9" s="2">
        <v>3.2928614360157892E-2</v>
      </c>
      <c r="R9" s="2">
        <v>0.78400000000000003</v>
      </c>
      <c r="S9" s="2">
        <v>1.2110601416389978E-2</v>
      </c>
      <c r="T9" s="2">
        <v>1.9270388973759732E-2</v>
      </c>
    </row>
    <row r="10" spans="2:20" x14ac:dyDescent="0.3">
      <c r="F10" s="2">
        <v>14.830560302213794</v>
      </c>
      <c r="G10" s="2">
        <v>1.4669087374010608</v>
      </c>
      <c r="H10" s="2">
        <v>2.3341451829525677</v>
      </c>
      <c r="I10" s="2">
        <v>5.3999999999999999E-2</v>
      </c>
      <c r="J10" s="2">
        <v>4.690415759823428E-3</v>
      </c>
      <c r="K10" s="2">
        <v>7.4633895570310384E-3</v>
      </c>
      <c r="L10" s="2">
        <v>0.26649999999999996</v>
      </c>
      <c r="M10" s="2">
        <v>1.7935068069752803E-2</v>
      </c>
      <c r="N10" s="2">
        <v>2.8538280312590657E-2</v>
      </c>
      <c r="O10" s="2">
        <v>0.57124999999999992</v>
      </c>
      <c r="P10" s="2">
        <v>2.2514809940718247E-2</v>
      </c>
      <c r="Q10" s="2">
        <v>3.5825565577670873E-2</v>
      </c>
      <c r="R10" s="2">
        <v>0.67300000000000004</v>
      </c>
      <c r="S10" s="2">
        <v>2.6255158223353607E-2</v>
      </c>
      <c r="T10" s="2">
        <v>4.1777207765000261E-2</v>
      </c>
    </row>
    <row r="11" spans="2:20" x14ac:dyDescent="0.3">
      <c r="F11" s="2">
        <v>17.699775983915071</v>
      </c>
      <c r="G11" s="2">
        <v>1.3063833049593787</v>
      </c>
      <c r="H11" s="2">
        <v>2.0787171148513632</v>
      </c>
      <c r="I11" s="2">
        <v>0.10200000000000001</v>
      </c>
      <c r="J11" s="2">
        <v>4.6904157598234271E-3</v>
      </c>
      <c r="K11" s="2">
        <v>7.4633895570310367E-3</v>
      </c>
      <c r="L11" s="2">
        <v>0.43164999999999998</v>
      </c>
      <c r="M11" s="2">
        <v>1.776166283506888E-2</v>
      </c>
      <c r="N11" s="2">
        <v>2.8262357903161599E-2</v>
      </c>
      <c r="O11" s="2">
        <v>0.75574999999999992</v>
      </c>
      <c r="P11" s="2">
        <v>1.3670040234030041E-2</v>
      </c>
      <c r="Q11" s="2">
        <v>2.1751768020388602E-2</v>
      </c>
      <c r="R11" s="2">
        <v>0.8965749999999999</v>
      </c>
      <c r="S11" s="2">
        <v>6.83245929369505E-3</v>
      </c>
      <c r="T11" s="2">
        <v>1.0871809228127563E-2</v>
      </c>
    </row>
    <row r="12" spans="2:20" x14ac:dyDescent="0.3">
      <c r="E12">
        <v>5</v>
      </c>
      <c r="F12" s="2">
        <v>4.493970351924343</v>
      </c>
      <c r="G12" s="2">
        <v>0.21777215402622102</v>
      </c>
      <c r="H12" s="2">
        <v>0.3465190514865229</v>
      </c>
      <c r="I12" s="2">
        <v>6.0249999999999998E-2</v>
      </c>
      <c r="J12" s="2">
        <v>3.3040379335998347E-3</v>
      </c>
      <c r="K12" s="2">
        <v>5.257385159944057E-3</v>
      </c>
      <c r="L12" s="2">
        <v>0.33674999999999999</v>
      </c>
      <c r="M12" s="2">
        <v>9.8107084351742816E-3</v>
      </c>
      <c r="N12" s="2">
        <v>1.5610799262049316E-2</v>
      </c>
      <c r="O12" s="2">
        <v>0.68874999999999997</v>
      </c>
      <c r="P12" s="2">
        <v>1.1954775893619485E-2</v>
      </c>
      <c r="Q12" s="2">
        <v>1.9022439401927323E-2</v>
      </c>
      <c r="R12" s="2">
        <v>0.85775000000000001</v>
      </c>
      <c r="S12" s="2">
        <v>1.0935416468216178E-2</v>
      </c>
      <c r="T12" s="2">
        <v>1.7400434684225582E-2</v>
      </c>
    </row>
    <row r="13" spans="2:20" x14ac:dyDescent="0.3">
      <c r="F13" s="2">
        <v>8.8601210567124458</v>
      </c>
      <c r="G13" s="2">
        <v>0.34350930867905599</v>
      </c>
      <c r="H13" s="2">
        <v>0.54659201197011387</v>
      </c>
      <c r="I13" s="2">
        <v>9.1499999999999998E-2</v>
      </c>
      <c r="J13" s="2">
        <v>3.8729833462074204E-3</v>
      </c>
      <c r="K13" s="2">
        <v>6.1626911004852474E-3</v>
      </c>
      <c r="L13" s="2">
        <v>0.37824999999999998</v>
      </c>
      <c r="M13" s="2">
        <v>1.2553220038433708E-2</v>
      </c>
      <c r="N13" s="2">
        <v>1.9974683725155717E-2</v>
      </c>
      <c r="O13" s="2">
        <v>0.69349999999999989</v>
      </c>
      <c r="P13" s="2">
        <v>1.3329166015421426E-2</v>
      </c>
      <c r="Q13" s="2">
        <v>2.1209368963738574E-2</v>
      </c>
      <c r="R13" s="2">
        <v>0.77075000000000005</v>
      </c>
      <c r="S13" s="2">
        <v>1.75190372642639E-2</v>
      </c>
      <c r="T13" s="2">
        <v>2.7876292094896716E-2</v>
      </c>
    </row>
    <row r="14" spans="2:20" x14ac:dyDescent="0.3">
      <c r="F14" s="2">
        <v>11.578405737467229</v>
      </c>
      <c r="G14" s="2">
        <v>1.2293276694567414</v>
      </c>
      <c r="H14" s="2">
        <v>1.9561061876395669</v>
      </c>
      <c r="I14" s="2">
        <v>0.16950000000000001</v>
      </c>
      <c r="J14" s="2">
        <v>1.3304134695650069E-2</v>
      </c>
      <c r="K14" s="2">
        <v>2.1169539127718389E-2</v>
      </c>
      <c r="L14" s="2">
        <v>0.57252499999999995</v>
      </c>
      <c r="M14" s="2">
        <v>4.7431239705493677E-2</v>
      </c>
      <c r="N14" s="2">
        <v>7.5472588619381539E-2</v>
      </c>
      <c r="O14" s="2">
        <v>0.84027500000000011</v>
      </c>
      <c r="P14" s="2">
        <v>5.7871085180770547E-2</v>
      </c>
      <c r="Q14" s="2">
        <v>9.2084470739642085E-2</v>
      </c>
      <c r="R14" s="2">
        <v>0.93294999999999995</v>
      </c>
      <c r="S14" s="2">
        <v>6.0863481114156931E-2</v>
      </c>
      <c r="T14" s="2">
        <v>9.6845971148846507E-2</v>
      </c>
    </row>
    <row r="15" spans="2:20" x14ac:dyDescent="0.3">
      <c r="E15">
        <v>7</v>
      </c>
      <c r="F15" s="2">
        <v>2.8701756113712502</v>
      </c>
      <c r="G15" s="2">
        <v>3.7301154267379268E-2</v>
      </c>
      <c r="H15" s="2">
        <v>5.9353596670253889E-2</v>
      </c>
      <c r="I15" s="2">
        <v>0.14949999999999999</v>
      </c>
      <c r="J15" s="2">
        <v>1.19582607431014E-2</v>
      </c>
      <c r="K15" s="2">
        <v>1.9027984494422948E-2</v>
      </c>
      <c r="L15" s="2">
        <v>0.64600000000000002</v>
      </c>
      <c r="M15" s="2">
        <v>2.9810512687081854E-2</v>
      </c>
      <c r="N15" s="2">
        <v>4.7434487787684644E-2</v>
      </c>
      <c r="O15" s="2">
        <v>0.89149999999999996</v>
      </c>
      <c r="P15" s="2">
        <v>1.3228756555322966E-2</v>
      </c>
      <c r="Q15" s="2">
        <v>2.1049597430829903E-2</v>
      </c>
      <c r="R15" s="2">
        <v>0.97124999999999995</v>
      </c>
      <c r="S15" s="2">
        <v>7.3654599313281244E-3</v>
      </c>
      <c r="T15" s="2">
        <v>1.171991984272931E-2</v>
      </c>
    </row>
    <row r="16" spans="2:20" x14ac:dyDescent="0.3">
      <c r="F16" s="2">
        <v>4.8715663646397163</v>
      </c>
      <c r="G16" s="2">
        <v>0.1552370767521532</v>
      </c>
      <c r="H16" s="2">
        <v>0.24701323652802618</v>
      </c>
      <c r="I16" s="2">
        <v>0.18049999999999999</v>
      </c>
      <c r="J16" s="2">
        <v>5.9721576223896447E-3</v>
      </c>
      <c r="K16" s="2">
        <v>9.5028972087464018E-3</v>
      </c>
      <c r="L16" s="2">
        <v>0.69599999999999995</v>
      </c>
      <c r="M16" s="2">
        <v>1.6062378404208971E-2</v>
      </c>
      <c r="N16" s="2">
        <v>2.5558456516777312E-2</v>
      </c>
      <c r="O16" s="2">
        <v>0.89924999999999999</v>
      </c>
      <c r="P16" s="2">
        <v>5.7951128835712412E-3</v>
      </c>
      <c r="Q16" s="2">
        <v>9.2211836203385592E-3</v>
      </c>
      <c r="R16" s="2">
        <v>0.9890000000000001</v>
      </c>
      <c r="S16" s="2">
        <v>6.0553007081949892E-3</v>
      </c>
      <c r="T16" s="2">
        <v>9.635194486879866E-3</v>
      </c>
    </row>
    <row r="17" spans="5:20" x14ac:dyDescent="0.3">
      <c r="F17" s="2">
        <v>7.427895265457118</v>
      </c>
      <c r="G17" s="2">
        <v>0.14372175950506003</v>
      </c>
      <c r="H17" s="2">
        <v>0.35705345850582415</v>
      </c>
      <c r="I17" s="2">
        <v>0.313</v>
      </c>
      <c r="J17" s="2">
        <v>1.2000000000000011E-2</v>
      </c>
      <c r="K17" s="2">
        <v>2.9812058499875543E-2</v>
      </c>
      <c r="L17" s="2">
        <v>0.81676666666666664</v>
      </c>
      <c r="M17" s="2">
        <v>1.7434544253674508E-2</v>
      </c>
      <c r="N17" s="2">
        <v>4.3313304434101078E-2</v>
      </c>
      <c r="O17" s="2">
        <v>0.94813333333333338</v>
      </c>
      <c r="P17" s="2">
        <v>4.158525379666855E-3</v>
      </c>
      <c r="Q17" s="2">
        <v>1.0331183490987109E-2</v>
      </c>
      <c r="R17" s="2">
        <v>0.98116666666666674</v>
      </c>
      <c r="S17" s="2">
        <v>1.069267662156366E-3</v>
      </c>
      <c r="T17" s="2">
        <v>2.6564225080192259E-3</v>
      </c>
    </row>
    <row r="18" spans="5:20" x14ac:dyDescent="0.3">
      <c r="E18">
        <v>9</v>
      </c>
      <c r="F18" s="2">
        <v>2.0814621981376438</v>
      </c>
      <c r="G18" s="2">
        <v>0.12449224038027008</v>
      </c>
      <c r="H18" s="2">
        <v>0.19809205289308601</v>
      </c>
      <c r="I18" s="2">
        <v>0.19425000000000003</v>
      </c>
      <c r="J18" s="2">
        <v>8.808140174482549E-3</v>
      </c>
      <c r="K18" s="2">
        <v>1.4015512645636632E-2</v>
      </c>
      <c r="L18" s="2">
        <v>0.88349999999999995</v>
      </c>
      <c r="M18" s="2">
        <v>8.8881944173155973E-3</v>
      </c>
      <c r="N18" s="2">
        <v>1.4142894956832578E-2</v>
      </c>
      <c r="O18" s="2">
        <v>0.95574999999999988</v>
      </c>
      <c r="P18" s="2">
        <v>7.7620873481300187E-3</v>
      </c>
      <c r="Q18" s="2">
        <v>1.2351033388344486E-2</v>
      </c>
      <c r="R18" s="2">
        <v>0.97500000000000009</v>
      </c>
      <c r="S18" s="2">
        <v>8.2056890833941219E-3</v>
      </c>
      <c r="T18" s="2">
        <v>1.3056892469496727E-2</v>
      </c>
    </row>
    <row r="19" spans="5:20" x14ac:dyDescent="0.3">
      <c r="F19" s="2">
        <v>3.3605648599500317</v>
      </c>
      <c r="G19" s="2">
        <v>0.25126762674583558</v>
      </c>
      <c r="H19" s="2">
        <v>0.39981704767797355</v>
      </c>
      <c r="I19" s="2">
        <v>0.24475</v>
      </c>
      <c r="J19" s="2">
        <v>3.3040379335998377E-3</v>
      </c>
      <c r="K19" s="2">
        <v>5.2573851599440613E-3</v>
      </c>
      <c r="L19" s="2">
        <v>0.92475000000000007</v>
      </c>
      <c r="M19" s="2">
        <v>1.4522970311429651E-2</v>
      </c>
      <c r="N19" s="2">
        <v>2.3108950359546861E-2</v>
      </c>
      <c r="O19" s="2">
        <v>0.98450000000000004</v>
      </c>
      <c r="P19" s="2">
        <v>1.5800843859321789E-2</v>
      </c>
      <c r="Q19" s="2">
        <v>2.5142302748952829E-2</v>
      </c>
      <c r="R19" s="2">
        <v>0.99375000000000002</v>
      </c>
      <c r="S19" s="2">
        <v>9.8446262837482493E-3</v>
      </c>
      <c r="T19" s="2">
        <v>1.5664769342700214E-2</v>
      </c>
    </row>
    <row r="20" spans="5:20" x14ac:dyDescent="0.3">
      <c r="F20" s="2">
        <v>5.3710400657605577</v>
      </c>
      <c r="G20" s="2">
        <v>0.48728122218675274</v>
      </c>
      <c r="H20" s="2">
        <v>0.77536188074356094</v>
      </c>
      <c r="I20" s="2">
        <v>0.33650000000000002</v>
      </c>
      <c r="J20" s="2">
        <v>4.7958315233127234E-3</v>
      </c>
      <c r="K20" s="2">
        <v>7.6311271198952054E-3</v>
      </c>
      <c r="L20" s="2">
        <v>0.92075000000000007</v>
      </c>
      <c r="M20" s="2">
        <v>8.3016062702748559E-3</v>
      </c>
      <c r="N20" s="2">
        <v>1.320951589726135E-2</v>
      </c>
      <c r="O20" s="2">
        <v>0.96074999999999999</v>
      </c>
      <c r="P20" s="2">
        <v>8.5391256382996734E-3</v>
      </c>
      <c r="Q20" s="2">
        <v>1.358745671566244E-2</v>
      </c>
      <c r="R20" s="2">
        <v>0.97300000000000009</v>
      </c>
      <c r="S20" s="2">
        <v>1.0132456102380451E-2</v>
      </c>
      <c r="T20" s="2">
        <v>1.6122764150107775E-2</v>
      </c>
    </row>
    <row r="21" spans="5:20" x14ac:dyDescent="0.3">
      <c r="E21">
        <v>10</v>
      </c>
      <c r="F21" s="2">
        <v>1.5308857292885325</v>
      </c>
      <c r="G21" s="2">
        <v>5.3598138620852775E-2</v>
      </c>
      <c r="H21" s="2">
        <v>8.5285358173500928E-2</v>
      </c>
      <c r="I21" s="2">
        <v>0.16750000000000001</v>
      </c>
      <c r="J21" s="2">
        <v>4.1231056256176542E-3</v>
      </c>
      <c r="K21" s="2">
        <v>6.5606856714828113E-3</v>
      </c>
      <c r="L21" s="2">
        <v>0.9355</v>
      </c>
      <c r="M21" s="2">
        <v>1.1269427669584602E-2</v>
      </c>
      <c r="N21" s="2">
        <v>1.7931913307843019E-2</v>
      </c>
      <c r="O21" s="2">
        <v>0.99249999999999994</v>
      </c>
      <c r="P21" s="2">
        <v>7.1414284285428557E-3</v>
      </c>
      <c r="Q21" s="2">
        <v>1.1363440915497392E-2</v>
      </c>
      <c r="R21" s="2">
        <v>0.99775000000000014</v>
      </c>
      <c r="S21" s="2">
        <v>5.0000000000000044E-4</v>
      </c>
      <c r="T21" s="2">
        <v>7.9560000000000069E-4</v>
      </c>
    </row>
    <row r="22" spans="5:20" x14ac:dyDescent="0.3">
      <c r="F22" s="2">
        <v>3.0987670315302482</v>
      </c>
      <c r="G22" s="2">
        <v>9.4356434190997887E-2</v>
      </c>
      <c r="H22" s="2">
        <v>0.15013995808471584</v>
      </c>
      <c r="I22" s="2">
        <v>0.26524999999999999</v>
      </c>
      <c r="J22" s="2">
        <v>6.3966136874651688E-3</v>
      </c>
      <c r="K22" s="2">
        <v>1.0178291699494576E-2</v>
      </c>
      <c r="L22" s="2">
        <v>0.93975000000000009</v>
      </c>
      <c r="M22" s="2">
        <v>5.2519837521961951E-3</v>
      </c>
      <c r="N22" s="2">
        <v>8.3569565464945861E-3</v>
      </c>
      <c r="O22" s="2">
        <v>0.97399999999999998</v>
      </c>
      <c r="P22" s="2">
        <v>5.5976185412488933E-3</v>
      </c>
      <c r="Q22" s="2">
        <v>8.9069306228352386E-3</v>
      </c>
      <c r="R22" s="2">
        <v>0.98974999999999991</v>
      </c>
      <c r="S22" s="2">
        <v>4.9916597106239831E-3</v>
      </c>
      <c r="T22" s="2">
        <v>7.9427289315448825E-3</v>
      </c>
    </row>
    <row r="23" spans="5:20" x14ac:dyDescent="0.3">
      <c r="F23" s="2">
        <v>4.6953658390841397</v>
      </c>
      <c r="G23" s="2">
        <v>0.22644288755325748</v>
      </c>
      <c r="H23" s="2">
        <v>0.36031592267474327</v>
      </c>
      <c r="I23" s="2">
        <v>0.34924999999999995</v>
      </c>
      <c r="J23" s="2">
        <v>9.0691785736085103E-3</v>
      </c>
      <c r="K23" s="2">
        <v>1.4430876946325862E-2</v>
      </c>
      <c r="L23" s="2">
        <v>0.95750000000000002</v>
      </c>
      <c r="M23" s="2">
        <v>6.8556546004010501E-3</v>
      </c>
      <c r="N23" s="2">
        <v>1.0908717600158151E-2</v>
      </c>
      <c r="O23" s="2">
        <v>0.98699999999999999</v>
      </c>
      <c r="P23" s="2">
        <v>6.4807406984078659E-3</v>
      </c>
      <c r="Q23" s="2">
        <v>1.0312154599306596E-2</v>
      </c>
      <c r="R23" s="2">
        <v>0.99625000000000008</v>
      </c>
      <c r="S23" s="2">
        <v>2.872281323269017E-3</v>
      </c>
      <c r="T23" s="2">
        <v>4.5703740415856597E-3</v>
      </c>
    </row>
    <row r="24" spans="5:20" x14ac:dyDescent="0.3">
      <c r="E24">
        <v>11</v>
      </c>
      <c r="F24" s="2">
        <v>1.2291209668679592</v>
      </c>
      <c r="G24" s="2">
        <v>8.3478492881772268E-2</v>
      </c>
      <c r="H24" s="2">
        <v>0.13283097787347603</v>
      </c>
      <c r="I24" s="2">
        <v>0.16450000000000001</v>
      </c>
      <c r="J24" s="2">
        <v>2.380476142847619E-3</v>
      </c>
      <c r="K24" s="2">
        <v>3.7878136384991313E-3</v>
      </c>
      <c r="L24" s="2">
        <v>0.94625000000000004</v>
      </c>
      <c r="M24" s="2">
        <v>6.2383224240709174E-3</v>
      </c>
      <c r="N24" s="2">
        <v>9.9264186411816436E-3</v>
      </c>
      <c r="O24" s="2">
        <v>0.99124999999999996</v>
      </c>
      <c r="P24" s="2">
        <v>9.6046863561492814E-3</v>
      </c>
      <c r="Q24" s="2">
        <v>1.5282976929904737E-2</v>
      </c>
      <c r="R24" s="2">
        <v>0.99775000000000003</v>
      </c>
      <c r="S24" s="2">
        <v>1.2583057392117928E-3</v>
      </c>
      <c r="T24" s="2">
        <v>2.0022160922338046E-3</v>
      </c>
    </row>
    <row r="25" spans="5:20" x14ac:dyDescent="0.3">
      <c r="F25" s="2">
        <v>2.4698619510677418</v>
      </c>
      <c r="G25" s="2">
        <v>9.3610817583651862E-2</v>
      </c>
      <c r="H25" s="2">
        <v>0.14895353293910685</v>
      </c>
      <c r="I25" s="2">
        <v>0.26624999999999999</v>
      </c>
      <c r="J25" s="2">
        <v>5.1881274720911317E-3</v>
      </c>
      <c r="K25" s="2">
        <v>8.2553484335914085E-3</v>
      </c>
      <c r="L25" s="2">
        <v>0.94274999999999998</v>
      </c>
      <c r="M25" s="2">
        <v>9.7766729173749227E-3</v>
      </c>
      <c r="N25" s="2">
        <v>1.5556641946126977E-2</v>
      </c>
      <c r="O25" s="2">
        <v>0.96775</v>
      </c>
      <c r="P25" s="2">
        <v>1.0144785195688811E-2</v>
      </c>
      <c r="Q25" s="2">
        <v>1.6142382203380035E-2</v>
      </c>
      <c r="R25" s="2">
        <v>0.98350000000000004</v>
      </c>
      <c r="S25" s="2">
        <v>9.2556289179432216E-3</v>
      </c>
      <c r="T25" s="2">
        <v>1.4727556734231253E-2</v>
      </c>
    </row>
    <row r="26" spans="5:20" x14ac:dyDescent="0.3">
      <c r="F26" s="2">
        <v>3.702884223393677</v>
      </c>
      <c r="G26" s="2">
        <v>0.24380384121432719</v>
      </c>
      <c r="H26" s="2">
        <v>0.38794067214023742</v>
      </c>
      <c r="I26" s="2">
        <v>0.34025</v>
      </c>
      <c r="J26" s="2">
        <v>5.2519837521962211E-3</v>
      </c>
      <c r="K26" s="2">
        <v>8.356956546494626E-3</v>
      </c>
      <c r="L26" s="2">
        <v>0.95374999999999999</v>
      </c>
      <c r="M26" s="2">
        <v>7.4105780251385762E-3</v>
      </c>
      <c r="N26" s="2">
        <v>1.1791711753600501E-2</v>
      </c>
      <c r="O26" s="2">
        <v>0.97799999999999998</v>
      </c>
      <c r="P26" s="2">
        <v>1.0862780491200225E-2</v>
      </c>
      <c r="Q26" s="2">
        <v>1.7284856317597797E-2</v>
      </c>
      <c r="R26" s="2">
        <v>0.99250000000000005</v>
      </c>
      <c r="S26" s="2">
        <v>5.686240703077332E-3</v>
      </c>
      <c r="T26" s="2">
        <v>9.0479462067366498E-3</v>
      </c>
    </row>
    <row r="27" spans="5:20" x14ac:dyDescent="0.3">
      <c r="E27">
        <v>12</v>
      </c>
      <c r="F27" s="2">
        <v>1.1782583509479065</v>
      </c>
      <c r="G27" s="2">
        <v>2.7262486664164677E-2</v>
      </c>
      <c r="H27" s="2">
        <v>4.3380068780018835E-2</v>
      </c>
      <c r="I27" s="2">
        <v>0.16625000000000001</v>
      </c>
      <c r="J27" s="2">
        <v>7.6321687612368651E-3</v>
      </c>
      <c r="K27" s="2">
        <v>1.21443069328801E-2</v>
      </c>
      <c r="L27" s="2">
        <v>0.94974999999999998</v>
      </c>
      <c r="M27" s="2">
        <v>1.1176612486199279E-2</v>
      </c>
      <c r="N27" s="2">
        <v>1.7784225788040293E-2</v>
      </c>
      <c r="O27" s="2">
        <v>0.99150000000000005</v>
      </c>
      <c r="P27" s="2">
        <v>9.8149545762236477E-3</v>
      </c>
      <c r="Q27" s="2">
        <v>1.5617555721687068E-2</v>
      </c>
      <c r="R27" s="2">
        <v>0.99675000000000002</v>
      </c>
      <c r="S27" s="2">
        <v>1.2583057392117928E-3</v>
      </c>
      <c r="T27" s="2">
        <v>2.0022160922338046E-3</v>
      </c>
    </row>
    <row r="28" spans="5:20" x14ac:dyDescent="0.3">
      <c r="F28" s="2">
        <v>2.3010553815138421</v>
      </c>
      <c r="G28" s="2">
        <v>0.12685740683611182</v>
      </c>
      <c r="H28" s="2">
        <v>0.20185550575762112</v>
      </c>
      <c r="I28" s="2">
        <v>0.28025</v>
      </c>
      <c r="J28" s="2">
        <v>7.8475049113290174E-3</v>
      </c>
      <c r="K28" s="2">
        <v>1.2486949814906731E-2</v>
      </c>
      <c r="L28" s="2">
        <v>0.94499999999999995</v>
      </c>
      <c r="M28" s="2">
        <v>1.0099504938362031E-2</v>
      </c>
      <c r="N28" s="2">
        <v>1.6070332257921663E-2</v>
      </c>
      <c r="O28" s="2">
        <v>0.96850000000000003</v>
      </c>
      <c r="P28" s="2">
        <v>1.0630145812734658E-2</v>
      </c>
      <c r="Q28" s="2">
        <v>1.6914688017223387E-2</v>
      </c>
      <c r="R28" s="2">
        <v>0.98550000000000004</v>
      </c>
      <c r="S28" s="2">
        <v>1.3478377746103831E-2</v>
      </c>
      <c r="T28" s="2">
        <v>2.1446794669600415E-2</v>
      </c>
    </row>
    <row r="29" spans="5:20" x14ac:dyDescent="0.3">
      <c r="F29" s="2">
        <v>3.2273560268186259</v>
      </c>
      <c r="G29" s="2">
        <v>0.29021677041057409</v>
      </c>
      <c r="H29" s="2">
        <v>0.46179292507730546</v>
      </c>
      <c r="I29" s="2">
        <v>0.35499999999999998</v>
      </c>
      <c r="J29" s="2">
        <v>4.2426406871192892E-3</v>
      </c>
      <c r="K29" s="2">
        <v>6.7508898613442125E-3</v>
      </c>
      <c r="L29" s="2">
        <v>0.9534999999999999</v>
      </c>
      <c r="M29" s="2">
        <v>9.8826447202490716E-3</v>
      </c>
      <c r="N29" s="2">
        <v>1.5725264278860323E-2</v>
      </c>
      <c r="O29" s="2">
        <v>0.97624999999999995</v>
      </c>
      <c r="P29" s="2">
        <v>1.2038133853162913E-2</v>
      </c>
      <c r="Q29" s="2">
        <v>1.9155078587152825E-2</v>
      </c>
      <c r="R29" s="2">
        <v>0.99199999999999999</v>
      </c>
      <c r="S29" s="2">
        <v>9.3808315196468664E-3</v>
      </c>
      <c r="T29" s="2">
        <v>1.4926779114062092E-2</v>
      </c>
    </row>
    <row r="30" spans="5:20" x14ac:dyDescent="0.3">
      <c r="E30">
        <v>14</v>
      </c>
      <c r="F30" s="2">
        <v>1.0206398338761404</v>
      </c>
      <c r="G30" s="2">
        <v>6.499544604910984E-2</v>
      </c>
      <c r="H30" s="2">
        <v>0.10342075375334357</v>
      </c>
      <c r="I30" s="2">
        <v>0.13825000000000001</v>
      </c>
      <c r="J30" s="2">
        <v>5.9090326337452696E-3</v>
      </c>
      <c r="K30" s="2">
        <v>9.4024527268154728E-3</v>
      </c>
      <c r="L30" s="2">
        <v>0.92525000000000002</v>
      </c>
      <c r="M30" s="2">
        <v>1.6235249715767609E-2</v>
      </c>
      <c r="N30" s="2">
        <v>2.5833529347729419E-2</v>
      </c>
      <c r="O30" s="2">
        <v>0.97375</v>
      </c>
      <c r="P30" s="2">
        <v>1.8803811670332533E-2</v>
      </c>
      <c r="Q30" s="2">
        <v>2.9920625129833126E-2</v>
      </c>
      <c r="R30" s="2">
        <v>0.99349999999999994</v>
      </c>
      <c r="S30" s="2">
        <v>5.2599112793531716E-3</v>
      </c>
      <c r="T30" s="2">
        <v>8.3695708277067658E-3</v>
      </c>
    </row>
    <row r="31" spans="5:20" x14ac:dyDescent="0.3">
      <c r="F31" s="2">
        <v>2.0982998684728913</v>
      </c>
      <c r="G31" s="2">
        <v>0.11284613072677528</v>
      </c>
      <c r="H31" s="2">
        <v>0.17956076321244482</v>
      </c>
      <c r="I31" s="2">
        <v>0.27875</v>
      </c>
      <c r="J31" s="2">
        <v>8.3416625041614467E-3</v>
      </c>
      <c r="K31" s="2">
        <v>1.3273253376621693E-2</v>
      </c>
      <c r="L31" s="2">
        <v>0.93</v>
      </c>
      <c r="M31" s="2">
        <v>6.6833125519210907E-3</v>
      </c>
      <c r="N31" s="2">
        <v>1.063448693261684E-2</v>
      </c>
      <c r="O31" s="2">
        <v>0.95424999999999993</v>
      </c>
      <c r="P31" s="2">
        <v>6.5510813356778547E-3</v>
      </c>
      <c r="Q31" s="2">
        <v>1.0424080621330602E-2</v>
      </c>
      <c r="R31" s="2">
        <v>0.97324999999999995</v>
      </c>
      <c r="S31" s="2">
        <v>5.315072906367329E-3</v>
      </c>
      <c r="T31" s="2">
        <v>8.4573440086116933E-3</v>
      </c>
    </row>
    <row r="32" spans="5:20" x14ac:dyDescent="0.3">
      <c r="F32" s="2">
        <v>3.0581721420095658</v>
      </c>
      <c r="G32" s="2">
        <v>0.1441179364670879</v>
      </c>
      <c r="H32" s="2">
        <v>0.22932046050643026</v>
      </c>
      <c r="I32" s="2">
        <v>0.34575</v>
      </c>
      <c r="J32" s="2">
        <v>7.5883682918881212E-3</v>
      </c>
      <c r="K32" s="2">
        <v>1.2074611626052377E-2</v>
      </c>
      <c r="L32" s="2">
        <v>0.93375000000000008</v>
      </c>
      <c r="M32" s="2">
        <v>6.898067362191577E-3</v>
      </c>
      <c r="N32" s="2">
        <v>1.0976204786719236E-2</v>
      </c>
      <c r="O32" s="2">
        <v>0.95725000000000005</v>
      </c>
      <c r="P32" s="2">
        <v>6.0759087111860672E-3</v>
      </c>
      <c r="Q32" s="2">
        <v>9.6679859412392693E-3</v>
      </c>
      <c r="R32" s="2">
        <v>0.97949999999999993</v>
      </c>
      <c r="S32" s="2">
        <v>7.3257536586119765E-3</v>
      </c>
      <c r="T32" s="2">
        <v>1.1656739221583376E-2</v>
      </c>
    </row>
    <row r="34" spans="5:20" x14ac:dyDescent="0.3">
      <c r="I34" s="4" t="s">
        <v>40</v>
      </c>
      <c r="J34" s="4"/>
      <c r="K34" s="4"/>
      <c r="L34" s="4">
        <v>400</v>
      </c>
      <c r="M34" s="4"/>
      <c r="N34" s="4"/>
      <c r="O34" s="4">
        <v>1000</v>
      </c>
      <c r="P34" s="4"/>
      <c r="Q34" s="4"/>
      <c r="R34" s="4">
        <v>3000</v>
      </c>
      <c r="S34" s="4"/>
      <c r="T34" s="4"/>
    </row>
    <row r="35" spans="5:20" x14ac:dyDescent="0.3">
      <c r="F35" s="4" t="s">
        <v>28</v>
      </c>
      <c r="G35" s="4"/>
      <c r="H35" s="4"/>
      <c r="I35" s="4" t="s">
        <v>35</v>
      </c>
      <c r="J35" s="4"/>
      <c r="K35" s="4"/>
      <c r="L35" s="4" t="s">
        <v>35</v>
      </c>
      <c r="M35" s="4"/>
      <c r="N35" s="4"/>
      <c r="O35" s="4" t="s">
        <v>35</v>
      </c>
      <c r="P35" s="4"/>
      <c r="Q35" s="4"/>
      <c r="R35" s="4" t="s">
        <v>35</v>
      </c>
      <c r="S35" s="4"/>
      <c r="T35" s="4"/>
    </row>
    <row r="36" spans="5:20" x14ac:dyDescent="0.3">
      <c r="E36" t="s">
        <v>70</v>
      </c>
      <c r="F36" t="s">
        <v>2</v>
      </c>
      <c r="G36" t="s">
        <v>16</v>
      </c>
      <c r="H36" t="s">
        <v>71</v>
      </c>
      <c r="I36" t="s">
        <v>2</v>
      </c>
      <c r="J36" t="s">
        <v>16</v>
      </c>
      <c r="K36" t="s">
        <v>71</v>
      </c>
      <c r="L36" t="s">
        <v>2</v>
      </c>
      <c r="M36" t="s">
        <v>16</v>
      </c>
      <c r="N36" t="s">
        <v>71</v>
      </c>
      <c r="O36" t="s">
        <v>2</v>
      </c>
      <c r="P36" t="s">
        <v>16</v>
      </c>
      <c r="Q36" t="s">
        <v>71</v>
      </c>
      <c r="R36" t="s">
        <v>2</v>
      </c>
      <c r="S36" t="s">
        <v>16</v>
      </c>
      <c r="T36" t="s">
        <v>71</v>
      </c>
    </row>
    <row r="37" spans="5:20" x14ac:dyDescent="0.3">
      <c r="E37">
        <v>3</v>
      </c>
      <c r="F37" s="2">
        <v>7.3185564450140435</v>
      </c>
      <c r="G37" s="2">
        <v>0.72220240848629247</v>
      </c>
      <c r="H37" s="2">
        <v>1.1491684723833886</v>
      </c>
      <c r="I37" s="2">
        <v>0.08</v>
      </c>
      <c r="J37" s="2">
        <v>5.7154760664940817E-3</v>
      </c>
      <c r="K37" s="2">
        <v>9.0944655170053824E-3</v>
      </c>
      <c r="L37" s="2">
        <v>0.45599999999999996</v>
      </c>
      <c r="M37" s="2">
        <v>2.1181753153756346E-2</v>
      </c>
      <c r="N37" s="2">
        <v>3.3704405618257098E-2</v>
      </c>
      <c r="O37" s="2">
        <v>0.74425000000000008</v>
      </c>
      <c r="P37" s="2">
        <v>1.746186320719147E-2</v>
      </c>
      <c r="Q37" s="2">
        <v>2.7785316735283064E-2</v>
      </c>
      <c r="R37" s="2">
        <v>0.86299999999999999</v>
      </c>
      <c r="S37" s="2">
        <v>1.1460075625114067E-2</v>
      </c>
      <c r="T37" s="2">
        <v>1.8235272334681502E-2</v>
      </c>
    </row>
    <row r="38" spans="5:20" x14ac:dyDescent="0.3">
      <c r="F38" s="2">
        <v>13.141997227281696</v>
      </c>
      <c r="G38" s="2">
        <v>1.229120725064307</v>
      </c>
      <c r="H38" s="2">
        <v>1.9557768977223253</v>
      </c>
      <c r="I38" s="2">
        <v>0.15250000000000002</v>
      </c>
      <c r="J38" s="2">
        <v>1.0785793124908955E-2</v>
      </c>
      <c r="K38" s="2">
        <v>1.7162354020355128E-2</v>
      </c>
      <c r="L38" s="2">
        <v>0.56299999999999994</v>
      </c>
      <c r="M38" s="2">
        <v>2.4055491403558255E-2</v>
      </c>
      <c r="N38" s="2">
        <v>3.8277097921341895E-2</v>
      </c>
      <c r="O38" s="2">
        <v>0.8</v>
      </c>
      <c r="P38" s="2">
        <v>1.6911534525287743E-2</v>
      </c>
      <c r="Q38" s="2">
        <v>2.6909633736637857E-2</v>
      </c>
      <c r="R38" s="2">
        <v>0.87975000000000003</v>
      </c>
      <c r="S38" s="2">
        <v>1.3200378782444098E-2</v>
      </c>
      <c r="T38" s="2">
        <v>2.1004442718625047E-2</v>
      </c>
    </row>
    <row r="39" spans="5:20" x14ac:dyDescent="0.3">
      <c r="F39" s="2">
        <v>18.576560010293377</v>
      </c>
      <c r="G39" s="2">
        <v>1.6621708957770236</v>
      </c>
      <c r="H39" s="2">
        <v>2.6448463293603997</v>
      </c>
      <c r="I39" s="2">
        <v>0.20499999999999999</v>
      </c>
      <c r="J39" s="2">
        <v>1.3266499161421598E-2</v>
      </c>
      <c r="K39" s="2">
        <v>2.1109653465654046E-2</v>
      </c>
      <c r="L39" s="2">
        <v>0.63024999999999998</v>
      </c>
      <c r="M39" s="2">
        <v>2.2455511572885636E-2</v>
      </c>
      <c r="N39" s="2">
        <v>3.5731210014775625E-2</v>
      </c>
      <c r="O39" s="2">
        <v>0.82824999999999993</v>
      </c>
      <c r="P39" s="2">
        <v>1.5628499608087747E-2</v>
      </c>
      <c r="Q39" s="2">
        <v>2.4868068576389221E-2</v>
      </c>
      <c r="R39" s="2">
        <v>0.88949999999999996</v>
      </c>
      <c r="S39" s="2">
        <v>1.1561430130683094E-2</v>
      </c>
      <c r="T39" s="2">
        <v>1.8396547623942938E-2</v>
      </c>
    </row>
    <row r="40" spans="5:20" x14ac:dyDescent="0.3">
      <c r="E40">
        <v>5</v>
      </c>
      <c r="F40" s="2">
        <v>4.4588503454003057</v>
      </c>
      <c r="G40" s="2">
        <v>0.24747153170768518</v>
      </c>
      <c r="H40" s="2">
        <v>0.39377670125326864</v>
      </c>
      <c r="I40" s="2">
        <v>0.15125</v>
      </c>
      <c r="J40" s="2">
        <v>8.5780728216385219E-3</v>
      </c>
      <c r="K40" s="2">
        <v>1.3649429473791216E-2</v>
      </c>
      <c r="L40" s="2">
        <v>0.60649999999999993</v>
      </c>
      <c r="M40" s="2">
        <v>1.9364916731037102E-2</v>
      </c>
      <c r="N40" s="2">
        <v>3.0813455502426236E-2</v>
      </c>
      <c r="O40" s="2">
        <v>0.84850000000000003</v>
      </c>
      <c r="P40" s="2">
        <v>1.2714820748507112E-2</v>
      </c>
      <c r="Q40" s="2">
        <v>2.0231822775024517E-2</v>
      </c>
      <c r="R40" s="2">
        <v>0.93149999999999999</v>
      </c>
      <c r="S40" s="2">
        <v>1.3076696830621973E-2</v>
      </c>
      <c r="T40" s="2">
        <v>2.0807639996885681E-2</v>
      </c>
    </row>
    <row r="41" spans="5:20" x14ac:dyDescent="0.3">
      <c r="F41" s="2">
        <v>8.0920367732043594</v>
      </c>
      <c r="G41" s="2">
        <v>0.35418830558806258</v>
      </c>
      <c r="H41" s="2">
        <v>0.56358443185172513</v>
      </c>
      <c r="I41" s="2">
        <v>0.26024999999999998</v>
      </c>
      <c r="J41" s="2">
        <v>1.1056672193748E-2</v>
      </c>
      <c r="K41" s="2">
        <v>1.7593376794691817E-2</v>
      </c>
      <c r="L41" s="2">
        <v>0.70525000000000004</v>
      </c>
      <c r="M41" s="2">
        <v>1.4660036380127625E-2</v>
      </c>
      <c r="N41" s="2">
        <v>2.3327049888059077E-2</v>
      </c>
      <c r="O41" s="2">
        <v>0.88600000000000001</v>
      </c>
      <c r="P41" s="2">
        <v>8.2865352631040431E-3</v>
      </c>
      <c r="Q41" s="2">
        <v>1.3185534910651152E-2</v>
      </c>
      <c r="R41" s="2">
        <v>0.95025000000000004</v>
      </c>
      <c r="S41" s="2">
        <v>7.8049129826454041E-3</v>
      </c>
      <c r="T41" s="2">
        <v>1.2419177537985366E-2</v>
      </c>
    </row>
    <row r="42" spans="5:20" x14ac:dyDescent="0.3">
      <c r="F42" s="2">
        <v>11.701877368088276</v>
      </c>
      <c r="G42" s="2">
        <v>0.5251903917626688</v>
      </c>
      <c r="H42" s="2">
        <v>0.83568295137275861</v>
      </c>
      <c r="I42" s="2">
        <v>0.34200000000000003</v>
      </c>
      <c r="J42" s="2">
        <v>1.4628738838327783E-2</v>
      </c>
      <c r="K42" s="2">
        <v>2.3277249239547167E-2</v>
      </c>
      <c r="L42" s="2">
        <v>0.76649999999999996</v>
      </c>
      <c r="M42" s="2">
        <v>1.605199883711269E-2</v>
      </c>
      <c r="N42" s="2">
        <v>2.5541940549613711E-2</v>
      </c>
      <c r="O42" s="2">
        <v>0.90949999999999998</v>
      </c>
      <c r="P42" s="2">
        <v>9.2556289179432216E-3</v>
      </c>
      <c r="Q42" s="2">
        <v>1.4727556734231253E-2</v>
      </c>
      <c r="R42" s="2">
        <v>0.95374999999999999</v>
      </c>
      <c r="S42" s="2">
        <v>1.1586630226256478E-2</v>
      </c>
      <c r="T42" s="2">
        <v>1.8436646016019305E-2</v>
      </c>
    </row>
    <row r="43" spans="5:20" x14ac:dyDescent="0.3">
      <c r="E43">
        <v>7</v>
      </c>
      <c r="F43" s="2">
        <v>2.7642529323202347</v>
      </c>
      <c r="G43" s="2">
        <v>1.7146209967014974E-2</v>
      </c>
      <c r="H43" s="2">
        <v>2.7283049299514226E-2</v>
      </c>
      <c r="I43" s="2">
        <v>0.42925000000000002</v>
      </c>
      <c r="J43" s="2">
        <v>3.4865216668383582E-2</v>
      </c>
      <c r="K43" s="2">
        <v>5.5477532762731957E-2</v>
      </c>
      <c r="L43" s="2">
        <v>0.84524999999999995</v>
      </c>
      <c r="M43" s="2">
        <v>1.325078614020065E-2</v>
      </c>
      <c r="N43" s="2">
        <v>2.1084650906287274E-2</v>
      </c>
      <c r="O43" s="2">
        <v>0.9474999999999999</v>
      </c>
      <c r="P43" s="2">
        <v>2.0816659994661343E-3</v>
      </c>
      <c r="Q43" s="2">
        <v>3.312346938350513E-3</v>
      </c>
      <c r="R43" s="2">
        <v>0.98399999999999999</v>
      </c>
      <c r="S43" s="2">
        <v>2.1602468994692888E-3</v>
      </c>
      <c r="T43" s="2">
        <v>3.4373848664355322E-3</v>
      </c>
    </row>
    <row r="44" spans="5:20" x14ac:dyDescent="0.3">
      <c r="F44" s="2">
        <v>5.2207537321671698</v>
      </c>
      <c r="G44" s="2">
        <v>0.10342512456415454</v>
      </c>
      <c r="H44" s="2">
        <v>0.16457005820648268</v>
      </c>
      <c r="I44" s="2">
        <v>0.56174999999999997</v>
      </c>
      <c r="J44" s="2">
        <v>2.1219095173922911E-2</v>
      </c>
      <c r="K44" s="2">
        <v>3.3763824240746136E-2</v>
      </c>
      <c r="L44" s="2">
        <v>0.8922500000000001</v>
      </c>
      <c r="M44" s="2">
        <v>8.0156097709407053E-3</v>
      </c>
      <c r="N44" s="2">
        <v>1.2754438267520849E-2</v>
      </c>
      <c r="O44" s="2">
        <v>0.96324999999999994</v>
      </c>
      <c r="P44" s="2">
        <v>1.2583057392117928E-3</v>
      </c>
      <c r="Q44" s="2">
        <v>2.0022160922338046E-3</v>
      </c>
      <c r="R44" s="2">
        <v>0.98149999999999993</v>
      </c>
      <c r="S44" s="2">
        <v>1.7320508075688787E-3</v>
      </c>
      <c r="T44" s="2">
        <v>2.7560392450035995E-3</v>
      </c>
    </row>
    <row r="45" spans="5:20" x14ac:dyDescent="0.3">
      <c r="F45" s="2">
        <v>7.4876227083994173</v>
      </c>
      <c r="G45" s="2">
        <v>0.25099004150999638</v>
      </c>
      <c r="H45" s="2">
        <v>0.39937535405070623</v>
      </c>
      <c r="I45" s="2">
        <v>0.6482500000000001</v>
      </c>
      <c r="J45" s="2">
        <v>2.0758532382292045E-2</v>
      </c>
      <c r="K45" s="2">
        <v>3.3030976726703104E-2</v>
      </c>
      <c r="L45" s="2">
        <v>0.9152499999999999</v>
      </c>
      <c r="M45" s="2">
        <v>6.4485140407177068E-3</v>
      </c>
      <c r="N45" s="2">
        <v>1.0260875541590015E-2</v>
      </c>
      <c r="O45" s="2">
        <v>0.96574999999999989</v>
      </c>
      <c r="P45" s="2">
        <v>1.7078251276599345E-3</v>
      </c>
      <c r="Q45" s="2">
        <v>2.717491343132488E-3</v>
      </c>
      <c r="R45" s="2">
        <v>0.98599999999999999</v>
      </c>
      <c r="S45" s="2">
        <v>1.8257418583505554E-3</v>
      </c>
      <c r="T45" s="2">
        <v>2.9051204450074035E-3</v>
      </c>
    </row>
    <row r="46" spans="5:20" x14ac:dyDescent="0.3">
      <c r="E46">
        <v>9</v>
      </c>
      <c r="F46" s="2">
        <v>2.0495352306597567</v>
      </c>
      <c r="G46" s="2">
        <v>4.7691060748417856E-2</v>
      </c>
      <c r="H46" s="2">
        <v>7.5886015862882489E-2</v>
      </c>
      <c r="I46" s="2">
        <v>0.72474999999999989</v>
      </c>
      <c r="J46" s="2">
        <v>9.2150239645193976E-3</v>
      </c>
      <c r="K46" s="2">
        <v>1.4662946132343264E-2</v>
      </c>
      <c r="L46" s="2">
        <v>0.94350000000000001</v>
      </c>
      <c r="M46" s="2">
        <v>5.2599112793531187E-3</v>
      </c>
      <c r="N46" s="2">
        <v>8.3695708277066825E-3</v>
      </c>
      <c r="O46" s="2">
        <v>0.96274999999999999</v>
      </c>
      <c r="P46" s="2">
        <v>4.1932485418030453E-3</v>
      </c>
      <c r="Q46" s="2">
        <v>6.6722970797170053E-3</v>
      </c>
      <c r="R46" s="2">
        <v>0.97024999999999995</v>
      </c>
      <c r="S46" s="2">
        <v>4.5734742446707525E-3</v>
      </c>
      <c r="T46" s="2">
        <v>7.2773122181201012E-3</v>
      </c>
    </row>
    <row r="47" spans="5:20" x14ac:dyDescent="0.3">
      <c r="F47" s="2">
        <v>3.8441014176676669</v>
      </c>
      <c r="G47" s="2">
        <v>0.18213110798467944</v>
      </c>
      <c r="H47" s="2">
        <v>0.28980701902522193</v>
      </c>
      <c r="I47" s="2">
        <v>0.82074999999999998</v>
      </c>
      <c r="J47" s="2">
        <v>7.8049129826453529E-3</v>
      </c>
      <c r="K47" s="2">
        <v>1.2419177537985285E-2</v>
      </c>
      <c r="L47" s="2">
        <v>0.95550000000000002</v>
      </c>
      <c r="M47" s="2">
        <v>5.802298395176409E-3</v>
      </c>
      <c r="N47" s="2">
        <v>9.2326172064047009E-3</v>
      </c>
      <c r="O47" s="2">
        <v>0.96524999999999994</v>
      </c>
      <c r="P47" s="2">
        <v>5.6199051000291262E-3</v>
      </c>
      <c r="Q47" s="2">
        <v>8.9423929951663456E-3</v>
      </c>
      <c r="R47" s="2">
        <v>0.97325000000000006</v>
      </c>
      <c r="S47" s="2">
        <v>4.8562674281111594E-3</v>
      </c>
      <c r="T47" s="2">
        <v>7.7272927316104764E-3</v>
      </c>
    </row>
    <row r="48" spans="5:20" x14ac:dyDescent="0.3">
      <c r="F48" s="2">
        <v>5.6208288415265759</v>
      </c>
      <c r="G48" s="2">
        <v>2.6119303749897838E-2</v>
      </c>
      <c r="H48" s="2">
        <v>4.1561036126837439E-2</v>
      </c>
      <c r="I48" s="2">
        <v>0.86375000000000002</v>
      </c>
      <c r="J48" s="2">
        <v>6.5000000000000058E-3</v>
      </c>
      <c r="K48" s="2">
        <v>1.034280000000001E-2</v>
      </c>
      <c r="L48" s="2">
        <v>0.95699999999999996</v>
      </c>
      <c r="M48" s="2">
        <v>4.5460605656619558E-3</v>
      </c>
      <c r="N48" s="2">
        <v>7.2336915720813038E-3</v>
      </c>
      <c r="O48" s="2">
        <v>0.96399999999999997</v>
      </c>
      <c r="P48" s="2">
        <v>3.9157800414902468E-3</v>
      </c>
      <c r="Q48" s="2">
        <v>6.2307892020192802E-3</v>
      </c>
      <c r="R48" s="2">
        <v>0.96700000000000008</v>
      </c>
      <c r="S48" s="2">
        <v>3.9157800414902468E-3</v>
      </c>
      <c r="T48" s="2">
        <v>6.2307892020192802E-3</v>
      </c>
    </row>
    <row r="49" spans="5:20" x14ac:dyDescent="0.3">
      <c r="E49">
        <v>10</v>
      </c>
      <c r="F49" s="2">
        <v>1.5120891436983492</v>
      </c>
      <c r="G49" s="2">
        <v>0.22508249905622105</v>
      </c>
      <c r="H49" s="2">
        <v>0.3581512724982589</v>
      </c>
      <c r="I49" s="2">
        <v>0.77800000000000002</v>
      </c>
      <c r="J49" s="2">
        <v>1.7644640357154746E-2</v>
      </c>
      <c r="K49" s="2">
        <v>2.8076151736304632E-2</v>
      </c>
      <c r="L49" s="2">
        <v>0.97375</v>
      </c>
      <c r="M49" s="2">
        <v>6.1305247192498464E-3</v>
      </c>
      <c r="N49" s="2">
        <v>9.7548909332703555E-3</v>
      </c>
      <c r="O49" s="2">
        <v>0.98524999999999996</v>
      </c>
      <c r="P49" s="2">
        <v>3.7749172176353785E-3</v>
      </c>
      <c r="Q49" s="2">
        <v>6.0066482767014142E-3</v>
      </c>
      <c r="R49" s="2">
        <v>0.99450000000000005</v>
      </c>
      <c r="S49" s="2">
        <v>3.6968455021364759E-3</v>
      </c>
      <c r="T49" s="2">
        <v>5.8824205629995603E-3</v>
      </c>
    </row>
    <row r="50" spans="5:20" x14ac:dyDescent="0.3">
      <c r="F50" s="2">
        <v>3.1093967434143925</v>
      </c>
      <c r="G50" s="2">
        <v>0.14560243625904609</v>
      </c>
      <c r="H50" s="2">
        <v>0.23168259657539414</v>
      </c>
      <c r="I50" s="2">
        <v>0.86099999999999999</v>
      </c>
      <c r="J50" s="2">
        <v>9.521904571390476E-3</v>
      </c>
      <c r="K50" s="2">
        <v>1.5151254553996525E-2</v>
      </c>
      <c r="L50" s="2">
        <v>0.96649999999999991</v>
      </c>
      <c r="M50" s="2">
        <v>6.0277137733417132E-3</v>
      </c>
      <c r="N50" s="2">
        <v>9.5912981561413341E-3</v>
      </c>
      <c r="O50" s="2">
        <v>0.97100000000000009</v>
      </c>
      <c r="P50" s="2">
        <v>6.0000000000000053E-3</v>
      </c>
      <c r="Q50" s="2">
        <v>9.5472000000000074E-3</v>
      </c>
      <c r="R50" s="2">
        <v>0.97850000000000004</v>
      </c>
      <c r="S50" s="2">
        <v>4.4347115652166947E-3</v>
      </c>
      <c r="T50" s="2">
        <v>7.0565130425728042E-3</v>
      </c>
    </row>
    <row r="51" spans="5:20" x14ac:dyDescent="0.3">
      <c r="F51" s="2">
        <v>5.0678993359069633</v>
      </c>
      <c r="G51" s="2">
        <v>0.31435207034131829</v>
      </c>
      <c r="H51" s="2">
        <v>0.50019701432710562</v>
      </c>
      <c r="I51" s="2">
        <v>0.88575000000000004</v>
      </c>
      <c r="J51" s="2">
        <v>3.8622100754188262E-3</v>
      </c>
      <c r="K51" s="2">
        <v>6.1455486720064364E-3</v>
      </c>
      <c r="L51" s="2">
        <v>0.97324999999999995</v>
      </c>
      <c r="M51" s="2">
        <v>1.5000000000000013E-3</v>
      </c>
      <c r="N51" s="2">
        <v>2.3868000000000019E-3</v>
      </c>
      <c r="O51" s="2">
        <v>0.97624999999999995</v>
      </c>
      <c r="P51" s="2">
        <v>1.2583057392117928E-3</v>
      </c>
      <c r="Q51" s="2">
        <v>2.0022160922338046E-3</v>
      </c>
      <c r="R51" s="2">
        <v>0.98425000000000007</v>
      </c>
      <c r="S51" s="2">
        <v>2.872281323269017E-3</v>
      </c>
      <c r="T51" s="2">
        <v>4.5703740415856597E-3</v>
      </c>
    </row>
    <row r="52" spans="5:20" x14ac:dyDescent="0.3">
      <c r="E52">
        <v>11</v>
      </c>
      <c r="F52" s="2">
        <v>1.2883746653560475</v>
      </c>
      <c r="G52" s="2">
        <v>3.7996921373826271E-2</v>
      </c>
      <c r="H52" s="2">
        <v>6.0460701290032358E-2</v>
      </c>
      <c r="I52" s="2">
        <v>0.78300000000000003</v>
      </c>
      <c r="J52" s="2">
        <v>8.0415587212098877E-3</v>
      </c>
      <c r="K52" s="2">
        <v>1.2795728237189172E-2</v>
      </c>
      <c r="L52" s="2">
        <v>0.96199999999999997</v>
      </c>
      <c r="M52" s="2">
        <v>1.4719601443879756E-2</v>
      </c>
      <c r="N52" s="2">
        <v>2.3421829817501467E-2</v>
      </c>
      <c r="O52" s="2">
        <v>0.97099999999999997</v>
      </c>
      <c r="P52" s="2">
        <v>1.3441230102437314E-2</v>
      </c>
      <c r="Q52" s="2">
        <v>2.1387685338998253E-2</v>
      </c>
      <c r="R52" s="2">
        <v>0.98149999999999993</v>
      </c>
      <c r="S52" s="2">
        <v>1.3674794331177355E-2</v>
      </c>
      <c r="T52" s="2">
        <v>2.1759332739769408E-2</v>
      </c>
    </row>
    <row r="53" spans="5:20" x14ac:dyDescent="0.3">
      <c r="F53" s="2">
        <v>2.5312341003690326</v>
      </c>
      <c r="G53" s="2">
        <v>0.10172218254501229</v>
      </c>
      <c r="H53" s="2">
        <v>0.16186033686562357</v>
      </c>
      <c r="I53" s="2">
        <v>0.85549999999999993</v>
      </c>
      <c r="J53" s="2">
        <v>9.1104335791443083E-3</v>
      </c>
      <c r="K53" s="2">
        <v>1.4496521911134423E-2</v>
      </c>
      <c r="L53" s="2">
        <v>0.94925000000000004</v>
      </c>
      <c r="M53" s="2">
        <v>1.3047988350699853E-2</v>
      </c>
      <c r="N53" s="2">
        <v>2.0761959063633605E-2</v>
      </c>
      <c r="O53" s="2">
        <v>0.95125000000000004</v>
      </c>
      <c r="P53" s="2">
        <v>1.2257650672131224E-2</v>
      </c>
      <c r="Q53" s="2">
        <v>1.9504373749495204E-2</v>
      </c>
      <c r="R53" s="2">
        <v>0.96124999999999994</v>
      </c>
      <c r="S53" s="2">
        <v>1.2446552400832405E-2</v>
      </c>
      <c r="T53" s="2">
        <v>1.9804954180204521E-2</v>
      </c>
    </row>
    <row r="54" spans="5:20" x14ac:dyDescent="0.3">
      <c r="F54" s="2">
        <v>4.1712148153894075</v>
      </c>
      <c r="G54" s="2">
        <v>0.31682900343802639</v>
      </c>
      <c r="H54" s="2">
        <v>0.50413831027058753</v>
      </c>
      <c r="I54" s="2">
        <v>0.87924999999999998</v>
      </c>
      <c r="J54" s="2">
        <v>8.5391256382996734E-3</v>
      </c>
      <c r="K54" s="2">
        <v>1.358745671566244E-2</v>
      </c>
      <c r="L54" s="2">
        <v>0.95624999999999982</v>
      </c>
      <c r="M54" s="2">
        <v>1.1615363389350626E-2</v>
      </c>
      <c r="N54" s="2">
        <v>1.8482366225134716E-2</v>
      </c>
      <c r="O54" s="2">
        <v>0.95649999999999991</v>
      </c>
      <c r="P54" s="2">
        <v>1.1561430130683094E-2</v>
      </c>
      <c r="Q54" s="2">
        <v>1.8396547623942938E-2</v>
      </c>
      <c r="R54" s="2">
        <v>0.97024999999999995</v>
      </c>
      <c r="S54" s="2">
        <v>1.2311918344975067E-2</v>
      </c>
      <c r="T54" s="2">
        <v>1.9590724470524328E-2</v>
      </c>
    </row>
    <row r="55" spans="5:20" x14ac:dyDescent="0.3">
      <c r="E55">
        <v>12</v>
      </c>
      <c r="F55" s="2">
        <v>1.2215283523215992</v>
      </c>
      <c r="G55" s="2">
        <v>8.569749571202899E-2</v>
      </c>
      <c r="H55" s="2">
        <v>0.13636185517698052</v>
      </c>
      <c r="I55" s="2">
        <v>0.7945000000000001</v>
      </c>
      <c r="J55" s="2">
        <v>9.4692484742278683E-3</v>
      </c>
      <c r="K55" s="2">
        <v>1.5067468172191383E-2</v>
      </c>
      <c r="L55" s="2">
        <v>0.96350000000000002</v>
      </c>
      <c r="M55" s="2">
        <v>1.5286159317064148E-2</v>
      </c>
      <c r="N55" s="2">
        <v>2.4323336705312473E-2</v>
      </c>
      <c r="O55" s="2">
        <v>0.97075</v>
      </c>
      <c r="P55" s="2">
        <v>1.4591664287073871E-2</v>
      </c>
      <c r="Q55" s="2">
        <v>2.3218256213591942E-2</v>
      </c>
      <c r="R55" s="2">
        <v>0.98575000000000002</v>
      </c>
      <c r="S55" s="2">
        <v>1.8661457606521541E-2</v>
      </c>
      <c r="T55" s="2">
        <v>2.9694111343497073E-2</v>
      </c>
    </row>
    <row r="56" spans="5:20" x14ac:dyDescent="0.3">
      <c r="F56" s="2">
        <v>2.2464175653190135</v>
      </c>
      <c r="G56" s="2">
        <v>0.11563804033765576</v>
      </c>
      <c r="H56" s="2">
        <v>0.18400324978527785</v>
      </c>
      <c r="I56" s="2">
        <v>0.86575000000000002</v>
      </c>
      <c r="J56" s="2">
        <v>9.2511260575852874E-3</v>
      </c>
      <c r="K56" s="2">
        <v>1.4720391782829708E-2</v>
      </c>
      <c r="L56" s="2">
        <v>0.95300000000000007</v>
      </c>
      <c r="M56" s="2">
        <v>1.2355835328567049E-2</v>
      </c>
      <c r="N56" s="2">
        <v>1.9660605174815889E-2</v>
      </c>
      <c r="O56" s="2">
        <v>0.95474999999999999</v>
      </c>
      <c r="P56" s="2">
        <v>1.2392874296680826E-2</v>
      </c>
      <c r="Q56" s="2">
        <v>1.9719541580878529E-2</v>
      </c>
      <c r="R56" s="2">
        <v>0.96599999999999997</v>
      </c>
      <c r="S56" s="2">
        <v>1.3638181696985868E-2</v>
      </c>
      <c r="T56" s="2">
        <v>2.1701074716243912E-2</v>
      </c>
    </row>
    <row r="57" spans="5:20" x14ac:dyDescent="0.3">
      <c r="F57" s="2">
        <v>3.64506285496768</v>
      </c>
      <c r="G57" s="2">
        <v>0.23699292541117647</v>
      </c>
      <c r="H57" s="2">
        <v>0.377103142914264</v>
      </c>
      <c r="I57" s="2">
        <v>0.88600000000000001</v>
      </c>
      <c r="J57" s="2">
        <v>1.0033277962194951E-2</v>
      </c>
      <c r="K57" s="2">
        <v>1.5964951893444605E-2</v>
      </c>
      <c r="L57" s="2">
        <v>0.95874999999999988</v>
      </c>
      <c r="M57" s="2">
        <v>1.291962331752234E-2</v>
      </c>
      <c r="N57" s="2">
        <v>2.0557704622841545E-2</v>
      </c>
      <c r="O57" s="2">
        <v>0.95974999999999999</v>
      </c>
      <c r="P57" s="2">
        <v>1.2996794476587947E-2</v>
      </c>
      <c r="Q57" s="2">
        <v>2.068049937114674E-2</v>
      </c>
      <c r="R57" s="2">
        <v>0.97324999999999995</v>
      </c>
      <c r="S57" s="2">
        <v>1.5585784121008065E-2</v>
      </c>
      <c r="T57" s="2">
        <v>2.4800099693348031E-2</v>
      </c>
    </row>
    <row r="58" spans="5:20" x14ac:dyDescent="0.3">
      <c r="E58">
        <v>14</v>
      </c>
      <c r="F58" s="2">
        <v>0.9485700919097001</v>
      </c>
      <c r="G58" s="2">
        <v>0.27150674809788627</v>
      </c>
      <c r="H58" s="2">
        <v>0.43202153757335665</v>
      </c>
      <c r="I58" s="2">
        <v>0.78249999999999997</v>
      </c>
      <c r="J58" s="2">
        <v>1.2013880860626743E-2</v>
      </c>
      <c r="K58" s="2">
        <v>1.9116487225429274E-2</v>
      </c>
      <c r="L58" s="2">
        <v>0.95674999999999999</v>
      </c>
      <c r="M58" s="2">
        <v>1.6049402896473556E-2</v>
      </c>
      <c r="N58" s="2">
        <v>2.553780988886872E-2</v>
      </c>
      <c r="O58" s="2">
        <v>0.97049999999999992</v>
      </c>
      <c r="P58" s="2">
        <v>1.8876793513023706E-2</v>
      </c>
      <c r="Q58" s="2">
        <v>3.003675383792332E-2</v>
      </c>
      <c r="R58" s="2">
        <v>0.97975000000000001</v>
      </c>
      <c r="S58" s="2">
        <v>1.3671747023210565E-2</v>
      </c>
      <c r="T58" s="2">
        <v>2.175448386333265E-2</v>
      </c>
    </row>
    <row r="59" spans="5:20" x14ac:dyDescent="0.3">
      <c r="F59" s="2">
        <v>2.0667620902348385</v>
      </c>
      <c r="G59" s="2">
        <v>0.13153496051358973</v>
      </c>
      <c r="H59" s="2">
        <v>0.20929842916922398</v>
      </c>
      <c r="I59" s="2">
        <v>0.84575</v>
      </c>
      <c r="J59" s="2">
        <v>6.1846584384264965E-3</v>
      </c>
      <c r="K59" s="2">
        <v>9.8410285072242417E-3</v>
      </c>
      <c r="L59" s="2">
        <v>0.9355</v>
      </c>
      <c r="M59" s="2">
        <v>1.0016652800877768E-2</v>
      </c>
      <c r="N59" s="2">
        <v>1.5938497936756703E-2</v>
      </c>
      <c r="O59" s="2">
        <v>0.93774999999999986</v>
      </c>
      <c r="P59" s="2">
        <v>1.257974562540908E-2</v>
      </c>
      <c r="Q59" s="2">
        <v>2.0016891239150927E-2</v>
      </c>
      <c r="R59" s="2">
        <v>0.95425000000000004</v>
      </c>
      <c r="S59" s="2">
        <v>7.6321687612368808E-3</v>
      </c>
      <c r="T59" s="2">
        <v>1.2144306932880124E-2</v>
      </c>
    </row>
    <row r="60" spans="5:20" x14ac:dyDescent="0.3">
      <c r="F60" s="2">
        <v>3.3198849712784422</v>
      </c>
      <c r="G60" s="2">
        <v>0.21795083691029757</v>
      </c>
      <c r="H60" s="2">
        <v>0.54146359167221825</v>
      </c>
      <c r="I60" s="2">
        <v>0.8696666666666667</v>
      </c>
      <c r="J60" s="2">
        <v>2.0816659994661343E-3</v>
      </c>
      <c r="K60" s="2">
        <v>5.1715623794405191E-3</v>
      </c>
      <c r="L60" s="2">
        <v>0.94466666666666654</v>
      </c>
      <c r="M60" s="2">
        <v>5.7735026918962634E-4</v>
      </c>
      <c r="N60" s="2">
        <v>1.434333333333335E-3</v>
      </c>
      <c r="O60" s="2">
        <v>0.94733333333333325</v>
      </c>
      <c r="P60" s="2">
        <v>1.1547005383792527E-3</v>
      </c>
      <c r="Q60" s="2">
        <v>2.86866666666667E-3</v>
      </c>
      <c r="R60" s="2">
        <v>0.96366666666666667</v>
      </c>
      <c r="S60" s="2">
        <v>1.5275252316519479E-3</v>
      </c>
      <c r="T60" s="2">
        <v>3.7948892971703145E-3</v>
      </c>
    </row>
    <row r="68" spans="3:56" x14ac:dyDescent="0.3">
      <c r="C68" t="s">
        <v>72</v>
      </c>
      <c r="P68" s="4" t="s">
        <v>35</v>
      </c>
      <c r="Q68" s="4"/>
      <c r="R68" s="4"/>
      <c r="S68" s="4"/>
      <c r="T68" s="4"/>
      <c r="U68" s="4"/>
      <c r="V68" s="4"/>
      <c r="W68" s="4"/>
      <c r="AA68" s="4" t="s">
        <v>48</v>
      </c>
      <c r="AB68" s="4"/>
      <c r="AC68" s="4"/>
      <c r="AD68" s="4"/>
      <c r="AE68" s="4"/>
      <c r="AF68" s="4"/>
      <c r="AG68" s="4"/>
      <c r="AH68" s="4"/>
      <c r="AI68" s="4" t="s">
        <v>49</v>
      </c>
      <c r="AJ68" s="4"/>
      <c r="AK68" s="4"/>
      <c r="AL68" s="4"/>
      <c r="AM68" s="4"/>
      <c r="AN68" s="4"/>
      <c r="AO68" s="4"/>
      <c r="AP68" s="4"/>
    </row>
    <row r="69" spans="3:56" x14ac:dyDescent="0.3">
      <c r="D69" t="s">
        <v>14</v>
      </c>
      <c r="E69" t="s">
        <v>1</v>
      </c>
      <c r="F69" t="s">
        <v>18</v>
      </c>
      <c r="G69" t="s">
        <v>19</v>
      </c>
      <c r="H69" t="s">
        <v>20</v>
      </c>
      <c r="I69" t="s">
        <v>21</v>
      </c>
      <c r="J69" t="s">
        <v>22</v>
      </c>
      <c r="K69" t="s">
        <v>23</v>
      </c>
      <c r="L69" t="s">
        <v>24</v>
      </c>
      <c r="M69" t="s">
        <v>25</v>
      </c>
      <c r="N69" t="s">
        <v>27</v>
      </c>
      <c r="O69" t="s">
        <v>28</v>
      </c>
      <c r="P69" t="s">
        <v>46</v>
      </c>
      <c r="Q69" t="s">
        <v>40</v>
      </c>
      <c r="R69">
        <v>200</v>
      </c>
      <c r="S69">
        <v>400</v>
      </c>
      <c r="T69">
        <v>600</v>
      </c>
      <c r="U69">
        <v>1000</v>
      </c>
      <c r="V69">
        <v>2000</v>
      </c>
      <c r="W69">
        <v>3000</v>
      </c>
      <c r="X69" t="s">
        <v>41</v>
      </c>
      <c r="Y69" t="s">
        <v>45</v>
      </c>
      <c r="Z69" t="s">
        <v>47</v>
      </c>
      <c r="AA69" t="s">
        <v>46</v>
      </c>
      <c r="AB69" t="s">
        <v>40</v>
      </c>
      <c r="AC69">
        <v>200</v>
      </c>
      <c r="AD69">
        <v>400</v>
      </c>
      <c r="AE69">
        <v>600</v>
      </c>
      <c r="AF69">
        <v>1000</v>
      </c>
      <c r="AG69">
        <v>2000</v>
      </c>
      <c r="AH69">
        <v>3000</v>
      </c>
      <c r="AI69" t="s">
        <v>46</v>
      </c>
      <c r="AJ69" t="s">
        <v>40</v>
      </c>
      <c r="AK69">
        <v>200</v>
      </c>
      <c r="AL69">
        <v>400</v>
      </c>
      <c r="AM69">
        <v>600</v>
      </c>
      <c r="AN69">
        <v>1000</v>
      </c>
      <c r="AO69">
        <v>2000</v>
      </c>
      <c r="AP69">
        <v>3000</v>
      </c>
      <c r="AS69" t="s">
        <v>59</v>
      </c>
    </row>
    <row r="70" spans="3:56" x14ac:dyDescent="0.3">
      <c r="D70">
        <v>3</v>
      </c>
      <c r="E70" t="s">
        <v>4</v>
      </c>
      <c r="F70">
        <v>20.399999999999999</v>
      </c>
      <c r="G70">
        <v>3.58</v>
      </c>
      <c r="H70">
        <v>3.42</v>
      </c>
      <c r="I70">
        <v>21.32</v>
      </c>
      <c r="J70">
        <v>12.48</v>
      </c>
      <c r="K70">
        <f>100*60</f>
        <v>6000</v>
      </c>
      <c r="L70">
        <f>I70-J70</f>
        <v>8.84</v>
      </c>
      <c r="M70">
        <f>(G70+H70)/2</f>
        <v>3.5</v>
      </c>
      <c r="N70" s="2">
        <f>FiberLength!D34*$C$2*PI()</f>
        <v>3.9584067435231396E-4</v>
      </c>
      <c r="O70" s="2">
        <f>L70/N70/K70*60*60/$C$4</f>
        <v>13.423358258257087</v>
      </c>
      <c r="P70">
        <v>0.06</v>
      </c>
      <c r="R70">
        <v>0.28499999999999998</v>
      </c>
      <c r="T70">
        <v>0.59099999999999997</v>
      </c>
      <c r="V70">
        <v>0.69799999999999995</v>
      </c>
      <c r="Y70" s="2">
        <f>8.314*293.15*1000*(1/62*(P70+AI70-1)+1/200*(R70+AK70-1)+1/600*(T70+AM70-1)+1/2000*(V70+AO70-1))/10^5</f>
        <v>0.10870476369996819</v>
      </c>
      <c r="Z70" s="2">
        <f>O70/(M70-Y70)</f>
        <v>3.9581803773894451</v>
      </c>
      <c r="AA70" s="2">
        <f>(($O70/1000/60/60/$AW$85)+(1+0.26*($O70/1000/60/60/$AW$85)^(1.4))^(-1.7))*$AW$85</f>
        <v>3.3602956837766498E-5</v>
      </c>
      <c r="AC70" s="2">
        <f>(($O70/1000/60/60/$AY$85)+(1+0.26*($O70/1000/60/60/$AY$85)^(1.4))^(-1.7))*$AY$85</f>
        <v>2.4990296414960556E-5</v>
      </c>
      <c r="AE70" s="2">
        <f>(($O70/1000/60/60/$BA$85)+(1+0.26*($O70/1000/60/60/$BA$85)^(1.4))^(-1.7))*$BA$85</f>
        <v>1.9057085615617427E-5</v>
      </c>
      <c r="AG70" s="2">
        <f>(($O70/1000/60/60/$BC$85)+(1+0.26*($O70/1000/60/60/$BC$85)^(1.4))^(-1.7))*$BC$85</f>
        <v>1.4300025185488254E-5</v>
      </c>
      <c r="AI70" s="2">
        <f>(AA70/($O70/1000/60/60)+P70-1)/(AA70/($O70/1000/60/60)-1)</f>
        <v>1.0074888128075743</v>
      </c>
      <c r="AK70" s="2">
        <f>(AC70/($O70/1000/60/60)+R70-1)/(AC70/($O70/1000/60/60)-1)</f>
        <v>1.0499813390869044</v>
      </c>
      <c r="AM70" s="2">
        <f>(AE70/($O70/1000/60/60)+T70-1)/(AE70/($O70/1000/60/60)-1)</f>
        <v>1.1437639660048216</v>
      </c>
      <c r="AO70" s="2">
        <f>(AG70/($O70/1000/60/60)+V70-1)/(AG70/($O70/1000/60/60)-1)</f>
        <v>1.2461983326220727</v>
      </c>
      <c r="AP70" s="2"/>
      <c r="AS70" t="s">
        <v>69</v>
      </c>
    </row>
    <row r="71" spans="3:56" x14ac:dyDescent="0.3">
      <c r="E71" t="s">
        <v>5</v>
      </c>
      <c r="F71">
        <v>20.399999999999999</v>
      </c>
      <c r="G71">
        <v>3.58</v>
      </c>
      <c r="H71">
        <v>3.42</v>
      </c>
      <c r="I71">
        <v>22.74</v>
      </c>
      <c r="J71">
        <v>11.75</v>
      </c>
      <c r="K71">
        <f t="shared" ref="K71:K85" si="0">100*60</f>
        <v>6000</v>
      </c>
      <c r="L71">
        <f t="shared" ref="L71:L134" si="1">I71-J71</f>
        <v>10.989999999999998</v>
      </c>
      <c r="M71">
        <f t="shared" ref="M71:M134" si="2">(G71+H71)/2</f>
        <v>3.5</v>
      </c>
      <c r="N71" s="2">
        <f>FiberLength!D35*$C$2*PI()</f>
        <v>3.9584067435231396E-4</v>
      </c>
      <c r="O71" s="2">
        <f t="shared" ref="O71:O84" si="3">L71/N71/K71*60*60/$C$4</f>
        <v>16.688089056362596</v>
      </c>
      <c r="P71">
        <v>4.9000000000000002E-2</v>
      </c>
      <c r="R71">
        <v>0.24199999999999999</v>
      </c>
      <c r="T71">
        <v>0.53900000000000003</v>
      </c>
      <c r="V71">
        <v>0.63600000000000001</v>
      </c>
      <c r="Y71" s="2">
        <f t="shared" ref="Y71:Y84" si="4">8.314*293.15*1000*(1/62*(P71+AI71-1)+1/200*(R71+AK71-1)+1/600*(T71+AM71-1)+1/2000*(V71+AO71-1))/10^5</f>
        <v>9.8178112740983883E-2</v>
      </c>
      <c r="Z71" s="2">
        <f t="shared" ref="Z71:Z85" si="5">O71/(M71-Y71)</f>
        <v>4.9056328077802034</v>
      </c>
      <c r="AA71" s="2">
        <f t="shared" ref="AA71:AA85" si="6">(($O71/1000/60/60/$AW$85)+(1+0.26*($O71/1000/60/60/$AW$85)^(1.4))^(-1.7))*$AW$85</f>
        <v>3.4267392141858111E-5</v>
      </c>
      <c r="AC71" s="2">
        <f t="shared" ref="AC71:AC85" si="7">(($O71/1000/60/60/$AY$85)+(1+0.26*($O71/1000/60/60/$AY$85)^(1.4))^(-1.7))*$AY$85</f>
        <v>2.5627612308631682E-5</v>
      </c>
      <c r="AE71" s="2">
        <f t="shared" ref="AE71:AE85" si="8">(($O71/1000/60/60/$BA$85)+(1+0.26*($O71/1000/60/60/$BA$85)^(1.4))^(-1.7))*$BA$85</f>
        <v>1.9669802304026615E-5</v>
      </c>
      <c r="AG71" s="2">
        <f t="shared" ref="AG71:AG85" si="9">(($O71/1000/60/60/$BC$85)+(1+0.26*($O71/1000/60/60/$BC$85)^(1.4))^(-1.7))*$BC$85</f>
        <v>1.4889983712771391E-5</v>
      </c>
      <c r="AI71" s="2">
        <f t="shared" ref="AI71:AI85" si="10">(AA71/($O71/1000/60/60)+P71-1)/(AA71/($O71/1000/60/60)-1)</f>
        <v>1.0076655263451382</v>
      </c>
      <c r="AK71" s="2">
        <f t="shared" ref="AK71:AK85" si="11">(AC71/($O71/1000/60/60)+R71-1)/(AC71/($O71/1000/60/60)-1)</f>
        <v>1.0534398208900826</v>
      </c>
      <c r="AM71" s="2">
        <f t="shared" ref="AM71:AM85" si="12">(AE71/($O71/1000/60/60)+T71-1)/(AE71/($O71/1000/60/60)-1)</f>
        <v>1.166192688680568</v>
      </c>
      <c r="AO71" s="2">
        <f t="shared" ref="AO71:AO85" si="13">(AG71/($O71/1000/60/60)+V71-1)/(AG71/($O71/1000/60/60)-1)</f>
        <v>1.2875085898282888</v>
      </c>
      <c r="AP71" s="2"/>
      <c r="AS71" t="s">
        <v>60</v>
      </c>
    </row>
    <row r="72" spans="3:56" x14ac:dyDescent="0.3">
      <c r="E72" t="s">
        <v>6</v>
      </c>
      <c r="F72">
        <v>20.399999999999999</v>
      </c>
      <c r="G72">
        <v>3.58</v>
      </c>
      <c r="H72">
        <v>3.42</v>
      </c>
      <c r="I72">
        <v>21.73</v>
      </c>
      <c r="J72">
        <v>11.72</v>
      </c>
      <c r="K72">
        <f t="shared" si="0"/>
        <v>6000</v>
      </c>
      <c r="L72">
        <f t="shared" si="1"/>
        <v>10.01</v>
      </c>
      <c r="M72">
        <f t="shared" si="2"/>
        <v>3.5</v>
      </c>
      <c r="N72" s="2">
        <f>FiberLength!D36*$C$2*PI()</f>
        <v>3.9364155949480104E-4</v>
      </c>
      <c r="O72" s="2">
        <f t="shared" si="3"/>
        <v>15.284895289142563</v>
      </c>
      <c r="P72">
        <v>5.5E-2</v>
      </c>
      <c r="R72">
        <v>0.27100000000000002</v>
      </c>
      <c r="T72">
        <v>0.57499999999999996</v>
      </c>
      <c r="V72">
        <v>0.68</v>
      </c>
      <c r="Y72" s="2">
        <f t="shared" si="4"/>
        <v>0.10594407177736352</v>
      </c>
      <c r="Z72" s="2">
        <f t="shared" si="5"/>
        <v>4.5034305893559026</v>
      </c>
      <c r="AA72" s="2">
        <f t="shared" si="6"/>
        <v>3.3984001370473659E-5</v>
      </c>
      <c r="AC72" s="2">
        <f t="shared" si="7"/>
        <v>2.5355879088642206E-5</v>
      </c>
      <c r="AE72" s="2">
        <f t="shared" si="8"/>
        <v>1.9408461130052906E-5</v>
      </c>
      <c r="AG72" s="2">
        <f t="shared" si="9"/>
        <v>1.4637894891448766E-5</v>
      </c>
      <c r="AI72" s="2">
        <f t="shared" si="10"/>
        <v>1.007852501367666</v>
      </c>
      <c r="AK72" s="2">
        <f t="shared" si="11"/>
        <v>1.0545053942045757</v>
      </c>
      <c r="AM72" s="2">
        <f t="shared" si="12"/>
        <v>1.1610098718742299</v>
      </c>
      <c r="AO72" s="2">
        <f t="shared" si="13"/>
        <v>1.2778215651426186</v>
      </c>
      <c r="AP72" s="2"/>
      <c r="AS72" t="s">
        <v>67</v>
      </c>
    </row>
    <row r="73" spans="3:56" x14ac:dyDescent="0.3">
      <c r="E73" t="s">
        <v>7</v>
      </c>
      <c r="F73">
        <v>20.399999999999999</v>
      </c>
      <c r="G73">
        <v>3.58</v>
      </c>
      <c r="H73">
        <v>3.42</v>
      </c>
      <c r="I73">
        <v>20.89</v>
      </c>
      <c r="J73">
        <v>11.77</v>
      </c>
      <c r="K73">
        <f t="shared" si="0"/>
        <v>6000</v>
      </c>
      <c r="L73">
        <f t="shared" si="1"/>
        <v>9.120000000000001</v>
      </c>
      <c r="M73">
        <f t="shared" si="2"/>
        <v>3.5</v>
      </c>
      <c r="N73" s="2">
        <f>FiberLength!D37*$C$2*PI()</f>
        <v>3.9364155949480104E-4</v>
      </c>
      <c r="O73" s="2">
        <f t="shared" si="3"/>
        <v>13.925898605092923</v>
      </c>
      <c r="P73">
        <v>5.1999999999999998E-2</v>
      </c>
      <c r="R73">
        <v>0.26800000000000002</v>
      </c>
      <c r="T73">
        <v>0.57999999999999996</v>
      </c>
      <c r="V73">
        <v>0.67800000000000005</v>
      </c>
      <c r="Y73" s="2">
        <f t="shared" si="4"/>
        <v>0.10252626327923142</v>
      </c>
      <c r="Z73" s="2">
        <f t="shared" si="5"/>
        <v>4.0988980884762212</v>
      </c>
      <c r="AA73" s="2">
        <f t="shared" si="6"/>
        <v>3.370642750439616E-5</v>
      </c>
      <c r="AC73" s="2">
        <f t="shared" si="7"/>
        <v>2.508960091307501E-5</v>
      </c>
      <c r="AE73" s="2">
        <f t="shared" si="8"/>
        <v>1.9152516558398163E-5</v>
      </c>
      <c r="AG73" s="2">
        <f t="shared" si="9"/>
        <v>1.4391683429787656E-5</v>
      </c>
      <c r="AI73" s="2">
        <f t="shared" si="10"/>
        <v>1.0067414385688545</v>
      </c>
      <c r="AK73" s="2">
        <f t="shared" si="11"/>
        <v>1.0488521435026124</v>
      </c>
      <c r="AM73" s="2">
        <f t="shared" si="12"/>
        <v>1.1467931148157648</v>
      </c>
      <c r="AO73" s="2">
        <f t="shared" si="13"/>
        <v>1.2492270864673751</v>
      </c>
      <c r="AP73" s="2"/>
      <c r="AS73" t="s">
        <v>61</v>
      </c>
    </row>
    <row r="74" spans="3:56" x14ac:dyDescent="0.3">
      <c r="D74">
        <v>5</v>
      </c>
      <c r="E74" t="s">
        <v>4</v>
      </c>
      <c r="F74">
        <v>20.399999999999999</v>
      </c>
      <c r="G74">
        <v>3.58</v>
      </c>
      <c r="H74">
        <v>3.42</v>
      </c>
      <c r="I74">
        <v>17.170000000000002</v>
      </c>
      <c r="J74">
        <v>11.72</v>
      </c>
      <c r="K74">
        <f t="shared" si="0"/>
        <v>6000</v>
      </c>
      <c r="L74">
        <f t="shared" si="1"/>
        <v>5.4500000000000011</v>
      </c>
      <c r="M74">
        <f t="shared" si="2"/>
        <v>3.5</v>
      </c>
      <c r="N74" s="2">
        <f>FiberLength!D38*$C$2*PI()</f>
        <v>3.8264598520723679E-4</v>
      </c>
      <c r="O74" s="2">
        <f t="shared" si="3"/>
        <v>8.5610823655212762</v>
      </c>
      <c r="P74">
        <v>9.6000000000000002E-2</v>
      </c>
      <c r="R74">
        <v>0.38700000000000001</v>
      </c>
      <c r="T74">
        <v>0.70099999999999996</v>
      </c>
      <c r="V74">
        <v>0.78100000000000003</v>
      </c>
      <c r="Y74" s="2">
        <f t="shared" si="4"/>
        <v>0.13741093667924881</v>
      </c>
      <c r="Z74" s="2">
        <f t="shared" si="5"/>
        <v>2.5459793642065534</v>
      </c>
      <c r="AA74" s="2">
        <f t="shared" si="6"/>
        <v>3.257502648770376E-5</v>
      </c>
      <c r="AC74" s="2">
        <f t="shared" si="7"/>
        <v>2.4001539410614343E-5</v>
      </c>
      <c r="AE74" s="2">
        <f t="shared" si="8"/>
        <v>1.810624173379883E-5</v>
      </c>
      <c r="AG74" s="2">
        <f t="shared" si="9"/>
        <v>1.3389126970412291E-5</v>
      </c>
      <c r="AI74" s="2">
        <f t="shared" si="10"/>
        <v>1.0075602186468573</v>
      </c>
      <c r="AK74" s="2">
        <f t="shared" si="11"/>
        <v>1.0425610107154335</v>
      </c>
      <c r="AM74" s="2">
        <f t="shared" si="12"/>
        <v>1.1059903150264851</v>
      </c>
      <c r="AO74" s="2">
        <f t="shared" si="13"/>
        <v>1.1686741504803628</v>
      </c>
      <c r="AP74" s="2"/>
      <c r="AS74" t="s">
        <v>62</v>
      </c>
    </row>
    <row r="75" spans="3:56" x14ac:dyDescent="0.3">
      <c r="E75" t="s">
        <v>5</v>
      </c>
      <c r="F75">
        <v>20.399999999999999</v>
      </c>
      <c r="G75">
        <v>3.58</v>
      </c>
      <c r="H75">
        <v>3.42</v>
      </c>
      <c r="I75">
        <v>17.18</v>
      </c>
      <c r="J75">
        <v>11.79</v>
      </c>
      <c r="K75">
        <f t="shared" si="0"/>
        <v>6000</v>
      </c>
      <c r="L75">
        <f t="shared" si="1"/>
        <v>5.3900000000000006</v>
      </c>
      <c r="M75">
        <f t="shared" si="2"/>
        <v>3.5</v>
      </c>
      <c r="N75" s="2">
        <f>FiberLength!D39*$C$2*PI()</f>
        <v>3.7824775549221107E-4</v>
      </c>
      <c r="O75" s="2">
        <f t="shared" si="3"/>
        <v>8.5652834513844507</v>
      </c>
      <c r="P75">
        <v>0.09</v>
      </c>
      <c r="R75">
        <v>0.38</v>
      </c>
      <c r="T75">
        <v>0.69599999999999995</v>
      </c>
      <c r="V75">
        <v>0.77100000000000002</v>
      </c>
      <c r="Y75" s="2">
        <f t="shared" si="4"/>
        <v>0.13354491878721583</v>
      </c>
      <c r="Z75" s="2">
        <f t="shared" si="5"/>
        <v>2.5443035016818816</v>
      </c>
      <c r="AA75" s="2">
        <f t="shared" si="6"/>
        <v>3.257593847730469E-5</v>
      </c>
      <c r="AC75" s="2">
        <f t="shared" si="7"/>
        <v>2.4002419054397104E-5</v>
      </c>
      <c r="AE75" s="2">
        <f t="shared" si="8"/>
        <v>1.810708903622199E-5</v>
      </c>
      <c r="AG75" s="2">
        <f t="shared" si="9"/>
        <v>1.3389938130345983E-5</v>
      </c>
      <c r="AI75" s="2">
        <f t="shared" si="10"/>
        <v>1.0070912429304377</v>
      </c>
      <c r="AK75" s="2">
        <f t="shared" si="11"/>
        <v>1.0418122366209674</v>
      </c>
      <c r="AM75" s="2">
        <f t="shared" si="12"/>
        <v>1.1052881017408009</v>
      </c>
      <c r="AO75" s="2">
        <f t="shared" si="13"/>
        <v>1.1666015255615421</v>
      </c>
      <c r="AP75" s="2"/>
      <c r="AS75" s="3" t="s">
        <v>63</v>
      </c>
    </row>
    <row r="76" spans="3:56" x14ac:dyDescent="0.3">
      <c r="E76" t="s">
        <v>6</v>
      </c>
      <c r="F76">
        <v>20.399999999999999</v>
      </c>
      <c r="G76">
        <v>3.58</v>
      </c>
      <c r="H76">
        <v>3.42</v>
      </c>
      <c r="I76">
        <v>17.649999999999999</v>
      </c>
      <c r="J76">
        <v>11.77</v>
      </c>
      <c r="K76">
        <f t="shared" si="0"/>
        <v>6000</v>
      </c>
      <c r="L76">
        <f t="shared" si="1"/>
        <v>5.879999999999999</v>
      </c>
      <c r="M76">
        <f t="shared" si="2"/>
        <v>3.5</v>
      </c>
      <c r="N76" s="2">
        <f>FiberLength!D40*$C$2*PI()</f>
        <v>3.8704421492226246E-4</v>
      </c>
      <c r="O76" s="2">
        <f t="shared" si="3"/>
        <v>9.1315831837073862</v>
      </c>
      <c r="P76">
        <v>9.2999999999999999E-2</v>
      </c>
      <c r="R76">
        <v>0.38600000000000001</v>
      </c>
      <c r="T76">
        <v>0.70299999999999996</v>
      </c>
      <c r="V76">
        <v>0.78500000000000003</v>
      </c>
      <c r="Y76" s="2">
        <f t="shared" si="4"/>
        <v>0.13715463007874393</v>
      </c>
      <c r="Z76" s="2">
        <f t="shared" si="5"/>
        <v>2.715433562715734</v>
      </c>
      <c r="AA76" s="2">
        <f t="shared" si="6"/>
        <v>3.269845328074244E-5</v>
      </c>
      <c r="AC76" s="2">
        <f t="shared" si="7"/>
        <v>2.412054113900534E-5</v>
      </c>
      <c r="AE76" s="2">
        <f t="shared" si="8"/>
        <v>1.822083407268448E-5</v>
      </c>
      <c r="AG76" s="2">
        <f t="shared" si="9"/>
        <v>1.349882139522477E-5</v>
      </c>
      <c r="AI76" s="2">
        <f t="shared" si="10"/>
        <v>1.0078210992511565</v>
      </c>
      <c r="AK76" s="2">
        <f t="shared" si="11"/>
        <v>1.045362726252788</v>
      </c>
      <c r="AM76" s="2">
        <f t="shared" si="12"/>
        <v>1.113693131544264</v>
      </c>
      <c r="AO76" s="2">
        <f t="shared" si="13"/>
        <v>1.1816405134549612</v>
      </c>
      <c r="AP76" s="2"/>
      <c r="AS76" t="s">
        <v>66</v>
      </c>
    </row>
    <row r="77" spans="3:56" x14ac:dyDescent="0.3">
      <c r="E77" t="s">
        <v>7</v>
      </c>
      <c r="F77">
        <v>20.399999999999999</v>
      </c>
      <c r="G77">
        <v>3.58</v>
      </c>
      <c r="H77">
        <v>3.42</v>
      </c>
      <c r="I77">
        <v>17.7</v>
      </c>
      <c r="J77">
        <v>11.72</v>
      </c>
      <c r="K77">
        <f t="shared" si="0"/>
        <v>6000</v>
      </c>
      <c r="L77">
        <f t="shared" si="1"/>
        <v>5.9799999999999986</v>
      </c>
      <c r="M77">
        <f t="shared" si="2"/>
        <v>3.5</v>
      </c>
      <c r="N77" s="2">
        <f>FiberLength!D41*$C$2*PI()</f>
        <v>3.9144244463728818E-4</v>
      </c>
      <c r="O77" s="2">
        <f t="shared" si="3"/>
        <v>9.1825352262366735</v>
      </c>
      <c r="P77">
        <v>8.6999999999999994E-2</v>
      </c>
      <c r="R77">
        <v>0.36</v>
      </c>
      <c r="T77">
        <v>0.67400000000000004</v>
      </c>
      <c r="V77">
        <v>0.746</v>
      </c>
      <c r="Y77" s="2">
        <f t="shared" si="4"/>
        <v>0.12918751305102358</v>
      </c>
      <c r="Z77" s="2">
        <f t="shared" si="5"/>
        <v>2.7241311291533932</v>
      </c>
      <c r="AA77" s="2">
        <f t="shared" si="6"/>
        <v>3.2709436198596782E-5</v>
      </c>
      <c r="AC77" s="2">
        <f t="shared" si="7"/>
        <v>2.4131125798916334E-5</v>
      </c>
      <c r="AE77" s="2">
        <f t="shared" si="8"/>
        <v>1.8231023384710837E-5</v>
      </c>
      <c r="AG77" s="2">
        <f t="shared" si="9"/>
        <v>1.3508574517370613E-5</v>
      </c>
      <c r="AI77" s="2">
        <f t="shared" si="10"/>
        <v>1.007358110022492</v>
      </c>
      <c r="AK77" s="2">
        <f t="shared" si="11"/>
        <v>1.0425503051305283</v>
      </c>
      <c r="AM77" s="2">
        <f t="shared" si="12"/>
        <v>1.1096390088539538</v>
      </c>
      <c r="AO77" s="2">
        <f t="shared" si="13"/>
        <v>1.1736491950742132</v>
      </c>
      <c r="AP77" s="2"/>
      <c r="AS77" t="s">
        <v>64</v>
      </c>
    </row>
    <row r="78" spans="3:56" x14ac:dyDescent="0.3">
      <c r="D78">
        <v>7</v>
      </c>
      <c r="E78" t="s">
        <v>4</v>
      </c>
      <c r="F78">
        <v>20.399999999999999</v>
      </c>
      <c r="G78">
        <v>3.58</v>
      </c>
      <c r="H78">
        <v>3.42</v>
      </c>
      <c r="I78">
        <v>14.9</v>
      </c>
      <c r="J78">
        <v>11.72</v>
      </c>
      <c r="K78">
        <f t="shared" si="0"/>
        <v>6000</v>
      </c>
      <c r="L78">
        <f t="shared" si="1"/>
        <v>3.1799999999999997</v>
      </c>
      <c r="M78">
        <f t="shared" si="2"/>
        <v>3.5</v>
      </c>
      <c r="N78" s="2">
        <f>FiberLength!D42*$C$2*PI()</f>
        <v>3.8924332977977537E-4</v>
      </c>
      <c r="O78" s="2">
        <f t="shared" si="3"/>
        <v>4.9106080904890179</v>
      </c>
      <c r="P78">
        <v>0.17499999999999999</v>
      </c>
      <c r="R78">
        <v>0.67300000000000004</v>
      </c>
      <c r="T78">
        <v>0.89300000000000002</v>
      </c>
      <c r="V78">
        <v>0.98599999999999999</v>
      </c>
      <c r="X78">
        <v>672</v>
      </c>
      <c r="Y78" s="2">
        <f t="shared" si="4"/>
        <v>0.21184996542553691</v>
      </c>
      <c r="Z78" s="2">
        <f t="shared" si="5"/>
        <v>1.4934257983530626</v>
      </c>
      <c r="AA78" s="2">
        <f t="shared" si="6"/>
        <v>3.1762748033564404E-5</v>
      </c>
      <c r="AC78" s="2">
        <f t="shared" si="7"/>
        <v>2.3215547402842463E-5</v>
      </c>
      <c r="AE78" s="2">
        <f t="shared" si="8"/>
        <v>1.7347046194011254E-5</v>
      </c>
      <c r="AG78" s="2">
        <f t="shared" si="9"/>
        <v>1.2660908494842497E-5</v>
      </c>
      <c r="AI78" s="2">
        <f t="shared" si="10"/>
        <v>1.0078526447586611</v>
      </c>
      <c r="AK78" s="2">
        <f t="shared" si="11"/>
        <v>1.0420113648162392</v>
      </c>
      <c r="AM78" s="2">
        <f t="shared" si="12"/>
        <v>1.0762125072104995</v>
      </c>
      <c r="AO78" s="2">
        <f t="shared" si="13"/>
        <v>1.1190562777494921</v>
      </c>
      <c r="AP78" s="2"/>
      <c r="AS78" t="s">
        <v>65</v>
      </c>
    </row>
    <row r="79" spans="3:56" x14ac:dyDescent="0.3">
      <c r="E79" t="s">
        <v>5</v>
      </c>
      <c r="F79">
        <v>20.399999999999999</v>
      </c>
      <c r="G79">
        <v>3.58</v>
      </c>
      <c r="H79">
        <v>3.42</v>
      </c>
      <c r="I79">
        <v>14.78</v>
      </c>
      <c r="J79">
        <v>11.79</v>
      </c>
      <c r="K79">
        <f t="shared" si="0"/>
        <v>6000</v>
      </c>
      <c r="L79">
        <f t="shared" si="1"/>
        <v>2.99</v>
      </c>
      <c r="M79">
        <f t="shared" si="2"/>
        <v>3.5</v>
      </c>
      <c r="N79" s="2">
        <f>FiberLength!D43*$C$2*PI()</f>
        <v>3.8484510006474965E-4</v>
      </c>
      <c r="O79" s="2">
        <f t="shared" si="3"/>
        <v>4.6699750579146508</v>
      </c>
      <c r="P79">
        <v>0.17899999999999999</v>
      </c>
      <c r="R79">
        <v>0.70799999999999996</v>
      </c>
      <c r="T79">
        <v>0.90700000000000003</v>
      </c>
      <c r="V79">
        <v>0.997</v>
      </c>
      <c r="X79">
        <v>571</v>
      </c>
      <c r="Y79" s="2">
        <f t="shared" si="4"/>
        <v>0.21813809583045554</v>
      </c>
      <c r="Z79" s="2">
        <f t="shared" si="5"/>
        <v>1.422965132073819</v>
      </c>
      <c r="AA79" s="2">
        <f t="shared" si="6"/>
        <v>3.1707608757911904E-5</v>
      </c>
      <c r="AC79" s="2">
        <f t="shared" si="7"/>
        <v>2.3161975654537122E-5</v>
      </c>
      <c r="AE79" s="2">
        <f t="shared" si="8"/>
        <v>1.7295103604166641E-5</v>
      </c>
      <c r="AG79" s="2">
        <f t="shared" si="9"/>
        <v>1.2610911708629585E-5</v>
      </c>
      <c r="AI79" s="2">
        <f t="shared" si="10"/>
        <v>1.0076355979371456</v>
      </c>
      <c r="AK79" s="2">
        <f t="shared" si="11"/>
        <v>1.0420049619985097</v>
      </c>
      <c r="AM79" s="2">
        <f t="shared" si="12"/>
        <v>1.0735455985636613</v>
      </c>
      <c r="AO79" s="2">
        <f t="shared" si="13"/>
        <v>1.114314862319957</v>
      </c>
      <c r="AP79" s="2"/>
      <c r="AS79" t="s">
        <v>68</v>
      </c>
    </row>
    <row r="80" spans="3:56" x14ac:dyDescent="0.3">
      <c r="E80" t="s">
        <v>6</v>
      </c>
      <c r="F80">
        <v>20.399999999999999</v>
      </c>
      <c r="G80">
        <v>3.58</v>
      </c>
      <c r="H80">
        <v>3.42</v>
      </c>
      <c r="I80">
        <v>14.98</v>
      </c>
      <c r="J80">
        <v>11.75</v>
      </c>
      <c r="K80">
        <f t="shared" si="0"/>
        <v>6000</v>
      </c>
      <c r="L80">
        <f t="shared" si="1"/>
        <v>3.2300000000000004</v>
      </c>
      <c r="M80">
        <f t="shared" si="2"/>
        <v>3.5</v>
      </c>
      <c r="N80" s="2">
        <f>FiberLength!D44*$C$2*PI()</f>
        <v>3.8484510006474965E-4</v>
      </c>
      <c r="O80" s="2">
        <f t="shared" si="3"/>
        <v>5.0448225542021143</v>
      </c>
      <c r="P80">
        <v>0.189</v>
      </c>
      <c r="R80">
        <v>0.70599999999999996</v>
      </c>
      <c r="T80">
        <v>0.89800000000000002</v>
      </c>
      <c r="V80">
        <v>0.98299999999999998</v>
      </c>
      <c r="X80">
        <v>630</v>
      </c>
      <c r="Y80" s="2">
        <f t="shared" si="4"/>
        <v>0.22242045879816441</v>
      </c>
      <c r="Z80" s="2">
        <f t="shared" si="5"/>
        <v>1.5391914950604857</v>
      </c>
      <c r="AA80" s="2">
        <f t="shared" si="6"/>
        <v>3.1793404353417955E-5</v>
      </c>
      <c r="AC80" s="2">
        <f t="shared" si="7"/>
        <v>2.3245318384665402E-5</v>
      </c>
      <c r="AE80" s="2">
        <f t="shared" si="8"/>
        <v>1.7375898529979047E-5</v>
      </c>
      <c r="AG80" s="2">
        <f t="shared" si="9"/>
        <v>1.2688666628048684E-5</v>
      </c>
      <c r="AI80" s="2">
        <f t="shared" si="10"/>
        <v>1.0087145505325297</v>
      </c>
      <c r="AK80" s="2">
        <f t="shared" si="11"/>
        <v>1.0452914629767245</v>
      </c>
      <c r="AM80" s="2">
        <f t="shared" si="12"/>
        <v>1.0787754431745384</v>
      </c>
      <c r="AO80" s="2">
        <f t="shared" si="13"/>
        <v>1.1220410130403076</v>
      </c>
      <c r="AP80" s="2"/>
      <c r="AW80" s="4" t="s">
        <v>50</v>
      </c>
      <c r="AX80" s="4"/>
      <c r="AY80" s="4"/>
      <c r="AZ80" s="4"/>
      <c r="BA80" s="4"/>
      <c r="BB80" s="4"/>
      <c r="BC80" s="4"/>
      <c r="BD80" s="4"/>
    </row>
    <row r="81" spans="4:56" x14ac:dyDescent="0.3">
      <c r="E81" t="s">
        <v>7</v>
      </c>
      <c r="F81">
        <v>20.399999999999999</v>
      </c>
      <c r="G81">
        <v>3.58</v>
      </c>
      <c r="H81">
        <v>3.42</v>
      </c>
      <c r="I81">
        <v>14.88</v>
      </c>
      <c r="J81">
        <v>11.75</v>
      </c>
      <c r="K81">
        <f t="shared" si="0"/>
        <v>6000</v>
      </c>
      <c r="L81">
        <f t="shared" si="1"/>
        <v>3.1300000000000008</v>
      </c>
      <c r="M81">
        <f t="shared" si="2"/>
        <v>3.5</v>
      </c>
      <c r="N81" s="2">
        <f>FiberLength!D45*$C$2*PI()</f>
        <v>3.8704421492226246E-4</v>
      </c>
      <c r="O81" s="2">
        <f t="shared" si="3"/>
        <v>4.8608597559530837</v>
      </c>
      <c r="P81">
        <v>0.17899999999999999</v>
      </c>
      <c r="R81">
        <v>0.69699999999999995</v>
      </c>
      <c r="T81">
        <v>0.89900000000000002</v>
      </c>
      <c r="V81">
        <v>0.99</v>
      </c>
      <c r="X81">
        <v>618</v>
      </c>
      <c r="Y81" s="2">
        <f t="shared" si="4"/>
        <v>0.2167853733374433</v>
      </c>
      <c r="Z81" s="2">
        <f t="shared" si="5"/>
        <v>1.4805184274213077</v>
      </c>
      <c r="AA81" s="2">
        <f t="shared" si="6"/>
        <v>3.1751367209107666E-5</v>
      </c>
      <c r="AC81" s="2">
        <f t="shared" si="7"/>
        <v>2.3204492758181399E-5</v>
      </c>
      <c r="AE81" s="2">
        <f t="shared" si="8"/>
        <v>1.7336330274185464E-5</v>
      </c>
      <c r="AG81" s="2">
        <f t="shared" si="9"/>
        <v>1.2650596577374346E-5</v>
      </c>
      <c r="AI81" s="2">
        <f t="shared" si="10"/>
        <v>1.007950124281304</v>
      </c>
      <c r="AK81" s="2">
        <f t="shared" si="11"/>
        <v>1.0430633075379632</v>
      </c>
      <c r="AM81" s="2">
        <f t="shared" si="12"/>
        <v>1.075932550725696</v>
      </c>
      <c r="AO81" s="2">
        <f t="shared" si="13"/>
        <v>1.1182915144562275</v>
      </c>
      <c r="AP81" s="2"/>
      <c r="AW81" t="s">
        <v>46</v>
      </c>
      <c r="AX81" t="s">
        <v>40</v>
      </c>
      <c r="AY81">
        <v>200</v>
      </c>
      <c r="AZ81">
        <v>400</v>
      </c>
      <c r="BA81">
        <v>600</v>
      </c>
      <c r="BB81">
        <v>1000</v>
      </c>
      <c r="BC81">
        <v>2000</v>
      </c>
      <c r="BD81">
        <v>3000</v>
      </c>
    </row>
    <row r="82" spans="4:56" x14ac:dyDescent="0.3">
      <c r="D82">
        <v>9</v>
      </c>
      <c r="E82" t="s">
        <v>4</v>
      </c>
      <c r="F82">
        <v>20.399999999999999</v>
      </c>
      <c r="G82">
        <v>3.58</v>
      </c>
      <c r="H82">
        <v>3.42</v>
      </c>
      <c r="I82">
        <v>13.85</v>
      </c>
      <c r="J82">
        <v>11.75</v>
      </c>
      <c r="K82">
        <f t="shared" si="0"/>
        <v>6000</v>
      </c>
      <c r="L82">
        <f t="shared" si="1"/>
        <v>2.0999999999999996</v>
      </c>
      <c r="M82">
        <f t="shared" si="2"/>
        <v>3.5</v>
      </c>
      <c r="N82" s="2">
        <f>FiberLength!D46*$C$2*PI()</f>
        <v>3.8924332977977537E-4</v>
      </c>
      <c r="O82" s="2">
        <f t="shared" si="3"/>
        <v>3.24285439937954</v>
      </c>
      <c r="P82">
        <v>0.247</v>
      </c>
      <c r="R82">
        <v>0.93300000000000005</v>
      </c>
      <c r="T82">
        <v>0.99199999999999999</v>
      </c>
      <c r="V82">
        <v>0.998</v>
      </c>
      <c r="X82">
        <v>177</v>
      </c>
      <c r="Y82" s="2">
        <f t="shared" si="4"/>
        <v>0.27400863830007477</v>
      </c>
      <c r="Z82" s="2">
        <f t="shared" si="5"/>
        <v>1.0052272420440485</v>
      </c>
      <c r="AA82" s="2">
        <f t="shared" si="6"/>
        <v>3.1375527770156622E-5</v>
      </c>
      <c r="AC82" s="2">
        <f t="shared" si="7"/>
        <v>2.2838596246777944E-5</v>
      </c>
      <c r="AE82" s="2">
        <f t="shared" si="8"/>
        <v>1.698082882390611E-5</v>
      </c>
      <c r="AG82" s="2">
        <f t="shared" si="9"/>
        <v>1.2307633347152612E-5</v>
      </c>
      <c r="AI82" s="2">
        <f t="shared" si="10"/>
        <v>1.0073009935731547</v>
      </c>
      <c r="AK82" s="2">
        <f t="shared" si="11"/>
        <v>1.0383101148029799</v>
      </c>
      <c r="AM82" s="2">
        <f t="shared" si="12"/>
        <v>1.0555711783983817</v>
      </c>
      <c r="AO82" s="2">
        <f t="shared" si="13"/>
        <v>1.0788115960957658</v>
      </c>
      <c r="AP82" s="2"/>
      <c r="AS82" t="s">
        <v>51</v>
      </c>
      <c r="AT82">
        <v>1</v>
      </c>
      <c r="AW82" s="2">
        <v>1.0000297197368601E-9</v>
      </c>
      <c r="AX82" s="2">
        <v>7.9407186988486296E-10</v>
      </c>
      <c r="AY82" s="2">
        <v>6.0436378896196598E-10</v>
      </c>
      <c r="AZ82" s="2">
        <v>4.4859614497435898E-10</v>
      </c>
      <c r="BA82" s="2">
        <v>3.7682203945105899E-10</v>
      </c>
      <c r="BB82" s="2">
        <v>3.0251111296922297E-10</v>
      </c>
      <c r="BC82" s="2">
        <v>2.2454243879001901E-10</v>
      </c>
      <c r="BD82" s="2">
        <v>1.8861628811590901E-10</v>
      </c>
    </row>
    <row r="83" spans="4:56" x14ac:dyDescent="0.3">
      <c r="E83" t="s">
        <v>5</v>
      </c>
      <c r="F83">
        <v>20.399999999999999</v>
      </c>
      <c r="G83">
        <v>3.58</v>
      </c>
      <c r="H83">
        <v>3.42</v>
      </c>
      <c r="I83">
        <v>13.84</v>
      </c>
      <c r="J83">
        <v>11.83</v>
      </c>
      <c r="K83">
        <f t="shared" si="0"/>
        <v>6000</v>
      </c>
      <c r="L83">
        <f t="shared" si="1"/>
        <v>2.0099999999999998</v>
      </c>
      <c r="M83">
        <f t="shared" si="2"/>
        <v>3.5</v>
      </c>
      <c r="N83" s="2">
        <f>FiberLength!D47*$C$2*PI()</f>
        <v>3.8484510006474965E-4</v>
      </c>
      <c r="O83" s="2">
        <f t="shared" si="3"/>
        <v>3.1393477814075075</v>
      </c>
      <c r="P83">
        <v>0.245</v>
      </c>
      <c r="R83">
        <v>0.93100000000000005</v>
      </c>
      <c r="T83">
        <v>0.995</v>
      </c>
      <c r="V83">
        <v>0.999</v>
      </c>
      <c r="X83">
        <v>178</v>
      </c>
      <c r="Y83" s="2">
        <f t="shared" si="4"/>
        <v>0.27274213060854857</v>
      </c>
      <c r="Z83" s="2">
        <f t="shared" si="5"/>
        <v>0.97276012901921571</v>
      </c>
      <c r="AA83" s="2">
        <f t="shared" si="6"/>
        <v>3.1351071254249095E-5</v>
      </c>
      <c r="AC83" s="2">
        <f t="shared" si="7"/>
        <v>2.2814725681159646E-5</v>
      </c>
      <c r="AE83" s="2">
        <f t="shared" si="8"/>
        <v>1.6957575010127851E-5</v>
      </c>
      <c r="AG83" s="2">
        <f t="shared" si="9"/>
        <v>1.228513177657941E-5</v>
      </c>
      <c r="AI83" s="2">
        <f t="shared" si="10"/>
        <v>1.0070097393492115</v>
      </c>
      <c r="AK83" s="2">
        <f t="shared" si="11"/>
        <v>1.036999584671402</v>
      </c>
      <c r="AM83" s="2">
        <f t="shared" si="12"/>
        <v>1.0539416874385943</v>
      </c>
      <c r="AO83" s="2">
        <f t="shared" si="13"/>
        <v>1.0763306829184844</v>
      </c>
      <c r="AP83" s="2"/>
      <c r="AS83" t="s">
        <v>52</v>
      </c>
      <c r="AT83" s="2">
        <v>1.0016000000000001E-3</v>
      </c>
      <c r="AV83" t="s">
        <v>56</v>
      </c>
      <c r="AW83" s="2">
        <f t="shared" ref="AW83:BD83" si="14">$AT$83/$AT$85/AW82</f>
        <v>1003.366259200179</v>
      </c>
      <c r="AX83" s="2">
        <f t="shared" si="14"/>
        <v>1263.6086442992432</v>
      </c>
      <c r="AY83" s="2">
        <f t="shared" si="14"/>
        <v>1660.2518173777</v>
      </c>
      <c r="AZ83" s="2">
        <f t="shared" si="14"/>
        <v>2236.7469944235236</v>
      </c>
      <c r="BA83" s="2">
        <f t="shared" si="14"/>
        <v>2662.7850123710614</v>
      </c>
      <c r="BB83" s="2">
        <f t="shared" si="14"/>
        <v>3316.8899784632399</v>
      </c>
      <c r="BC83" s="2">
        <f t="shared" si="14"/>
        <v>4468.6255497549982</v>
      </c>
      <c r="BD83" s="2">
        <f t="shared" si="14"/>
        <v>5319.7742835696508</v>
      </c>
    </row>
    <row r="84" spans="4:56" x14ac:dyDescent="0.3">
      <c r="E84" t="s">
        <v>6</v>
      </c>
      <c r="F84">
        <v>20.399999999999999</v>
      </c>
      <c r="G84">
        <v>3.58</v>
      </c>
      <c r="H84">
        <v>3.42</v>
      </c>
      <c r="I84">
        <v>13.98</v>
      </c>
      <c r="J84">
        <v>11.79</v>
      </c>
      <c r="K84">
        <f t="shared" si="0"/>
        <v>6000</v>
      </c>
      <c r="L84">
        <f t="shared" si="1"/>
        <v>2.1900000000000013</v>
      </c>
      <c r="M84">
        <f t="shared" si="2"/>
        <v>3.5</v>
      </c>
      <c r="N84" s="2">
        <f>FiberLength!D48*$C$2*PI()</f>
        <v>3.9364155949480104E-4</v>
      </c>
      <c r="O84" s="2">
        <f t="shared" si="3"/>
        <v>3.3440480203019205</v>
      </c>
      <c r="P84">
        <v>0.247</v>
      </c>
      <c r="R84">
        <v>0.93200000000000005</v>
      </c>
      <c r="T84">
        <v>0.99</v>
      </c>
      <c r="V84">
        <v>0.999</v>
      </c>
      <c r="X84">
        <v>177</v>
      </c>
      <c r="Y84" s="2">
        <f t="shared" si="4"/>
        <v>0.27414731003761228</v>
      </c>
      <c r="Z84" s="2">
        <f t="shared" si="5"/>
        <v>1.0366400272111962</v>
      </c>
      <c r="AA84" s="2">
        <f t="shared" si="6"/>
        <v>3.1399385348757246E-5</v>
      </c>
      <c r="AC84" s="2">
        <f t="shared" si="7"/>
        <v>2.2861874440173398E-5</v>
      </c>
      <c r="AE84" s="2">
        <f t="shared" si="8"/>
        <v>1.7003497625367985E-5</v>
      </c>
      <c r="AG84" s="2">
        <f t="shared" si="9"/>
        <v>1.2329559782811698E-5</v>
      </c>
      <c r="AI84" s="2">
        <f t="shared" si="10"/>
        <v>1.0075298724136239</v>
      </c>
      <c r="AK84" s="2">
        <f t="shared" si="11"/>
        <v>1.0394719360416225</v>
      </c>
      <c r="AM84" s="2">
        <f t="shared" si="12"/>
        <v>1.0572091043564111</v>
      </c>
      <c r="AO84" s="2">
        <f t="shared" si="13"/>
        <v>1.0813964739455635</v>
      </c>
      <c r="AP84" s="2"/>
      <c r="AS84" t="s">
        <v>53</v>
      </c>
      <c r="AT84" s="2">
        <v>3.5E-4</v>
      </c>
      <c r="AV84" t="s">
        <v>57</v>
      </c>
      <c r="AW84" s="2">
        <f t="shared" ref="AW84:BD84" si="15">1.62*($AT$86*AW83*2*$AT$84/0.18)^(1/3)-1.2-0.28*($AT$86*AW83*2*$AT$84/0.18)^(-1/3)</f>
        <v>21.399563095054987</v>
      </c>
      <c r="AX84" s="2">
        <f t="shared" si="15"/>
        <v>23.208400551499334</v>
      </c>
      <c r="AY84" s="2">
        <f t="shared" si="15"/>
        <v>25.537128025725949</v>
      </c>
      <c r="AZ84" s="2">
        <f t="shared" si="15"/>
        <v>28.333302442112647</v>
      </c>
      <c r="BA84" s="2">
        <f t="shared" si="15"/>
        <v>30.102320247202481</v>
      </c>
      <c r="BB84" s="2">
        <f t="shared" si="15"/>
        <v>32.482337600629563</v>
      </c>
      <c r="BC84" s="2">
        <f t="shared" si="15"/>
        <v>36.003271773163483</v>
      </c>
      <c r="BD84" s="2">
        <f t="shared" si="15"/>
        <v>38.230882282827146</v>
      </c>
    </row>
    <row r="85" spans="4:56" x14ac:dyDescent="0.3">
      <c r="E85" t="s">
        <v>7</v>
      </c>
      <c r="F85">
        <v>20.399999999999999</v>
      </c>
      <c r="G85">
        <v>3.58</v>
      </c>
      <c r="H85">
        <v>3.42</v>
      </c>
      <c r="I85">
        <v>14.17</v>
      </c>
      <c r="J85">
        <v>11.75</v>
      </c>
      <c r="K85">
        <f t="shared" si="0"/>
        <v>6000</v>
      </c>
      <c r="L85">
        <f t="shared" si="1"/>
        <v>2.42</v>
      </c>
      <c r="M85">
        <f t="shared" si="2"/>
        <v>3.5</v>
      </c>
      <c r="N85" s="2">
        <f>FiberLength!D49*$C$2*PI()</f>
        <v>3.9144244463728818E-4</v>
      </c>
      <c r="O85" s="2">
        <f>L85/N85/K85*60*60/$C$4</f>
        <v>3.7160092387111621</v>
      </c>
      <c r="P85">
        <v>0.24</v>
      </c>
      <c r="R85">
        <v>0.90300000000000002</v>
      </c>
      <c r="T85">
        <v>0.96099999999999997</v>
      </c>
      <c r="V85">
        <v>0.97899999999999998</v>
      </c>
      <c r="X85">
        <v>192</v>
      </c>
      <c r="Y85" s="2">
        <f>8.314*293.15*1000*(1/62*(P85+AI85-1)+1/200*(R85+AK85-1)+1/600*(T85+AM85-1)+1/2000*(V85+AO85-1))/10^5</f>
        <v>0.2673271041149774</v>
      </c>
      <c r="Z85" s="2">
        <f t="shared" si="5"/>
        <v>1.1495160068441799</v>
      </c>
      <c r="AA85" s="2">
        <f t="shared" si="6"/>
        <v>3.148664996120989E-5</v>
      </c>
      <c r="AC85" s="2">
        <f t="shared" si="7"/>
        <v>2.2946956430122184E-5</v>
      </c>
      <c r="AE85" s="2">
        <f t="shared" si="8"/>
        <v>1.7086287985087084E-5</v>
      </c>
      <c r="AG85" s="2">
        <f t="shared" si="9"/>
        <v>1.2409566525829845E-5</v>
      </c>
      <c r="AI85" s="2">
        <f t="shared" si="10"/>
        <v>1.0081345797151888</v>
      </c>
      <c r="AK85" s="2">
        <f t="shared" si="11"/>
        <v>1.0425329864534767</v>
      </c>
      <c r="AM85" s="2">
        <f t="shared" si="12"/>
        <v>1.0617892186939293</v>
      </c>
      <c r="AO85" s="2">
        <f t="shared" si="13"/>
        <v>1.0888211052550874</v>
      </c>
      <c r="AP85" s="2"/>
      <c r="AS85" t="s">
        <v>54</v>
      </c>
      <c r="AT85">
        <v>998.21</v>
      </c>
      <c r="AV85" t="s">
        <v>58</v>
      </c>
      <c r="AW85" s="2">
        <f t="shared" ref="AW85:BD85" si="16">AW84/(2*$AT$84/AW82)</f>
        <v>3.0571712977770135E-5</v>
      </c>
      <c r="AX85" s="2">
        <f t="shared" si="16"/>
        <v>2.6327340032808517E-5</v>
      </c>
      <c r="AY85" s="2">
        <f t="shared" si="16"/>
        <v>2.204816493262078E-5</v>
      </c>
      <c r="AZ85" s="2">
        <f t="shared" si="16"/>
        <v>1.8157443214177608E-5</v>
      </c>
      <c r="BA85" s="2">
        <f t="shared" si="16"/>
        <v>1.6204596725371064E-5</v>
      </c>
      <c r="BB85" s="2">
        <f t="shared" si="16"/>
        <v>1.403752585629784E-5</v>
      </c>
      <c r="BC85" s="2">
        <f t="shared" si="16"/>
        <v>1.1548946354808544E-5</v>
      </c>
      <c r="BD85" s="2">
        <f t="shared" si="16"/>
        <v>1.0301381582261609E-5</v>
      </c>
    </row>
    <row r="86" spans="4:56" x14ac:dyDescent="0.3">
      <c r="D86">
        <v>3</v>
      </c>
      <c r="E86" t="s">
        <v>4</v>
      </c>
      <c r="F86">
        <v>20.100000000000001</v>
      </c>
      <c r="G86">
        <v>5.07</v>
      </c>
      <c r="H86">
        <v>4.93</v>
      </c>
      <c r="I86">
        <v>16.82</v>
      </c>
      <c r="J86">
        <v>12.48</v>
      </c>
      <c r="K86">
        <f>40*60</f>
        <v>2400</v>
      </c>
      <c r="L86">
        <f t="shared" si="1"/>
        <v>4.34</v>
      </c>
      <c r="M86">
        <f>(G86+H86)/2</f>
        <v>5</v>
      </c>
      <c r="N86" s="2">
        <f>FiberLength!D34*$C$2*PI()</f>
        <v>3.9584067435231396E-4</v>
      </c>
      <c r="O86" s="2">
        <f t="shared" ref="O86:O149" si="17">L86/N86/K86*60*60/$C$4</f>
        <v>16.475501934625498</v>
      </c>
      <c r="P86">
        <v>0.108</v>
      </c>
      <c r="R86">
        <v>0.44740000000000002</v>
      </c>
      <c r="T86">
        <v>0.76129999999999998</v>
      </c>
      <c r="V86">
        <v>0.89790000000000003</v>
      </c>
      <c r="Y86" s="2">
        <f>8.314*293.15*1000*(1/62*(P86+AI86-1)+1/200*(R86+AK86-1)+1/600*(T86+AM86-1)+1/2000*(V86+AO86-1))/10^5</f>
        <v>0.1715476391473475</v>
      </c>
      <c r="Z86" s="2">
        <f>O86/(M86-Y86)</f>
        <v>3.4121703401700549</v>
      </c>
      <c r="AA86" s="2">
        <f>(($O86/1000/60/60/$AW$85)+(1+0.26*($O86/1000/60/60/$AW$85)^(1.4))^(-1.7))*$AW$85</f>
        <v>3.4224657101419172E-5</v>
      </c>
      <c r="AC86" s="2">
        <f>(($O86/1000/60/60/$AY$85)+(1+0.26*($O86/1000/60/60/$AY$85)^(1.4))^(-1.7))*$AY$85</f>
        <v>2.5586640631452206E-5</v>
      </c>
      <c r="AE86" s="2">
        <f>(($O86/1000/60/60/$BA$85)+(1+0.26*($O86/1000/60/60/$BA$85)^(1.4))^(-1.7))*$BA$85</f>
        <v>1.963038401389357E-5</v>
      </c>
      <c r="AG86" s="2">
        <f>(($O86/1000/60/60/$BC$85)+(1+0.26*($O86/1000/60/60/$BC$85)^(1.4))^(-1.7))*$BC$85</f>
        <v>1.4851911466604754E-5</v>
      </c>
      <c r="AI86" s="2">
        <f>(AA86/($O86/1000/60/60)+P86-1)/(AA86/($O86/1000/60/60)-1)</f>
        <v>1.0166710372044818</v>
      </c>
      <c r="AK86" s="2">
        <f>(AC86/($O86/1000/60/60)+R86-1)/(AC86/($O86/1000/60/60)-1)</f>
        <v>1.0974549177741577</v>
      </c>
      <c r="AM86" s="2">
        <f>(AE86/($O86/1000/60/60)+T86-1)/(AE86/($O86/1000/60/60)-1)</f>
        <v>1.2314430984374365</v>
      </c>
      <c r="AO86" s="2">
        <f>(AG86/($O86/1000/60/60)+V86-1)/(AG86/($O86/1000/60/60)-1)</f>
        <v>1.399913532530632</v>
      </c>
      <c r="AS86" t="s">
        <v>55</v>
      </c>
      <c r="AT86" s="2">
        <f>AT85*2*AT84*AT82/AT83</f>
        <v>697.63079073482425</v>
      </c>
    </row>
    <row r="87" spans="4:56" x14ac:dyDescent="0.3">
      <c r="E87" t="s">
        <v>5</v>
      </c>
      <c r="F87">
        <v>20.100000000000001</v>
      </c>
      <c r="G87">
        <v>5.07</v>
      </c>
      <c r="H87">
        <v>4.93</v>
      </c>
      <c r="I87">
        <v>16.78</v>
      </c>
      <c r="J87">
        <v>11.75</v>
      </c>
      <c r="K87">
        <f t="shared" ref="K87:K89" si="18">40*60</f>
        <v>2400</v>
      </c>
      <c r="L87">
        <f t="shared" si="1"/>
        <v>5.0300000000000011</v>
      </c>
      <c r="M87">
        <f t="shared" si="2"/>
        <v>5</v>
      </c>
      <c r="N87" s="2">
        <f>FiberLength!D35*$C$2*PI()</f>
        <v>3.9584067435231396E-4</v>
      </c>
      <c r="O87" s="2">
        <f t="shared" si="17"/>
        <v>19.094878970314806</v>
      </c>
      <c r="P87">
        <v>9.7000000000000003E-2</v>
      </c>
      <c r="R87">
        <v>0.40639999999999998</v>
      </c>
      <c r="T87">
        <v>0.73699999999999999</v>
      </c>
      <c r="V87">
        <v>0.88719999999999999</v>
      </c>
      <c r="Y87" s="2">
        <f t="shared" ref="Y87:Y100" si="19">8.314*293.15*1000*(1/62*(P87+AI87-1)+1/200*(R87+AK87-1)+1/600*(T87+AM87-1)+1/2000*(V87+AO87-1))/10^5</f>
        <v>0.16436392209378475</v>
      </c>
      <c r="Z87" s="2">
        <f t="shared" ref="Z87:Z100" si="20">O87/(M87-Y87)</f>
        <v>3.9487832960710949</v>
      </c>
      <c r="AA87" s="2">
        <f t="shared" ref="AA87:AA96" si="21">(($O87/1000/60/60/$AW$85)+(1+0.26*($O87/1000/60/60/$AW$85)^(1.4))^(-1.7))*$AW$85</f>
        <v>3.4746593907316232E-5</v>
      </c>
      <c r="AC87" s="2">
        <f t="shared" ref="AC87:AC96" si="22">(($O87/1000/60/60/$AY$85)+(1+0.26*($O87/1000/60/60/$AY$85)^(1.4))^(-1.7))*$AY$85</f>
        <v>2.6087001749987036E-5</v>
      </c>
      <c r="AE87" s="2">
        <f t="shared" ref="AE87:AE96" si="23">(($O87/1000/60/60/$BA$85)+(1+0.26*($O87/1000/60/60/$BA$85)^(1.4))^(-1.7))*$BA$85</f>
        <v>2.0112225708156683E-5</v>
      </c>
      <c r="AG87" s="2">
        <f t="shared" ref="AG87:AG96" si="24">(($O87/1000/60/60/$BC$85)+(1+0.26*($O87/1000/60/60/$BC$85)^(1.4))^(-1.7))*$BC$85</f>
        <v>1.5318671004858903E-5</v>
      </c>
      <c r="AI87" s="2">
        <f t="shared" ref="AI87:AI96" si="25">(AA87/($O87/1000/60/60)+P87-1)/(AA87/($O87/1000/60/60)-1)</f>
        <v>1.0174747928862127</v>
      </c>
      <c r="AK87" s="2">
        <f t="shared" ref="AK87:AK96" si="26">(AC87/($O87/1000/60/60)+R87-1)/(AC87/($O87/1000/60/60)-1)</f>
        <v>1.1037200254336856</v>
      </c>
      <c r="AM87" s="2">
        <f t="shared" ref="AM87:AM96" si="27">(AE87/($O87/1000/60/60)+T87-1)/(AE87/($O87/1000/60/60)-1)</f>
        <v>1.2639871417203588</v>
      </c>
      <c r="AO87" s="2">
        <f t="shared" ref="AO87:AO96" si="28">(AG87/($O87/1000/60/60)+V87-1)/(AG87/($O87/1000/60/60)-1)</f>
        <v>1.46989954599211</v>
      </c>
    </row>
    <row r="88" spans="4:56" x14ac:dyDescent="0.3">
      <c r="E88" t="s">
        <v>6</v>
      </c>
      <c r="F88">
        <v>20.100000000000001</v>
      </c>
      <c r="G88">
        <v>5.07</v>
      </c>
      <c r="H88">
        <v>4.93</v>
      </c>
      <c r="I88">
        <v>16.600000000000001</v>
      </c>
      <c r="J88">
        <v>11.72</v>
      </c>
      <c r="K88">
        <f t="shared" si="18"/>
        <v>2400</v>
      </c>
      <c r="L88">
        <f t="shared" si="1"/>
        <v>4.8800000000000008</v>
      </c>
      <c r="M88">
        <f t="shared" si="2"/>
        <v>5</v>
      </c>
      <c r="N88" s="2">
        <f>FiberLength!D36*$C$2*PI()</f>
        <v>3.9364155949480104E-4</v>
      </c>
      <c r="O88" s="2">
        <f t="shared" si="17"/>
        <v>18.62894330944448</v>
      </c>
      <c r="P88">
        <v>0.1</v>
      </c>
      <c r="R88">
        <v>0.43359999999999999</v>
      </c>
      <c r="T88">
        <v>0.75560000000000005</v>
      </c>
      <c r="V88">
        <v>0.89759999999999995</v>
      </c>
      <c r="Y88" s="2">
        <f t="shared" si="19"/>
        <v>0.17013190921282145</v>
      </c>
      <c r="Z88" s="2">
        <f t="shared" si="20"/>
        <v>3.8570294176312192</v>
      </c>
      <c r="AA88" s="2">
        <f t="shared" si="21"/>
        <v>3.4654460761960728E-5</v>
      </c>
      <c r="AC88" s="2">
        <f t="shared" si="22"/>
        <v>2.5998676108593175E-5</v>
      </c>
      <c r="AE88" s="2">
        <f t="shared" si="23"/>
        <v>2.0027088255151247E-5</v>
      </c>
      <c r="AG88" s="2">
        <f t="shared" si="24"/>
        <v>1.5235968764220686E-5</v>
      </c>
      <c r="AI88" s="2">
        <f t="shared" si="25"/>
        <v>1.0175534247146267</v>
      </c>
      <c r="AK88" s="2">
        <f t="shared" si="26"/>
        <v>1.1077485593264047</v>
      </c>
      <c r="AM88" s="2">
        <f t="shared" si="27"/>
        <v>1.2632579925718126</v>
      </c>
      <c r="AO88" s="2">
        <f t="shared" si="28"/>
        <v>1.4616534584061645</v>
      </c>
    </row>
    <row r="89" spans="4:56" x14ac:dyDescent="0.3">
      <c r="E89" t="s">
        <v>7</v>
      </c>
      <c r="F89">
        <v>20.100000000000001</v>
      </c>
      <c r="G89">
        <v>5.07</v>
      </c>
      <c r="H89">
        <v>4.93</v>
      </c>
      <c r="I89">
        <v>16.170000000000002</v>
      </c>
      <c r="J89">
        <v>11.77</v>
      </c>
      <c r="K89">
        <f t="shared" si="18"/>
        <v>2400</v>
      </c>
      <c r="L89">
        <f t="shared" si="1"/>
        <v>4.4000000000000021</v>
      </c>
      <c r="M89">
        <f t="shared" si="2"/>
        <v>5</v>
      </c>
      <c r="N89" s="2">
        <f>FiberLength!D37*$C$2*PI()</f>
        <v>3.9364155949480104E-4</v>
      </c>
      <c r="O89" s="2">
        <f t="shared" si="17"/>
        <v>16.796588229826998</v>
      </c>
      <c r="P89">
        <v>0.10299999999999999</v>
      </c>
      <c r="R89">
        <v>0.43919999999999998</v>
      </c>
      <c r="T89">
        <v>0.76910000000000001</v>
      </c>
      <c r="V89">
        <v>0.90359999999999996</v>
      </c>
      <c r="Y89" s="2">
        <f t="shared" si="19"/>
        <v>0.16926042313977741</v>
      </c>
      <c r="Z89" s="2">
        <f t="shared" si="20"/>
        <v>3.4770220920797539</v>
      </c>
      <c r="AA89" s="2">
        <f t="shared" si="21"/>
        <v>3.4289176398862487E-5</v>
      </c>
      <c r="AC89" s="2">
        <f t="shared" si="22"/>
        <v>2.5648497159455228E-5</v>
      </c>
      <c r="AE89" s="2">
        <f t="shared" si="23"/>
        <v>1.968989746203025E-5</v>
      </c>
      <c r="AG89" s="2">
        <f t="shared" si="24"/>
        <v>1.4909399822959243E-5</v>
      </c>
      <c r="AI89" s="2">
        <f t="shared" si="25"/>
        <v>1.0162225848554318</v>
      </c>
      <c r="AK89" s="2">
        <f t="shared" si="26"/>
        <v>1.0976602690001307</v>
      </c>
      <c r="AM89" s="2">
        <f t="shared" si="27"/>
        <v>1.2388419735776617</v>
      </c>
      <c r="AO89" s="2">
        <f t="shared" si="28"/>
        <v>1.4115653053912554</v>
      </c>
    </row>
    <row r="90" spans="4:56" x14ac:dyDescent="0.3">
      <c r="D90">
        <v>5</v>
      </c>
      <c r="E90" t="s">
        <v>4</v>
      </c>
      <c r="F90">
        <v>20.100000000000001</v>
      </c>
      <c r="G90">
        <v>5.07</v>
      </c>
      <c r="H90">
        <v>4.93</v>
      </c>
      <c r="I90">
        <v>14.51</v>
      </c>
      <c r="J90">
        <v>11.72</v>
      </c>
      <c r="K90">
        <v>2400</v>
      </c>
      <c r="L90">
        <f t="shared" si="1"/>
        <v>2.7899999999999991</v>
      </c>
      <c r="M90">
        <f t="shared" si="2"/>
        <v>5</v>
      </c>
      <c r="N90" s="2">
        <f>FiberLength!D38*$C$2*PI()</f>
        <v>3.8264598520723679E-4</v>
      </c>
      <c r="O90" s="2">
        <f t="shared" si="17"/>
        <v>10.956614587066214</v>
      </c>
      <c r="P90">
        <v>0.18</v>
      </c>
      <c r="R90">
        <v>0.60440000000000005</v>
      </c>
      <c r="T90">
        <v>0.873</v>
      </c>
      <c r="V90">
        <v>0.96660000000000001</v>
      </c>
      <c r="X90">
        <v>1022</v>
      </c>
      <c r="Y90" s="2">
        <f t="shared" si="19"/>
        <v>0.2195365370094389</v>
      </c>
      <c r="Z90" s="2">
        <f t="shared" si="20"/>
        <v>2.2919565585827066</v>
      </c>
      <c r="AA90" s="2">
        <f t="shared" si="21"/>
        <v>3.3087961076460335E-5</v>
      </c>
      <c r="AC90" s="2">
        <f t="shared" si="22"/>
        <v>2.4495523537807252E-5</v>
      </c>
      <c r="AE90" s="2">
        <f t="shared" si="23"/>
        <v>1.8581562024046704E-5</v>
      </c>
      <c r="AG90" s="2">
        <f t="shared" si="24"/>
        <v>1.3844145248855895E-5</v>
      </c>
      <c r="AI90" s="2">
        <f t="shared" si="25"/>
        <v>1.0182340033273567</v>
      </c>
      <c r="AK90" s="2">
        <f t="shared" si="26"/>
        <v>1.0857492158358411</v>
      </c>
      <c r="AM90" s="2">
        <f t="shared" si="27"/>
        <v>1.1709981416041286</v>
      </c>
      <c r="AO90" s="2">
        <f t="shared" si="28"/>
        <v>1.2723774415794442</v>
      </c>
    </row>
    <row r="91" spans="4:56" x14ac:dyDescent="0.3">
      <c r="E91" t="s">
        <v>5</v>
      </c>
      <c r="F91">
        <v>20.100000000000001</v>
      </c>
      <c r="G91">
        <v>5.07</v>
      </c>
      <c r="H91">
        <v>4.93</v>
      </c>
      <c r="I91">
        <v>14.59</v>
      </c>
      <c r="J91">
        <v>11.79</v>
      </c>
      <c r="K91">
        <v>2400</v>
      </c>
      <c r="L91">
        <f t="shared" si="1"/>
        <v>2.8000000000000007</v>
      </c>
      <c r="M91">
        <f t="shared" si="2"/>
        <v>5</v>
      </c>
      <c r="N91" s="2">
        <f>FiberLength!D39*$C$2*PI()</f>
        <v>3.7824775549221107E-4</v>
      </c>
      <c r="O91" s="2">
        <f t="shared" si="17"/>
        <v>11.123744742057729</v>
      </c>
      <c r="P91">
        <v>0.17399999999999999</v>
      </c>
      <c r="R91">
        <v>0.60070000000000001</v>
      </c>
      <c r="T91">
        <v>0.87480000000000002</v>
      </c>
      <c r="V91">
        <v>0.96830000000000005</v>
      </c>
      <c r="X91">
        <v>1032</v>
      </c>
      <c r="Y91" s="2">
        <f t="shared" si="19"/>
        <v>0.21697890126679081</v>
      </c>
      <c r="Z91" s="2">
        <f t="shared" si="20"/>
        <v>2.3256733584143863</v>
      </c>
      <c r="AA91" s="2">
        <f t="shared" si="21"/>
        <v>3.3123250470133228E-5</v>
      </c>
      <c r="AC91" s="2">
        <f t="shared" si="22"/>
        <v>2.452945995964507E-5</v>
      </c>
      <c r="AE91" s="2">
        <f t="shared" si="23"/>
        <v>1.8614188384942064E-5</v>
      </c>
      <c r="AG91" s="2">
        <f t="shared" si="24"/>
        <v>1.3875390603551269E-5</v>
      </c>
      <c r="AI91" s="2">
        <f t="shared" si="25"/>
        <v>1.0179017051033934</v>
      </c>
      <c r="AK91" s="2">
        <f t="shared" si="26"/>
        <v>1.0865746745624161</v>
      </c>
      <c r="AM91" s="2">
        <f t="shared" si="27"/>
        <v>1.1741190946272135</v>
      </c>
      <c r="AO91" s="2">
        <f t="shared" si="28"/>
        <v>1.2774084669753152</v>
      </c>
    </row>
    <row r="92" spans="4:56" x14ac:dyDescent="0.3">
      <c r="E92" t="s">
        <v>6</v>
      </c>
      <c r="F92">
        <v>20.100000000000001</v>
      </c>
      <c r="G92">
        <v>5.07</v>
      </c>
      <c r="H92">
        <v>4.93</v>
      </c>
      <c r="I92">
        <v>14.89</v>
      </c>
      <c r="J92">
        <v>11.75</v>
      </c>
      <c r="K92">
        <v>2400</v>
      </c>
      <c r="L92">
        <f t="shared" si="1"/>
        <v>3.1400000000000006</v>
      </c>
      <c r="M92">
        <f t="shared" si="2"/>
        <v>5</v>
      </c>
      <c r="N92" s="2">
        <f>FiberLength!D40*$C$2*PI()</f>
        <v>3.8704421492226246E-4</v>
      </c>
      <c r="O92" s="2">
        <f t="shared" si="17"/>
        <v>12.190974148316837</v>
      </c>
      <c r="P92">
        <v>0.17399999999999999</v>
      </c>
      <c r="R92">
        <v>0.58209999999999995</v>
      </c>
      <c r="T92">
        <v>0.85919999999999996</v>
      </c>
      <c r="V92">
        <v>0.95479999999999998</v>
      </c>
      <c r="X92">
        <v>1082</v>
      </c>
      <c r="Y92" s="2">
        <f t="shared" si="19"/>
        <v>0.21619547165664324</v>
      </c>
      <c r="Z92" s="2">
        <f t="shared" si="20"/>
        <v>2.5483846750190273</v>
      </c>
      <c r="AA92" s="2">
        <f t="shared" si="21"/>
        <v>3.3347197521230022E-5</v>
      </c>
      <c r="AC92" s="2">
        <f t="shared" si="22"/>
        <v>2.4744700216857393E-5</v>
      </c>
      <c r="AE92" s="2">
        <f t="shared" si="23"/>
        <v>1.8821072935173182E-5</v>
      </c>
      <c r="AG92" s="2">
        <f t="shared" si="24"/>
        <v>1.4073614035526141E-5</v>
      </c>
      <c r="AI92" s="2">
        <f t="shared" si="25"/>
        <v>1.0196667013621776</v>
      </c>
      <c r="AK92" s="2">
        <f t="shared" si="26"/>
        <v>1.0922925084818271</v>
      </c>
      <c r="AM92" s="2">
        <f t="shared" si="27"/>
        <v>1.1885090618625784</v>
      </c>
      <c r="AO92" s="2">
        <f t="shared" si="28"/>
        <v>1.3025401858535333</v>
      </c>
    </row>
    <row r="93" spans="4:56" x14ac:dyDescent="0.3">
      <c r="E93" t="s">
        <v>7</v>
      </c>
      <c r="F93">
        <v>20.100000000000001</v>
      </c>
      <c r="G93">
        <v>5.07</v>
      </c>
      <c r="H93">
        <v>4.93</v>
      </c>
      <c r="I93">
        <v>15.22</v>
      </c>
      <c r="J93">
        <v>11.75</v>
      </c>
      <c r="K93">
        <v>2400</v>
      </c>
      <c r="L93">
        <f t="shared" si="1"/>
        <v>3.4700000000000006</v>
      </c>
      <c r="M93">
        <f t="shared" si="2"/>
        <v>5</v>
      </c>
      <c r="N93" s="2">
        <f>FiberLength!D41*$C$2*PI()</f>
        <v>3.9144244463728818E-4</v>
      </c>
      <c r="O93" s="2">
        <f t="shared" si="17"/>
        <v>13.320818242074107</v>
      </c>
      <c r="P93">
        <v>0.15</v>
      </c>
      <c r="R93">
        <v>0.50290000000000001</v>
      </c>
      <c r="T93">
        <v>0.75409999999999999</v>
      </c>
      <c r="V93">
        <v>0.84209999999999996</v>
      </c>
      <c r="Y93" s="2">
        <f t="shared" si="19"/>
        <v>0.19008659047891369</v>
      </c>
      <c r="Z93" s="2">
        <f t="shared" si="20"/>
        <v>2.7694507380748119</v>
      </c>
      <c r="AA93" s="2">
        <f t="shared" si="21"/>
        <v>3.3581787206717085E-5</v>
      </c>
      <c r="AC93" s="2">
        <f t="shared" si="22"/>
        <v>2.4969975625353141E-5</v>
      </c>
      <c r="AE93" s="2">
        <f t="shared" si="23"/>
        <v>1.903755803734713E-5</v>
      </c>
      <c r="AG93" s="2">
        <f t="shared" si="24"/>
        <v>1.4281278075126806E-5</v>
      </c>
      <c r="AI93" s="2">
        <f t="shared" si="25"/>
        <v>1.0185744685001972</v>
      </c>
      <c r="AK93" s="2">
        <f t="shared" si="26"/>
        <v>1.0874878383366762</v>
      </c>
      <c r="AM93" s="2">
        <f t="shared" si="27"/>
        <v>1.181931357212916</v>
      </c>
      <c r="AO93" s="2">
        <f t="shared" si="28"/>
        <v>1.2944850623608095</v>
      </c>
    </row>
    <row r="94" spans="4:56" x14ac:dyDescent="0.3">
      <c r="D94">
        <v>7</v>
      </c>
      <c r="E94" t="s">
        <v>4</v>
      </c>
      <c r="F94">
        <v>20.100000000000001</v>
      </c>
      <c r="G94">
        <v>5.07</v>
      </c>
      <c r="H94">
        <v>4.93</v>
      </c>
      <c r="I94">
        <v>13.83</v>
      </c>
      <c r="J94">
        <v>11.83</v>
      </c>
      <c r="K94">
        <v>2400</v>
      </c>
      <c r="L94">
        <f t="shared" si="1"/>
        <v>2</v>
      </c>
      <c r="M94">
        <f t="shared" si="2"/>
        <v>5</v>
      </c>
      <c r="N94" s="2">
        <f>FiberLength!D42*$C$2*PI()</f>
        <v>3.8924332977977537E-4</v>
      </c>
      <c r="O94" s="2">
        <f t="shared" si="17"/>
        <v>7.7210819032846203</v>
      </c>
      <c r="P94">
        <v>0.30099999999999999</v>
      </c>
      <c r="R94">
        <v>0.79669999999999996</v>
      </c>
      <c r="T94">
        <v>0.94340000000000002</v>
      </c>
      <c r="V94">
        <v>0.98140000000000005</v>
      </c>
      <c r="X94">
        <v>366</v>
      </c>
      <c r="Y94" s="2">
        <f t="shared" si="19"/>
        <v>0.2912080676163083</v>
      </c>
      <c r="Z94" s="2">
        <f t="shared" si="20"/>
        <v>1.6397160915487814</v>
      </c>
      <c r="AA94" s="2">
        <f t="shared" si="21"/>
        <v>3.2391715843379624E-5</v>
      </c>
      <c r="AC94" s="2">
        <f t="shared" si="22"/>
        <v>2.3824617282460035E-5</v>
      </c>
      <c r="AE94" s="2">
        <f t="shared" si="23"/>
        <v>1.793573854031247E-5</v>
      </c>
      <c r="AG94" s="2">
        <f t="shared" si="24"/>
        <v>1.3225859269580927E-5</v>
      </c>
      <c r="AI94" s="2">
        <f t="shared" si="25"/>
        <v>1.0213432359783368</v>
      </c>
      <c r="AK94" s="2">
        <f t="shared" si="26"/>
        <v>1.0788158848777609</v>
      </c>
      <c r="AM94" s="2">
        <f t="shared" si="27"/>
        <v>1.1281333184671045</v>
      </c>
      <c r="AO94" s="2">
        <f t="shared" si="28"/>
        <v>1.1899495538376799</v>
      </c>
    </row>
    <row r="95" spans="4:56" x14ac:dyDescent="0.3">
      <c r="E95" t="s">
        <v>5</v>
      </c>
      <c r="F95">
        <v>20.100000000000001</v>
      </c>
      <c r="G95">
        <v>5.07</v>
      </c>
      <c r="H95">
        <v>4.93</v>
      </c>
      <c r="I95">
        <v>13.73</v>
      </c>
      <c r="J95">
        <v>11.79</v>
      </c>
      <c r="K95">
        <v>2400</v>
      </c>
      <c r="L95">
        <f t="shared" si="1"/>
        <v>1.9400000000000013</v>
      </c>
      <c r="M95">
        <f t="shared" si="2"/>
        <v>5</v>
      </c>
      <c r="N95" s="2">
        <f>FiberLength!D43*$C$2*PI()</f>
        <v>3.8484510006474965E-4</v>
      </c>
      <c r="O95" s="2">
        <f t="shared" si="17"/>
        <v>7.575043154142497</v>
      </c>
      <c r="P95">
        <v>0.313</v>
      </c>
      <c r="R95">
        <v>0.82820000000000005</v>
      </c>
      <c r="T95">
        <v>0.95120000000000005</v>
      </c>
      <c r="V95">
        <v>0.98</v>
      </c>
      <c r="X95">
        <v>327</v>
      </c>
      <c r="Y95" s="2">
        <f t="shared" si="19"/>
        <v>0.30030823467302731</v>
      </c>
      <c r="Z95" s="2">
        <f t="shared" si="20"/>
        <v>1.6118170153262117</v>
      </c>
      <c r="AA95" s="2">
        <f t="shared" si="21"/>
        <v>3.2359645568989941E-5</v>
      </c>
      <c r="AC95" s="2">
        <f t="shared" si="22"/>
        <v>2.3793640515646375E-5</v>
      </c>
      <c r="AE95" s="2">
        <f t="shared" si="23"/>
        <v>1.7905866664166335E-5</v>
      </c>
      <c r="AG95" s="2">
        <f t="shared" si="24"/>
        <v>1.3197245092502541E-5</v>
      </c>
      <c r="AI95" s="2">
        <f t="shared" si="25"/>
        <v>1.0217682285495238</v>
      </c>
      <c r="AK95" s="2">
        <f t="shared" si="26"/>
        <v>1.0803468879170031</v>
      </c>
      <c r="AM95" s="2">
        <f t="shared" si="27"/>
        <v>1.1266633497838965</v>
      </c>
      <c r="AO95" s="2">
        <f t="shared" si="28"/>
        <v>1.1858904471787306</v>
      </c>
    </row>
    <row r="96" spans="4:56" x14ac:dyDescent="0.3">
      <c r="E96" t="s">
        <v>6</v>
      </c>
      <c r="F96">
        <v>20.100000000000001</v>
      </c>
      <c r="G96">
        <v>5.07</v>
      </c>
      <c r="H96">
        <v>4.93</v>
      </c>
      <c r="I96">
        <v>13.68</v>
      </c>
      <c r="J96">
        <v>11.75</v>
      </c>
      <c r="K96">
        <v>2400</v>
      </c>
      <c r="L96">
        <f t="shared" si="1"/>
        <v>1.9299999999999997</v>
      </c>
      <c r="M96">
        <f t="shared" si="2"/>
        <v>5</v>
      </c>
      <c r="N96" s="2">
        <f>FiberLength!D44*$C$2*PI()</f>
        <v>3.8484510006474965E-4</v>
      </c>
      <c r="O96" s="2">
        <f t="shared" si="17"/>
        <v>7.5359965399458808</v>
      </c>
      <c r="P96">
        <v>0.32500000000000001</v>
      </c>
      <c r="R96">
        <v>0.82540000000000002</v>
      </c>
      <c r="T96">
        <v>0.94979999999999998</v>
      </c>
      <c r="V96">
        <v>0.98209999999999997</v>
      </c>
      <c r="X96">
        <v>337</v>
      </c>
      <c r="Y96" s="2">
        <f t="shared" si="19"/>
        <v>0.30480759196731927</v>
      </c>
      <c r="Z96" s="2">
        <f t="shared" si="20"/>
        <v>1.6050453069938229</v>
      </c>
      <c r="AA96" s="2">
        <f t="shared" si="21"/>
        <v>3.2351060499576847E-5</v>
      </c>
      <c r="AC96" s="2">
        <f t="shared" si="22"/>
        <v>2.3785346896139205E-5</v>
      </c>
      <c r="AE96" s="2">
        <f t="shared" si="23"/>
        <v>1.7897867829864491E-5</v>
      </c>
      <c r="AG96" s="2">
        <f t="shared" si="24"/>
        <v>1.3189582410090125E-5</v>
      </c>
      <c r="AI96" s="2">
        <f t="shared" si="25"/>
        <v>1.0224846035400768</v>
      </c>
      <c r="AK96" s="2">
        <f t="shared" si="26"/>
        <v>1.0796531155791711</v>
      </c>
      <c r="AM96" s="2">
        <f t="shared" si="27"/>
        <v>1.1258023111434814</v>
      </c>
      <c r="AO96" s="2">
        <f t="shared" si="28"/>
        <v>1.185275360209612</v>
      </c>
    </row>
    <row r="97" spans="4:41" x14ac:dyDescent="0.3">
      <c r="E97" t="s">
        <v>7</v>
      </c>
      <c r="N97" s="2"/>
      <c r="O97" s="2"/>
      <c r="Y97" s="2"/>
      <c r="Z97" s="2"/>
      <c r="AA97" s="2"/>
      <c r="AC97" s="2"/>
      <c r="AE97" s="2"/>
      <c r="AG97" s="2"/>
      <c r="AI97" s="2"/>
      <c r="AK97" s="2"/>
      <c r="AM97" s="2"/>
      <c r="AO97" s="2"/>
    </row>
    <row r="98" spans="4:41" x14ac:dyDescent="0.3">
      <c r="D98">
        <v>9</v>
      </c>
      <c r="E98" t="s">
        <v>4</v>
      </c>
      <c r="F98">
        <v>20.8</v>
      </c>
      <c r="G98">
        <v>5.07</v>
      </c>
      <c r="H98">
        <v>4.93</v>
      </c>
      <c r="I98">
        <v>15.44</v>
      </c>
      <c r="J98">
        <v>11.75</v>
      </c>
      <c r="K98">
        <v>7320</v>
      </c>
      <c r="L98">
        <f t="shared" si="1"/>
        <v>3.6899999999999995</v>
      </c>
      <c r="M98">
        <f t="shared" si="2"/>
        <v>5</v>
      </c>
      <c r="N98" s="2">
        <f>FiberLength!D46*$C$2*PI()</f>
        <v>3.8924332977977537E-4</v>
      </c>
      <c r="O98" s="2">
        <f t="shared" si="17"/>
        <v>4.6706216759213515</v>
      </c>
      <c r="P98">
        <v>0.33400000000000002</v>
      </c>
      <c r="R98">
        <v>0.92200000000000004</v>
      </c>
      <c r="T98">
        <v>0.96</v>
      </c>
      <c r="V98">
        <v>0.97599999999999998</v>
      </c>
      <c r="X98">
        <v>176</v>
      </c>
      <c r="Y98" s="2">
        <f t="shared" si="19"/>
        <v>0.31133882303726362</v>
      </c>
      <c r="Z98" s="2">
        <f t="shared" si="20"/>
        <v>0.99615252619873229</v>
      </c>
      <c r="AA98" s="2">
        <f>(($O98/1000/60/60/$AW$85)+(1+0.26*($O98/1000/60/60/$AW$85)^(1.4))^(-1.7))*$AW$85</f>
        <v>3.1707757232860732E-5</v>
      </c>
      <c r="AC98" s="2">
        <f>(($O98/1000/60/60/$AY$85)+(1+0.26*($O98/1000/60/60/$AY$85)^(1.4))^(-1.7))*$AY$85</f>
        <v>2.3162119952233252E-5</v>
      </c>
      <c r="AE98" s="2">
        <f>(($O98/1000/60/60/$BA$85)+(1+0.26*($O98/1000/60/60/$BA$85)^(1.4))^(-1.7))*$BA$85</f>
        <v>1.729524355587034E-5</v>
      </c>
      <c r="AG98" s="2">
        <f>(($O98/1000/60/60/$BC$85)+(1+0.26*($O98/1000/60/60/$BC$85)^(1.4))^(-1.7))*$BC$85</f>
        <v>1.2611046460665493E-5</v>
      </c>
      <c r="AI98" s="2">
        <f>(AA98/($O98/1000/60/60)+P98-1)/(AA98/($O98/1000/60/60)-1)</f>
        <v>1.014249415884356</v>
      </c>
      <c r="AK98" s="2">
        <f>(AC98/($O98/1000/60/60)+R98-1)/(AC98/($O98/1000/60/60)-1)</f>
        <v>1.0547090395460323</v>
      </c>
      <c r="AM98" s="2">
        <f>(AE98/($O98/1000/60/60)+T98-1)/(AE98/($O98/1000/60/60)-1)</f>
        <v>1.0778541628407541</v>
      </c>
      <c r="AO98" s="2">
        <f>(AG98/($O98/1000/60/60)+V98-1)/(AG98/($O98/1000/60/60)-1)</f>
        <v>1.1119229654957643</v>
      </c>
    </row>
    <row r="99" spans="4:41" x14ac:dyDescent="0.3">
      <c r="E99" t="s">
        <v>5</v>
      </c>
      <c r="F99">
        <v>20.8</v>
      </c>
      <c r="G99">
        <v>5.07</v>
      </c>
      <c r="H99">
        <v>4.93</v>
      </c>
      <c r="I99">
        <v>16.36</v>
      </c>
      <c r="J99">
        <v>11.83</v>
      </c>
      <c r="K99">
        <v>7320</v>
      </c>
      <c r="L99">
        <f t="shared" si="1"/>
        <v>4.5299999999999994</v>
      </c>
      <c r="M99">
        <f t="shared" si="2"/>
        <v>5</v>
      </c>
      <c r="N99" s="2">
        <f>FiberLength!D47*$C$2*PI()</f>
        <v>3.8484510006474965E-4</v>
      </c>
      <c r="O99" s="2">
        <f t="shared" si="17"/>
        <v>5.7993823708408812</v>
      </c>
      <c r="P99">
        <v>0.34</v>
      </c>
      <c r="R99">
        <v>0.91500000000000004</v>
      </c>
      <c r="T99">
        <v>0.95399999999999996</v>
      </c>
      <c r="V99">
        <v>0.96399999999999997</v>
      </c>
      <c r="X99">
        <v>180</v>
      </c>
      <c r="Y99" s="2">
        <f t="shared" si="19"/>
        <v>0.31659736809061528</v>
      </c>
      <c r="Z99" s="2">
        <f t="shared" si="20"/>
        <v>1.2382839628880085</v>
      </c>
      <c r="AA99" s="2">
        <f t="shared" ref="AA99:AA117" si="29">(($O99/1000/60/60/$AW$85)+(1+0.26*($O99/1000/60/60/$AW$85)^(1.4))^(-1.7))*$AW$85</f>
        <v>3.1964512060950175E-5</v>
      </c>
      <c r="AC99" s="2">
        <f t="shared" ref="AC99:AC117" si="30">(($O99/1000/60/60/$AY$85)+(1+0.26*($O99/1000/60/60/$AY$85)^(1.4))^(-1.7))*$AY$85</f>
        <v>2.3411312189467521E-5</v>
      </c>
      <c r="AE99" s="2">
        <f t="shared" ref="AE99:AE117" si="31">(($O99/1000/60/60/$BA$85)+(1+0.26*($O99/1000/60/60/$BA$85)^(1.4))^(-1.7))*$BA$85</f>
        <v>1.7536607455673893E-5</v>
      </c>
      <c r="AG99" s="2">
        <f t="shared" ref="AG99:AG117" si="32">(($O99/1000/60/60/$BC$85)+(1+0.26*($O99/1000/60/60/$BC$85)^(1.4))^(-1.7))*$BC$85</f>
        <v>1.2843123277318162E-5</v>
      </c>
      <c r="AI99" s="2">
        <f t="shared" ref="AI99:AI117" si="33">(AA99/($O99/1000/60/60)+P99-1)/(AA99/($O99/1000/60/60)-1)</f>
        <v>1.0180446451860476</v>
      </c>
      <c r="AK99" s="2">
        <f t="shared" ref="AK99:AK117" si="34">(AC99/($O99/1000/60/60)+R99-1)/(AC99/($O99/1000/60/60)-1)</f>
        <v>1.0676139674365692</v>
      </c>
      <c r="AM99" s="2">
        <f t="shared" ref="AM99:AM117" si="35">(AE99/($O99/1000/60/60)+T99-1)/(AE99/($O99/1000/60/60)-1)</f>
        <v>1.0965005886804775</v>
      </c>
      <c r="AO99" s="2">
        <f t="shared" ref="AO99:AO117" si="36">(AG99/($O99/1000/60/60)+V99-1)/(AG99/($O99/1000/60/60)-1)</f>
        <v>1.1382585756337535</v>
      </c>
    </row>
    <row r="100" spans="4:41" x14ac:dyDescent="0.3">
      <c r="E100" t="s">
        <v>6</v>
      </c>
      <c r="F100">
        <v>20.8</v>
      </c>
      <c r="G100">
        <v>5.07</v>
      </c>
      <c r="H100">
        <v>4.93</v>
      </c>
      <c r="I100">
        <v>16.170000000000002</v>
      </c>
      <c r="J100">
        <v>11.79</v>
      </c>
      <c r="K100">
        <v>7320</v>
      </c>
      <c r="L100">
        <f t="shared" si="1"/>
        <v>4.3800000000000026</v>
      </c>
      <c r="M100">
        <f t="shared" si="2"/>
        <v>5</v>
      </c>
      <c r="N100" s="2">
        <f>FiberLength!D48*$C$2*PI()</f>
        <v>3.9364155949480104E-4</v>
      </c>
      <c r="O100" s="2">
        <f t="shared" si="17"/>
        <v>5.4820459349211808</v>
      </c>
      <c r="P100">
        <v>0.34100000000000003</v>
      </c>
      <c r="R100">
        <v>0.93200000000000005</v>
      </c>
      <c r="T100">
        <v>0.97299999999999998</v>
      </c>
      <c r="V100">
        <v>0.98599999999999999</v>
      </c>
      <c r="X100">
        <v>171</v>
      </c>
      <c r="Y100" s="2">
        <f t="shared" si="19"/>
        <v>0.31921214893978794</v>
      </c>
      <c r="Z100" s="2">
        <f t="shared" si="20"/>
        <v>1.1711801750808855</v>
      </c>
      <c r="AA100" s="2">
        <f t="shared" si="29"/>
        <v>3.1892802456706626E-5</v>
      </c>
      <c r="AC100" s="2">
        <f t="shared" si="30"/>
        <v>2.3341780456344566E-5</v>
      </c>
      <c r="AE100" s="2">
        <f t="shared" si="31"/>
        <v>1.7469321922145047E-5</v>
      </c>
      <c r="AG100" s="2">
        <f t="shared" si="32"/>
        <v>1.2778486179056227E-5</v>
      </c>
      <c r="AI100" s="2">
        <f t="shared" si="33"/>
        <v>1.0170981682411282</v>
      </c>
      <c r="AK100" s="2">
        <f t="shared" si="34"/>
        <v>1.0650461266175482</v>
      </c>
      <c r="AM100" s="2">
        <f t="shared" si="35"/>
        <v>1.0929152025117432</v>
      </c>
      <c r="AO100" s="2">
        <f t="shared" si="36"/>
        <v>1.1333965947344058</v>
      </c>
    </row>
    <row r="101" spans="4:41" x14ac:dyDescent="0.3">
      <c r="E101" t="s">
        <v>7</v>
      </c>
      <c r="F101">
        <v>20.8</v>
      </c>
      <c r="G101">
        <v>5.07</v>
      </c>
      <c r="H101">
        <v>4.93</v>
      </c>
      <c r="I101">
        <v>16.170000000000002</v>
      </c>
      <c r="J101">
        <v>11.75</v>
      </c>
      <c r="K101">
        <v>7320</v>
      </c>
      <c r="L101">
        <f t="shared" ref="L101" si="37">I101-J101</f>
        <v>4.4200000000000017</v>
      </c>
      <c r="M101">
        <f t="shared" ref="M101" si="38">(G101+H101)/2</f>
        <v>5</v>
      </c>
      <c r="N101" s="2">
        <f>FiberLength!D49*$C$2*PI()</f>
        <v>3.9144244463728818E-4</v>
      </c>
      <c r="O101" s="2">
        <f t="shared" ref="O101" si="39">L101/N101/K101*60*60/$C$4</f>
        <v>5.563189552602406</v>
      </c>
      <c r="P101">
        <v>0.33100000000000002</v>
      </c>
      <c r="R101">
        <v>0.91400000000000003</v>
      </c>
      <c r="T101">
        <v>0.95599999999999996</v>
      </c>
      <c r="V101">
        <v>0.96599999999999997</v>
      </c>
      <c r="X101">
        <v>181</v>
      </c>
      <c r="Y101" s="2">
        <f t="shared" ref="Y101" si="40">8.314*293.15*1000*(1/62*(P101+AI101-1)+1/200*(R101+AK101-1)+1/600*(T101+AM101-1)+1/2000*(V101+AO101-1))/10^5</f>
        <v>0.31199900428424421</v>
      </c>
      <c r="Z101" s="2">
        <f t="shared" ref="Z101" si="41">O101/(M101-Y101)</f>
        <v>1.186686939206383</v>
      </c>
      <c r="AA101" s="2">
        <f t="shared" si="29"/>
        <v>3.1911172724652221E-5</v>
      </c>
      <c r="AC101" s="2">
        <f t="shared" si="30"/>
        <v>2.3359597463945462E-5</v>
      </c>
      <c r="AE101" s="2">
        <f t="shared" si="31"/>
        <v>1.7486567678037981E-5</v>
      </c>
      <c r="AG101" s="2">
        <f t="shared" si="32"/>
        <v>1.2795057125910187E-5</v>
      </c>
      <c r="AI101" s="2">
        <f t="shared" si="33"/>
        <v>1.0168447286201174</v>
      </c>
      <c r="AK101" s="2">
        <f t="shared" si="34"/>
        <v>1.0647480849149493</v>
      </c>
      <c r="AM101" s="2">
        <f t="shared" si="35"/>
        <v>1.0926738539445864</v>
      </c>
      <c r="AO101" s="2">
        <f t="shared" si="36"/>
        <v>1.1326955967141248</v>
      </c>
    </row>
    <row r="102" spans="4:41" x14ac:dyDescent="0.3">
      <c r="D102">
        <v>3</v>
      </c>
      <c r="E102" t="s">
        <v>4</v>
      </c>
      <c r="F102">
        <v>20.2</v>
      </c>
      <c r="G102">
        <v>2.0699999999999998</v>
      </c>
      <c r="H102">
        <v>1.93</v>
      </c>
      <c r="I102">
        <v>15.48</v>
      </c>
      <c r="J102">
        <v>12.48</v>
      </c>
      <c r="K102">
        <v>4080</v>
      </c>
      <c r="L102">
        <f t="shared" si="1"/>
        <v>3</v>
      </c>
      <c r="M102">
        <f t="shared" si="2"/>
        <v>2</v>
      </c>
      <c r="N102" s="2">
        <f>FiberLength!D34*$C$2*PI()</f>
        <v>3.9584067435231396E-4</v>
      </c>
      <c r="O102" s="2">
        <f t="shared" si="17"/>
        <v>6.6991740043204784</v>
      </c>
      <c r="P102">
        <v>3.3000000000000002E-2</v>
      </c>
      <c r="R102">
        <v>0.23799999999999999</v>
      </c>
      <c r="T102">
        <v>0.57299999999999995</v>
      </c>
      <c r="V102">
        <v>0.79</v>
      </c>
      <c r="Y102" s="2">
        <f t="shared" ref="Y102:Y117" si="42">8.314*293.15*1000*(1/62*(P102+AI102-1)+1/200*(R102+AK102-1)+1/600*(T102+AM102-1)+1/2000*(V102+AO102-1))/10^5</f>
        <v>8.2492184675882457E-2</v>
      </c>
      <c r="Z102" s="2">
        <f t="shared" ref="Z102:Z149" si="43">O102/(M102-Y102)</f>
        <v>3.4936879791481386</v>
      </c>
      <c r="AA102" s="2">
        <f t="shared" si="29"/>
        <v>3.2165982047074358E-5</v>
      </c>
      <c r="AC102" s="2">
        <f t="shared" si="30"/>
        <v>2.3606414354832547E-5</v>
      </c>
      <c r="AE102" s="2">
        <f t="shared" si="31"/>
        <v>1.7725180767802342E-5</v>
      </c>
      <c r="AG102" s="2">
        <f t="shared" si="32"/>
        <v>1.3024075382398795E-5</v>
      </c>
      <c r="AI102" s="2">
        <f t="shared" si="33"/>
        <v>1.0020263617104446</v>
      </c>
      <c r="AK102" s="2">
        <f t="shared" si="34"/>
        <v>1.0203669343643058</v>
      </c>
      <c r="AM102" s="2">
        <f t="shared" si="35"/>
        <v>1.0672128777307286</v>
      </c>
      <c r="AO102" s="2">
        <f t="shared" si="36"/>
        <v>1.1316913918371794</v>
      </c>
    </row>
    <row r="103" spans="4:41" x14ac:dyDescent="0.3">
      <c r="E103" t="s">
        <v>5</v>
      </c>
      <c r="F103">
        <v>20.2</v>
      </c>
      <c r="G103">
        <v>2.0699999999999998</v>
      </c>
      <c r="H103">
        <v>1.93</v>
      </c>
      <c r="I103">
        <v>15.45</v>
      </c>
      <c r="J103">
        <v>11.75</v>
      </c>
      <c r="K103">
        <v>4080</v>
      </c>
      <c r="L103">
        <f t="shared" si="1"/>
        <v>3.6999999999999993</v>
      </c>
      <c r="M103">
        <f t="shared" si="2"/>
        <v>2</v>
      </c>
      <c r="N103" s="2">
        <f>FiberLength!D35*$C$2*PI()</f>
        <v>3.9584067435231396E-4</v>
      </c>
      <c r="O103" s="2">
        <f t="shared" si="17"/>
        <v>8.2623146053285872</v>
      </c>
      <c r="P103">
        <v>3.3000000000000002E-2</v>
      </c>
      <c r="R103">
        <v>0.20599999999999999</v>
      </c>
      <c r="T103">
        <v>0.52800000000000002</v>
      </c>
      <c r="V103">
        <v>0.76600000000000001</v>
      </c>
      <c r="Y103" s="2">
        <f t="shared" si="42"/>
        <v>7.7572369927754486E-2</v>
      </c>
      <c r="Z103" s="2">
        <f t="shared" si="43"/>
        <v>4.2978546896031071</v>
      </c>
      <c r="AA103" s="2">
        <f t="shared" si="29"/>
        <v>3.2510048132497871E-5</v>
      </c>
      <c r="AC103" s="2">
        <f t="shared" si="30"/>
        <v>2.393885168478538E-5</v>
      </c>
      <c r="AE103" s="2">
        <f t="shared" si="31"/>
        <v>1.8045848405547073E-5</v>
      </c>
      <c r="AG103" s="2">
        <f t="shared" si="32"/>
        <v>1.333130579151887E-5</v>
      </c>
      <c r="AI103" s="2">
        <f t="shared" si="33"/>
        <v>1.0025066351907113</v>
      </c>
      <c r="AK103" s="2">
        <f t="shared" si="34"/>
        <v>1.0218440746251332</v>
      </c>
      <c r="AM103" s="2">
        <f t="shared" si="35"/>
        <v>1.0769363550718039</v>
      </c>
      <c r="AO103" s="2">
        <f t="shared" si="36"/>
        <v>1.1592970415336772</v>
      </c>
    </row>
    <row r="104" spans="4:41" x14ac:dyDescent="0.3">
      <c r="E104" t="s">
        <v>6</v>
      </c>
      <c r="F104">
        <v>20.2</v>
      </c>
      <c r="G104">
        <v>2.0699999999999998</v>
      </c>
      <c r="H104">
        <v>1.93</v>
      </c>
      <c r="I104">
        <v>15</v>
      </c>
      <c r="J104">
        <v>11.72</v>
      </c>
      <c r="K104">
        <v>4080</v>
      </c>
      <c r="L104">
        <f t="shared" si="1"/>
        <v>3.2799999999999994</v>
      </c>
      <c r="M104">
        <f t="shared" si="2"/>
        <v>2</v>
      </c>
      <c r="N104" s="2">
        <f>FiberLength!D36*$C$2*PI()</f>
        <v>3.9364155949480104E-4</v>
      </c>
      <c r="O104" s="2">
        <f t="shared" si="17"/>
        <v>7.3653488494428485</v>
      </c>
      <c r="P104">
        <v>2.9000000000000001E-2</v>
      </c>
      <c r="R104">
        <v>0.22700000000000001</v>
      </c>
      <c r="T104">
        <v>0.56200000000000006</v>
      </c>
      <c r="V104">
        <v>0.79200000000000004</v>
      </c>
      <c r="Y104" s="2">
        <f t="shared" si="42"/>
        <v>7.9651808843327995E-2</v>
      </c>
      <c r="Z104" s="2">
        <f t="shared" si="43"/>
        <v>3.8354236400256774</v>
      </c>
      <c r="AA104" s="2">
        <f t="shared" si="29"/>
        <v>3.2313488656500552E-5</v>
      </c>
      <c r="AC104" s="2">
        <f t="shared" si="30"/>
        <v>2.3749044113516055E-5</v>
      </c>
      <c r="AE104" s="2">
        <f t="shared" si="31"/>
        <v>1.7862850103837489E-5</v>
      </c>
      <c r="AG104" s="2">
        <f t="shared" si="32"/>
        <v>1.3156032991839393E-5</v>
      </c>
      <c r="AI104" s="2">
        <f t="shared" si="33"/>
        <v>1.0019602498496365</v>
      </c>
      <c r="AK104" s="2">
        <f t="shared" si="34"/>
        <v>1.0213990566598967</v>
      </c>
      <c r="AM104" s="2">
        <f t="shared" si="35"/>
        <v>1.072695113979957</v>
      </c>
      <c r="AO104" s="2">
        <f t="shared" si="36"/>
        <v>1.1458471431346033</v>
      </c>
    </row>
    <row r="105" spans="4:41" x14ac:dyDescent="0.3">
      <c r="E105" t="s">
        <v>7</v>
      </c>
      <c r="F105">
        <v>20.2</v>
      </c>
      <c r="G105">
        <v>2.0699999999999998</v>
      </c>
      <c r="H105">
        <v>1.93</v>
      </c>
      <c r="I105">
        <v>14.76</v>
      </c>
      <c r="J105">
        <v>11.77</v>
      </c>
      <c r="K105">
        <v>4080</v>
      </c>
      <c r="L105">
        <f t="shared" si="1"/>
        <v>2.99</v>
      </c>
      <c r="M105">
        <f t="shared" si="2"/>
        <v>2</v>
      </c>
      <c r="N105" s="2">
        <f>FiberLength!D37*$C$2*PI()</f>
        <v>3.9364155949480104E-4</v>
      </c>
      <c r="O105" s="2">
        <f t="shared" si="17"/>
        <v>6.7141442255591839</v>
      </c>
      <c r="P105">
        <v>2.5999999999999999E-2</v>
      </c>
      <c r="R105">
        <v>0.224</v>
      </c>
      <c r="T105">
        <v>0.56999999999999995</v>
      </c>
      <c r="V105">
        <v>0.78800000000000003</v>
      </c>
      <c r="Y105" s="2">
        <f t="shared" si="42"/>
        <v>7.7571552835465532E-2</v>
      </c>
      <c r="Z105" s="2">
        <f t="shared" si="43"/>
        <v>3.4925327054237778</v>
      </c>
      <c r="AA105" s="2">
        <f t="shared" si="29"/>
        <v>3.2169311777937712E-5</v>
      </c>
      <c r="AC105" s="2">
        <f t="shared" si="30"/>
        <v>2.3609635920385161E-5</v>
      </c>
      <c r="AE105" s="2">
        <f t="shared" si="31"/>
        <v>1.7728291937269999E-5</v>
      </c>
      <c r="AG105" s="2">
        <f t="shared" si="32"/>
        <v>1.3027058685988683E-5</v>
      </c>
      <c r="AI105" s="2">
        <f t="shared" si="33"/>
        <v>1.0016001388215043</v>
      </c>
      <c r="AK105" s="2">
        <f t="shared" si="34"/>
        <v>1.0192125425907277</v>
      </c>
      <c r="AM105" s="2">
        <f t="shared" si="35"/>
        <v>1.0670148115982909</v>
      </c>
      <c r="AO105" s="2">
        <f t="shared" si="36"/>
        <v>1.1316653930589404</v>
      </c>
    </row>
    <row r="106" spans="4:41" x14ac:dyDescent="0.3">
      <c r="D106">
        <v>5</v>
      </c>
      <c r="E106" t="s">
        <v>4</v>
      </c>
      <c r="F106">
        <v>20.2</v>
      </c>
      <c r="G106">
        <v>2.0699999999999998</v>
      </c>
      <c r="H106">
        <v>1.93</v>
      </c>
      <c r="I106">
        <v>13.67</v>
      </c>
      <c r="J106">
        <v>11.72</v>
      </c>
      <c r="K106">
        <v>4080</v>
      </c>
      <c r="L106">
        <f t="shared" si="1"/>
        <v>1.9499999999999993</v>
      </c>
      <c r="M106">
        <f t="shared" si="2"/>
        <v>2</v>
      </c>
      <c r="N106" s="2">
        <f>FiberLength!D38*$C$2*PI()</f>
        <v>3.8264598520723679E-4</v>
      </c>
      <c r="O106" s="2">
        <f t="shared" si="17"/>
        <v>4.5046170029051478</v>
      </c>
      <c r="P106">
        <v>6.0999999999999999E-2</v>
      </c>
      <c r="R106">
        <v>0.34699999999999998</v>
      </c>
      <c r="T106">
        <v>0.69699999999999995</v>
      </c>
      <c r="V106">
        <v>0.86499999999999999</v>
      </c>
      <c r="Y106" s="2">
        <f t="shared" si="42"/>
        <v>0.11190262043448145</v>
      </c>
      <c r="Z106" s="2">
        <f t="shared" si="43"/>
        <v>2.3857969677081656</v>
      </c>
      <c r="AA106" s="2">
        <f t="shared" si="29"/>
        <v>3.1669584237733812E-5</v>
      </c>
      <c r="AC106" s="2">
        <f t="shared" si="30"/>
        <v>2.3125013018000994E-5</v>
      </c>
      <c r="AE106" s="2">
        <f t="shared" si="31"/>
        <v>1.7259246523607645E-5</v>
      </c>
      <c r="AG106" s="2">
        <f t="shared" si="32"/>
        <v>1.2576378899194578E-5</v>
      </c>
      <c r="AI106" s="2">
        <f t="shared" si="33"/>
        <v>1.0025092864555474</v>
      </c>
      <c r="AK106" s="2">
        <f t="shared" si="34"/>
        <v>1.0198500675245461</v>
      </c>
      <c r="AM106" s="2">
        <f t="shared" si="35"/>
        <v>1.0544818755102301</v>
      </c>
      <c r="AO106" s="2">
        <f t="shared" si="36"/>
        <v>1.0955717571951213</v>
      </c>
    </row>
    <row r="107" spans="4:41" x14ac:dyDescent="0.3">
      <c r="E107" t="s">
        <v>5</v>
      </c>
      <c r="F107">
        <v>20.2</v>
      </c>
      <c r="G107">
        <v>2.0699999999999998</v>
      </c>
      <c r="H107">
        <v>1.93</v>
      </c>
      <c r="I107">
        <v>13.58</v>
      </c>
      <c r="J107">
        <v>11.79</v>
      </c>
      <c r="K107">
        <v>4080</v>
      </c>
      <c r="L107">
        <f t="shared" si="1"/>
        <v>1.7900000000000009</v>
      </c>
      <c r="M107">
        <f t="shared" si="2"/>
        <v>2</v>
      </c>
      <c r="N107" s="2">
        <f>FiberLength!D39*$C$2*PI()</f>
        <v>3.7824775549221107E-4</v>
      </c>
      <c r="O107" s="2">
        <f t="shared" si="17"/>
        <v>4.1830888840931379</v>
      </c>
      <c r="P107">
        <v>5.6000000000000001E-2</v>
      </c>
      <c r="R107">
        <v>0.34100000000000003</v>
      </c>
      <c r="T107">
        <v>0.69899999999999995</v>
      </c>
      <c r="V107">
        <v>0.86699999999999999</v>
      </c>
      <c r="Y107" s="2">
        <f t="shared" si="42"/>
        <v>0.10871516286172218</v>
      </c>
      <c r="Z107" s="2">
        <f t="shared" si="43"/>
        <v>2.2117709622325381</v>
      </c>
      <c r="AA107" s="2">
        <f t="shared" si="29"/>
        <v>3.1595324622980587E-5</v>
      </c>
      <c r="AC107" s="2">
        <f t="shared" si="30"/>
        <v>2.305278065908386E-5</v>
      </c>
      <c r="AE107" s="2">
        <f t="shared" si="31"/>
        <v>1.7189129081302041E-5</v>
      </c>
      <c r="AG107" s="2">
        <f t="shared" si="32"/>
        <v>1.2508803339569308E-5</v>
      </c>
      <c r="AI107" s="2">
        <f t="shared" si="33"/>
        <v>1.0021381234663691</v>
      </c>
      <c r="AK107" s="2">
        <f t="shared" si="34"/>
        <v>1.0181003556861683</v>
      </c>
      <c r="AM107" s="2">
        <f t="shared" si="35"/>
        <v>1.0506775016714869</v>
      </c>
      <c r="AO107" s="2">
        <f t="shared" si="36"/>
        <v>1.0887848735053387</v>
      </c>
    </row>
    <row r="108" spans="4:41" x14ac:dyDescent="0.3">
      <c r="E108" t="s">
        <v>6</v>
      </c>
      <c r="F108">
        <v>20.2</v>
      </c>
      <c r="G108">
        <v>2.0699999999999998</v>
      </c>
      <c r="H108">
        <v>1.93</v>
      </c>
      <c r="I108">
        <v>13.81</v>
      </c>
      <c r="J108">
        <v>11.77</v>
      </c>
      <c r="K108">
        <v>4080</v>
      </c>
      <c r="L108">
        <f t="shared" si="1"/>
        <v>2.0400000000000009</v>
      </c>
      <c r="M108">
        <f t="shared" si="2"/>
        <v>2</v>
      </c>
      <c r="N108" s="2">
        <f>FiberLength!D40*$C$2*PI()</f>
        <v>3.8704421492226246E-4</v>
      </c>
      <c r="O108" s="2">
        <f t="shared" si="17"/>
        <v>4.6589710120956083</v>
      </c>
      <c r="P108">
        <v>0.06</v>
      </c>
      <c r="R108">
        <v>0.33500000000000002</v>
      </c>
      <c r="T108">
        <v>0.68600000000000005</v>
      </c>
      <c r="V108">
        <v>0.85599999999999998</v>
      </c>
      <c r="Y108" s="2">
        <f t="shared" si="42"/>
        <v>0.10957480160995819</v>
      </c>
      <c r="Z108" s="2">
        <f t="shared" si="43"/>
        <v>2.4645095802062764</v>
      </c>
      <c r="AA108" s="2">
        <f t="shared" si="29"/>
        <v>3.1705081777281868E-5</v>
      </c>
      <c r="AC108" s="2">
        <f t="shared" si="30"/>
        <v>2.3159519732387139E-5</v>
      </c>
      <c r="AE108" s="2">
        <f t="shared" si="31"/>
        <v>1.7292721614574498E-5</v>
      </c>
      <c r="AG108" s="2">
        <f t="shared" si="32"/>
        <v>1.2608618181371027E-5</v>
      </c>
      <c r="AI108" s="2">
        <f t="shared" si="33"/>
        <v>1.0025533429699764</v>
      </c>
      <c r="AK108" s="2">
        <f t="shared" si="34"/>
        <v>1.0198278516192696</v>
      </c>
      <c r="AM108" s="2">
        <f t="shared" si="35"/>
        <v>1.0554920344734313</v>
      </c>
      <c r="AO108" s="2">
        <f t="shared" si="36"/>
        <v>1.0979100917226308</v>
      </c>
    </row>
    <row r="109" spans="4:41" x14ac:dyDescent="0.3">
      <c r="E109" t="s">
        <v>7</v>
      </c>
      <c r="F109">
        <v>20.2</v>
      </c>
      <c r="G109">
        <v>2.0699999999999998</v>
      </c>
      <c r="H109">
        <v>1.93</v>
      </c>
      <c r="I109">
        <v>13.77</v>
      </c>
      <c r="J109">
        <v>11.72</v>
      </c>
      <c r="K109">
        <v>4080</v>
      </c>
      <c r="L109">
        <f t="shared" si="1"/>
        <v>2.0499999999999989</v>
      </c>
      <c r="M109">
        <f t="shared" si="2"/>
        <v>2</v>
      </c>
      <c r="N109" s="2">
        <f>FiberLength!D41*$C$2*PI()</f>
        <v>3.9144244463728818E-4</v>
      </c>
      <c r="O109" s="2">
        <f t="shared" si="17"/>
        <v>4.6292045086034745</v>
      </c>
      <c r="P109">
        <v>6.4000000000000001E-2</v>
      </c>
      <c r="R109">
        <v>0.32400000000000001</v>
      </c>
      <c r="T109">
        <v>0.67300000000000004</v>
      </c>
      <c r="V109">
        <v>0.84299999999999997</v>
      </c>
      <c r="Y109" s="2">
        <f t="shared" si="42"/>
        <v>0.10900288685248086</v>
      </c>
      <c r="Z109" s="2">
        <f t="shared" si="43"/>
        <v>2.448023043725474</v>
      </c>
      <c r="AA109" s="2">
        <f t="shared" si="29"/>
        <v>3.1698243730764067E-5</v>
      </c>
      <c r="AC109" s="2">
        <f t="shared" si="30"/>
        <v>2.3152873623910841E-5</v>
      </c>
      <c r="AE109" s="2">
        <f t="shared" si="31"/>
        <v>1.7286275242099156E-5</v>
      </c>
      <c r="AG109" s="2">
        <f t="shared" si="32"/>
        <v>1.2602410867772136E-5</v>
      </c>
      <c r="AI109" s="2">
        <f t="shared" si="33"/>
        <v>1.0027060374922871</v>
      </c>
      <c r="AK109" s="2">
        <f t="shared" si="34"/>
        <v>1.0190528522649327</v>
      </c>
      <c r="AM109" s="2">
        <f t="shared" si="35"/>
        <v>1.0540864522714657</v>
      </c>
      <c r="AO109" s="2">
        <f t="shared" si="36"/>
        <v>1.095789634932598</v>
      </c>
    </row>
    <row r="110" spans="4:41" x14ac:dyDescent="0.3">
      <c r="D110">
        <v>7</v>
      </c>
      <c r="E110" t="s">
        <v>4</v>
      </c>
      <c r="F110">
        <v>20.2</v>
      </c>
      <c r="G110">
        <v>2.0699999999999998</v>
      </c>
      <c r="H110">
        <v>1.93</v>
      </c>
      <c r="I110">
        <v>13</v>
      </c>
      <c r="J110">
        <v>11.72</v>
      </c>
      <c r="K110">
        <v>4080</v>
      </c>
      <c r="L110">
        <f t="shared" si="1"/>
        <v>1.2799999999999994</v>
      </c>
      <c r="M110">
        <f t="shared" si="2"/>
        <v>2</v>
      </c>
      <c r="N110" s="2">
        <f>FiberLength!D42*$C$2*PI()</f>
        <v>3.8924332977977537E-4</v>
      </c>
      <c r="O110" s="2">
        <f t="shared" si="17"/>
        <v>2.9067602459424435</v>
      </c>
      <c r="P110">
        <v>0.14099999999999999</v>
      </c>
      <c r="R110">
        <v>0.61</v>
      </c>
      <c r="T110">
        <v>0.876</v>
      </c>
      <c r="V110">
        <v>0.96599999999999997</v>
      </c>
      <c r="X110">
        <v>1012</v>
      </c>
      <c r="Y110" s="2">
        <f t="shared" si="42"/>
        <v>0.18393819946922058</v>
      </c>
      <c r="Z110" s="2">
        <f t="shared" si="43"/>
        <v>1.600584432254941</v>
      </c>
      <c r="AA110" s="2">
        <f t="shared" si="29"/>
        <v>3.12959118381607E-5</v>
      </c>
      <c r="AC110" s="2">
        <f t="shared" si="30"/>
        <v>2.2760857379168244E-5</v>
      </c>
      <c r="AE110" s="2">
        <f t="shared" si="31"/>
        <v>1.6905067301469541E-5</v>
      </c>
      <c r="AG110" s="2">
        <f t="shared" si="32"/>
        <v>1.2234286791525237E-5</v>
      </c>
      <c r="AI110" s="2">
        <f t="shared" si="33"/>
        <v>1.0037341354987532</v>
      </c>
      <c r="AK110" s="2">
        <f t="shared" si="34"/>
        <v>1.0224354239917799</v>
      </c>
      <c r="AM110" s="2">
        <f t="shared" si="35"/>
        <v>1.0439388586079072</v>
      </c>
      <c r="AO110" s="2">
        <f t="shared" si="36"/>
        <v>1.0682585694751019</v>
      </c>
    </row>
    <row r="111" spans="4:41" x14ac:dyDescent="0.3">
      <c r="E111" t="s">
        <v>5</v>
      </c>
      <c r="F111">
        <v>20.2</v>
      </c>
      <c r="G111">
        <v>2.0699999999999998</v>
      </c>
      <c r="H111">
        <v>1.93</v>
      </c>
      <c r="I111">
        <v>13.02</v>
      </c>
      <c r="J111">
        <v>11.79</v>
      </c>
      <c r="K111">
        <v>4080</v>
      </c>
      <c r="L111">
        <f t="shared" si="1"/>
        <v>1.2300000000000004</v>
      </c>
      <c r="M111">
        <f t="shared" si="2"/>
        <v>2</v>
      </c>
      <c r="N111" s="2">
        <f>FiberLength!D43*$C$2*PI()</f>
        <v>3.8484510006474965E-4</v>
      </c>
      <c r="O111" s="2">
        <f t="shared" si="17"/>
        <v>2.8251373801077229</v>
      </c>
      <c r="P111">
        <v>0.156</v>
      </c>
      <c r="R111">
        <v>0.67100000000000004</v>
      </c>
      <c r="T111">
        <v>0.90200000000000002</v>
      </c>
      <c r="V111">
        <v>0.96699999999999997</v>
      </c>
      <c r="X111">
        <v>579</v>
      </c>
      <c r="Y111" s="2">
        <f t="shared" si="42"/>
        <v>0.19861360794307387</v>
      </c>
      <c r="Z111" s="2">
        <f t="shared" si="43"/>
        <v>1.5683128242585529</v>
      </c>
      <c r="AA111" s="2">
        <f t="shared" si="29"/>
        <v>3.1276485734000666E-5</v>
      </c>
      <c r="AC111" s="2">
        <f t="shared" si="30"/>
        <v>2.2741875676706824E-5</v>
      </c>
      <c r="AE111" s="2">
        <f t="shared" si="31"/>
        <v>1.6886554426246772E-5</v>
      </c>
      <c r="AG111" s="2">
        <f t="shared" si="32"/>
        <v>1.2216347874792891E-5</v>
      </c>
      <c r="AI111" s="2">
        <f t="shared" si="33"/>
        <v>1.0040149456417069</v>
      </c>
      <c r="AK111" s="2">
        <f t="shared" si="34"/>
        <v>1.0239819398041043</v>
      </c>
      <c r="AM111" s="2">
        <f t="shared" si="35"/>
        <v>1.0439611799721478</v>
      </c>
      <c r="AO111" s="2">
        <f t="shared" si="36"/>
        <v>1.066383019093472</v>
      </c>
    </row>
    <row r="112" spans="4:41" x14ac:dyDescent="0.3">
      <c r="E112" t="s">
        <v>6</v>
      </c>
      <c r="F112">
        <v>20.2</v>
      </c>
      <c r="G112">
        <v>2.0699999999999998</v>
      </c>
      <c r="H112">
        <v>1.93</v>
      </c>
      <c r="I112">
        <v>13.01</v>
      </c>
      <c r="J112">
        <v>11.75</v>
      </c>
      <c r="K112">
        <v>4080</v>
      </c>
      <c r="L112">
        <f t="shared" si="1"/>
        <v>1.2599999999999998</v>
      </c>
      <c r="M112">
        <f t="shared" si="2"/>
        <v>2</v>
      </c>
      <c r="N112" s="2">
        <f>FiberLength!D44*$C$2*PI()</f>
        <v>3.8484510006474965E-4</v>
      </c>
      <c r="O112" s="2">
        <f t="shared" si="17"/>
        <v>2.8940431698664457</v>
      </c>
      <c r="P112">
        <v>0.16300000000000001</v>
      </c>
      <c r="R112">
        <v>0.67</v>
      </c>
      <c r="T112">
        <v>0.90300000000000002</v>
      </c>
      <c r="V112">
        <v>0.98199999999999998</v>
      </c>
      <c r="X112">
        <v>578</v>
      </c>
      <c r="Y112" s="2">
        <f t="shared" si="42"/>
        <v>0.20172419168017935</v>
      </c>
      <c r="Z112" s="2">
        <f t="shared" si="43"/>
        <v>1.6093433256884166</v>
      </c>
      <c r="AA112" s="2">
        <f t="shared" si="29"/>
        <v>3.1292887587154136E-5</v>
      </c>
      <c r="AC112" s="2">
        <f t="shared" si="30"/>
        <v>2.2757902670699461E-5</v>
      </c>
      <c r="AE112" s="2">
        <f t="shared" si="31"/>
        <v>1.6902185940551803E-5</v>
      </c>
      <c r="AG112" s="2">
        <f t="shared" si="32"/>
        <v>1.2231495191274953E-5</v>
      </c>
      <c r="AI112" s="2">
        <f t="shared" si="33"/>
        <v>1.004297809067429</v>
      </c>
      <c r="AK112" s="2">
        <f t="shared" si="34"/>
        <v>1.0245337317130156</v>
      </c>
      <c r="AM112" s="2">
        <f t="shared" si="35"/>
        <v>1.045093156966787</v>
      </c>
      <c r="AO112" s="2">
        <f t="shared" si="36"/>
        <v>1.0690810894403255</v>
      </c>
    </row>
    <row r="113" spans="4:42" x14ac:dyDescent="0.3">
      <c r="E113" t="s">
        <v>7</v>
      </c>
      <c r="F113">
        <v>20.2</v>
      </c>
      <c r="G113">
        <v>2.0699999999999998</v>
      </c>
      <c r="H113">
        <v>1.93</v>
      </c>
      <c r="I113">
        <v>13</v>
      </c>
      <c r="J113">
        <v>11.75</v>
      </c>
      <c r="K113">
        <v>4080</v>
      </c>
      <c r="L113">
        <f t="shared" si="1"/>
        <v>1.25</v>
      </c>
      <c r="M113">
        <f t="shared" si="2"/>
        <v>2</v>
      </c>
      <c r="N113" s="2">
        <f>FiberLength!D45*$C$2*PI()</f>
        <v>3.8704421492226246E-4</v>
      </c>
      <c r="O113" s="2">
        <f t="shared" si="17"/>
        <v>2.8547616495683865</v>
      </c>
      <c r="P113">
        <v>0.13800000000000001</v>
      </c>
      <c r="R113">
        <v>0.63300000000000001</v>
      </c>
      <c r="T113">
        <v>0.88500000000000001</v>
      </c>
      <c r="V113">
        <v>0.97</v>
      </c>
      <c r="X113">
        <v>779</v>
      </c>
      <c r="Y113" s="2">
        <f t="shared" si="42"/>
        <v>0.18594513474861521</v>
      </c>
      <c r="Z113" s="2">
        <f t="shared" si="43"/>
        <v>1.5736909088319027</v>
      </c>
      <c r="AA113" s="2">
        <f t="shared" si="29"/>
        <v>3.1283540476357407E-5</v>
      </c>
      <c r="AC113" s="2">
        <f t="shared" si="30"/>
        <v>2.2748769662914287E-5</v>
      </c>
      <c r="AE113" s="2">
        <f t="shared" si="31"/>
        <v>1.6893278790564303E-5</v>
      </c>
      <c r="AG113" s="2">
        <f t="shared" si="32"/>
        <v>1.2222864520243263E-5</v>
      </c>
      <c r="AI113" s="2">
        <f t="shared" si="33"/>
        <v>1.0035890636884921</v>
      </c>
      <c r="AK113" s="2">
        <f t="shared" si="34"/>
        <v>1.022862419349053</v>
      </c>
      <c r="AM113" s="2">
        <f t="shared" si="35"/>
        <v>1.0435890034554969</v>
      </c>
      <c r="AO113" s="2">
        <f t="shared" si="36"/>
        <v>1.0672972937182028</v>
      </c>
    </row>
    <row r="114" spans="4:42" x14ac:dyDescent="0.3">
      <c r="D114">
        <v>9</v>
      </c>
      <c r="E114" t="s">
        <v>4</v>
      </c>
      <c r="F114">
        <v>20.2</v>
      </c>
      <c r="G114">
        <v>2.0699999999999998</v>
      </c>
      <c r="H114">
        <v>1.93</v>
      </c>
      <c r="I114">
        <v>12.65</v>
      </c>
      <c r="J114">
        <v>11.75</v>
      </c>
      <c r="K114">
        <v>4080</v>
      </c>
      <c r="L114">
        <f t="shared" si="1"/>
        <v>0.90000000000000036</v>
      </c>
      <c r="M114">
        <f t="shared" si="2"/>
        <v>2</v>
      </c>
      <c r="N114" s="2">
        <f>FiberLength!D46*$C$2*PI()</f>
        <v>3.8924332977977537E-4</v>
      </c>
      <c r="O114" s="2">
        <f t="shared" si="17"/>
        <v>2.0438157979282825</v>
      </c>
      <c r="P114">
        <v>0.20200000000000001</v>
      </c>
      <c r="R114">
        <v>0.88600000000000001</v>
      </c>
      <c r="T114">
        <v>0.95699999999999996</v>
      </c>
      <c r="V114">
        <v>0.97599999999999998</v>
      </c>
      <c r="X114">
        <v>206</v>
      </c>
      <c r="Y114" s="2">
        <f t="shared" si="42"/>
        <v>0.24436571086499018</v>
      </c>
      <c r="Z114" s="2">
        <f t="shared" si="43"/>
        <v>1.1641466623070218</v>
      </c>
      <c r="AA114" s="2">
        <f t="shared" si="29"/>
        <v>3.1088563357493831E-5</v>
      </c>
      <c r="AC114" s="2">
        <f t="shared" si="30"/>
        <v>2.2557953895231986E-5</v>
      </c>
      <c r="AE114" s="2">
        <f t="shared" si="31"/>
        <v>1.6706864819979324E-5</v>
      </c>
      <c r="AG114" s="2">
        <f t="shared" si="32"/>
        <v>1.2041862993394305E-5</v>
      </c>
      <c r="AI114" s="2">
        <f t="shared" si="33"/>
        <v>1.0037574584300879</v>
      </c>
      <c r="AK114" s="2">
        <f t="shared" si="34"/>
        <v>1.022874059936826</v>
      </c>
      <c r="AM114" s="2">
        <f t="shared" si="35"/>
        <v>1.033664397642043</v>
      </c>
      <c r="AO114" s="2">
        <f t="shared" si="36"/>
        <v>1.0482913182651861</v>
      </c>
    </row>
    <row r="115" spans="4:42" x14ac:dyDescent="0.3">
      <c r="E115" t="s">
        <v>5</v>
      </c>
      <c r="F115">
        <v>20.2</v>
      </c>
      <c r="G115">
        <v>2.0699999999999998</v>
      </c>
      <c r="H115">
        <v>1.93</v>
      </c>
      <c r="I115">
        <v>12.81</v>
      </c>
      <c r="J115">
        <v>11.83</v>
      </c>
      <c r="K115">
        <v>4080</v>
      </c>
      <c r="L115">
        <f t="shared" si="1"/>
        <v>0.98000000000000043</v>
      </c>
      <c r="M115">
        <f t="shared" si="2"/>
        <v>2</v>
      </c>
      <c r="N115" s="2">
        <f>FiberLength!D47*$C$2*PI()</f>
        <v>3.8484510006474965E-4</v>
      </c>
      <c r="O115" s="2">
        <f t="shared" si="17"/>
        <v>2.2509224654516817</v>
      </c>
      <c r="P115">
        <v>0.182</v>
      </c>
      <c r="R115">
        <v>0.876</v>
      </c>
      <c r="T115">
        <v>0.94799999999999995</v>
      </c>
      <c r="V115">
        <v>0.96699999999999997</v>
      </c>
      <c r="X115">
        <v>220</v>
      </c>
      <c r="Y115" s="2">
        <f t="shared" si="42"/>
        <v>0.23522720502820665</v>
      </c>
      <c r="Z115" s="2">
        <f t="shared" si="43"/>
        <v>1.2754743680688134</v>
      </c>
      <c r="AA115" s="2">
        <f t="shared" si="29"/>
        <v>3.1138743054952311E-5</v>
      </c>
      <c r="AC115" s="2">
        <f t="shared" si="30"/>
        <v>2.2607120795328708E-5</v>
      </c>
      <c r="AE115" s="2">
        <f t="shared" si="31"/>
        <v>1.6754958313208393E-5</v>
      </c>
      <c r="AG115" s="2">
        <f t="shared" si="32"/>
        <v>1.2088632429970992E-5</v>
      </c>
      <c r="AI115" s="2">
        <f t="shared" si="33"/>
        <v>1.0037293881372853</v>
      </c>
      <c r="AK115" s="2">
        <f t="shared" si="34"/>
        <v>1.0249171067915852</v>
      </c>
      <c r="AM115" s="2">
        <f t="shared" si="35"/>
        <v>1.0367485346739074</v>
      </c>
      <c r="AO115" s="2">
        <f t="shared" si="36"/>
        <v>1.0527438665949194</v>
      </c>
    </row>
    <row r="116" spans="4:42" x14ac:dyDescent="0.3">
      <c r="E116" t="s">
        <v>6</v>
      </c>
      <c r="F116">
        <v>20.2</v>
      </c>
      <c r="G116">
        <v>2.0699999999999998</v>
      </c>
      <c r="H116">
        <v>1.93</v>
      </c>
      <c r="I116">
        <v>12.66</v>
      </c>
      <c r="J116">
        <v>11.79</v>
      </c>
      <c r="K116">
        <v>4080</v>
      </c>
      <c r="L116">
        <f t="shared" si="1"/>
        <v>0.87000000000000099</v>
      </c>
      <c r="M116">
        <f t="shared" si="2"/>
        <v>2</v>
      </c>
      <c r="N116" s="2">
        <f>FiberLength!D48*$C$2*PI()</f>
        <v>3.9364155949480104E-4</v>
      </c>
      <c r="O116" s="2">
        <f t="shared" si="17"/>
        <v>1.9536138716510025</v>
      </c>
      <c r="P116">
        <v>0.19400000000000001</v>
      </c>
      <c r="R116">
        <v>0.89500000000000002</v>
      </c>
      <c r="T116">
        <v>0.96599999999999997</v>
      </c>
      <c r="V116">
        <v>0.98599999999999999</v>
      </c>
      <c r="X116">
        <v>198</v>
      </c>
      <c r="Y116" s="2">
        <f t="shared" si="42"/>
        <v>0.24251862963922988</v>
      </c>
      <c r="Z116" s="2">
        <f t="shared" si="43"/>
        <v>1.1115986232331845</v>
      </c>
      <c r="AA116" s="2">
        <f t="shared" si="29"/>
        <v>3.1066618929632091E-5</v>
      </c>
      <c r="AC116" s="2">
        <f t="shared" si="30"/>
        <v>2.2536438802991351E-5</v>
      </c>
      <c r="AE116" s="2">
        <f t="shared" si="31"/>
        <v>1.6685805159858884E-5</v>
      </c>
      <c r="AG116" s="2">
        <f t="shared" si="32"/>
        <v>1.2021365923824177E-5</v>
      </c>
      <c r="AI116" s="2">
        <f t="shared" si="33"/>
        <v>1.0034490321975396</v>
      </c>
      <c r="AK116" s="2">
        <f t="shared" si="34"/>
        <v>1.0220830786730939</v>
      </c>
      <c r="AM116" s="2">
        <f t="shared" si="35"/>
        <v>1.0324732298849109</v>
      </c>
      <c r="AO116" s="2">
        <f t="shared" si="36"/>
        <v>1.0466144551968539</v>
      </c>
    </row>
    <row r="117" spans="4:42" x14ac:dyDescent="0.3">
      <c r="E117" t="s">
        <v>7</v>
      </c>
      <c r="F117">
        <v>20.2</v>
      </c>
      <c r="G117">
        <v>2.0699999999999998</v>
      </c>
      <c r="H117">
        <v>1.93</v>
      </c>
      <c r="I117">
        <v>12.67</v>
      </c>
      <c r="J117">
        <v>11.75</v>
      </c>
      <c r="K117">
        <v>4080</v>
      </c>
      <c r="L117">
        <f t="shared" si="1"/>
        <v>0.91999999999999993</v>
      </c>
      <c r="M117">
        <f t="shared" si="2"/>
        <v>2</v>
      </c>
      <c r="N117" s="2">
        <f>FiberLength!D49*$C$2*PI()</f>
        <v>3.9144244463728818E-4</v>
      </c>
      <c r="O117" s="2">
        <f t="shared" si="17"/>
        <v>2.0774966575196099</v>
      </c>
      <c r="P117">
        <v>0.19900000000000001</v>
      </c>
      <c r="R117">
        <v>0.877</v>
      </c>
      <c r="T117">
        <v>0.95199999999999996</v>
      </c>
      <c r="V117">
        <v>0.97099999999999997</v>
      </c>
      <c r="X117">
        <v>216</v>
      </c>
      <c r="Y117" s="2">
        <f t="shared" si="42"/>
        <v>0.24186714934816309</v>
      </c>
      <c r="Z117" s="2">
        <f t="shared" si="43"/>
        <v>1.1816494167374025</v>
      </c>
      <c r="AA117" s="2">
        <f t="shared" si="29"/>
        <v>3.109674311478603E-5</v>
      </c>
      <c r="AC117" s="2">
        <f t="shared" si="30"/>
        <v>2.2565971473817299E-5</v>
      </c>
      <c r="AE117" s="2">
        <f t="shared" si="31"/>
        <v>1.6714710424529015E-5</v>
      </c>
      <c r="AG117" s="2">
        <f t="shared" si="32"/>
        <v>1.2049496285704567E-5</v>
      </c>
      <c r="AI117" s="2">
        <f t="shared" si="33"/>
        <v>1.0037628006307133</v>
      </c>
      <c r="AK117" s="2">
        <f t="shared" si="34"/>
        <v>1.0230162273083003</v>
      </c>
      <c r="AM117" s="2">
        <f t="shared" si="35"/>
        <v>1.0340435687799709</v>
      </c>
      <c r="AO117" s="2">
        <f t="shared" si="36"/>
        <v>1.04884299162719</v>
      </c>
    </row>
    <row r="118" spans="4:42" x14ac:dyDescent="0.3">
      <c r="D118">
        <v>3</v>
      </c>
      <c r="E118" t="s">
        <v>4</v>
      </c>
      <c r="F118">
        <v>20.399999999999999</v>
      </c>
      <c r="G118">
        <v>3.57</v>
      </c>
      <c r="H118">
        <v>3.43</v>
      </c>
      <c r="I118">
        <v>20.04</v>
      </c>
      <c r="J118">
        <v>11.77</v>
      </c>
      <c r="K118">
        <v>6300</v>
      </c>
      <c r="L118">
        <f t="shared" si="1"/>
        <v>8.27</v>
      </c>
      <c r="M118">
        <f t="shared" si="2"/>
        <v>3.5</v>
      </c>
      <c r="N118" s="2">
        <f>FiberLength!D34*$C$2*PI()</f>
        <v>3.9584067435231396E-4</v>
      </c>
      <c r="O118" s="2">
        <f t="shared" si="17"/>
        <v>11.959833311332266</v>
      </c>
      <c r="Q118">
        <v>0.16400000000000001</v>
      </c>
      <c r="S118">
        <v>0.58099999999999996</v>
      </c>
      <c r="U118">
        <v>0.81</v>
      </c>
      <c r="W118">
        <v>0.88900000000000001</v>
      </c>
      <c r="Y118" s="2">
        <f>8.314*293.15*1000*(1/106*(Q118+AJ118-1)+1/400*(S118+AL118-1)+1/1000*(U118+AN118-1)+1/3000*(W118+AP118-1))/10^5</f>
        <v>0.11918764468819922</v>
      </c>
      <c r="Z118" s="2">
        <f>O118/(M118-Y118)</f>
        <v>3.5375619982402875</v>
      </c>
      <c r="AB118" s="2">
        <f t="shared" ref="AB118:AB149" si="44">(($O118/1000/60/60/$AX$85)+(1+0.26*($O118/1000/60/60/$AX$85)^(1.4))^(-1.7))*$AX$85</f>
        <v>2.902013554021827E-5</v>
      </c>
      <c r="AD118" s="2">
        <f t="shared" ref="AD118:AD149" si="45">(($O118/1000/60/60/$AZ$85)+(1+0.26*($O118/1000/60/60/$AZ$85)^(1.4))^(-1.7))*$AZ$85</f>
        <v>2.0758776163232176E-5</v>
      </c>
      <c r="AF118" s="2">
        <f t="shared" ref="AF118:AF149" si="46">(($O118/1000/60/60/$BB$85)+(1+0.26*($O118/1000/60/60/$BB$85)^(1.4))^(-1.7))*$BB$85</f>
        <v>1.6571552036468059E-5</v>
      </c>
      <c r="AH118" s="2">
        <f t="shared" ref="AH118:AH149" si="47">(($O118/1000/60/60/$BD$85)+(1+0.26*($O118/1000/60/60/$BD$85)^(1.4))^(-1.7))*$BD$85</f>
        <v>1.2752814183017088E-5</v>
      </c>
      <c r="AJ118" s="2">
        <f t="shared" ref="AJ118:AJ149" si="48">(AB118/($O118/1000/60/60)+Q118-1)/(AB118/($O118/1000/60/60)-1)</f>
        <v>1.0212015607035583</v>
      </c>
      <c r="AL118" s="2">
        <f t="shared" ref="AL118:AL149" si="49">(AD118/($O118/1000/60/60)+S118-1)/(AD118/($O118/1000/60/60)-1)</f>
        <v>1.1106972794275582</v>
      </c>
      <c r="AN118" s="2">
        <f t="shared" ref="AN118:AN149" si="50">(AF118/($O118/1000/60/60)+U118-1)/(AF118/($O118/1000/60/60)-1)</f>
        <v>1.2031010721831203</v>
      </c>
      <c r="AP118" s="2">
        <f t="shared" ref="AP118:AP149" si="51">(AH118/($O118/1000/60/60)+W118-1)/(AH118/($O118/1000/60/60)-1)</f>
        <v>1.3131722700295951</v>
      </c>
    </row>
    <row r="119" spans="4:42" x14ac:dyDescent="0.3">
      <c r="E119" t="s">
        <v>5</v>
      </c>
      <c r="F119">
        <v>20.399999999999999</v>
      </c>
      <c r="G119">
        <v>3.57</v>
      </c>
      <c r="H119">
        <v>3.43</v>
      </c>
      <c r="I119">
        <v>21.91</v>
      </c>
      <c r="J119">
        <v>11.79</v>
      </c>
      <c r="K119">
        <v>6300</v>
      </c>
      <c r="L119">
        <f t="shared" si="1"/>
        <v>10.120000000000001</v>
      </c>
      <c r="M119">
        <f t="shared" si="2"/>
        <v>3.5</v>
      </c>
      <c r="N119" s="2">
        <f>FiberLength!D35*$C$2*PI()</f>
        <v>3.9584067435231396E-4</v>
      </c>
      <c r="O119" s="2">
        <f t="shared" si="17"/>
        <v>14.635249469248194</v>
      </c>
      <c r="Q119">
        <v>0.13800000000000001</v>
      </c>
      <c r="S119">
        <v>0.52900000000000003</v>
      </c>
      <c r="U119">
        <v>0.77700000000000002</v>
      </c>
      <c r="W119">
        <v>0.86099999999999999</v>
      </c>
      <c r="Y119" s="2">
        <f t="shared" ref="Y119:Y149" si="52">8.314*293.15*1000*(1/106*(Q119+AJ119-1)+1/400*(S119+AL119-1)+1/1000*(U119+AN119-1)+1/3000*(W119+AP119-1))/10^5</f>
        <v>0.11158728528512982</v>
      </c>
      <c r="Z119" s="2">
        <f t="shared" si="43"/>
        <v>4.3192050973282123</v>
      </c>
      <c r="AB119" s="2">
        <f t="shared" si="44"/>
        <v>2.9562906256054368E-5</v>
      </c>
      <c r="AD119" s="2">
        <f t="shared" si="45"/>
        <v>2.1276317197183275E-5</v>
      </c>
      <c r="AF119" s="2">
        <f t="shared" si="46"/>
        <v>1.7072443842995907E-5</v>
      </c>
      <c r="AH119" s="2">
        <f t="shared" si="47"/>
        <v>1.3236704196199482E-5</v>
      </c>
      <c r="AJ119" s="2">
        <f t="shared" si="48"/>
        <v>1.0220028078896839</v>
      </c>
      <c r="AL119" s="2">
        <f t="shared" si="49"/>
        <v>1.1249533633067295</v>
      </c>
      <c r="AN119" s="2">
        <f t="shared" si="50"/>
        <v>1.2428500943295984</v>
      </c>
      <c r="AP119" s="2">
        <f t="shared" si="51"/>
        <v>1.381651677615374</v>
      </c>
    </row>
    <row r="120" spans="4:42" x14ac:dyDescent="0.3">
      <c r="E120" t="s">
        <v>6</v>
      </c>
      <c r="F120">
        <v>20.399999999999999</v>
      </c>
      <c r="G120">
        <v>3.57</v>
      </c>
      <c r="H120">
        <v>3.43</v>
      </c>
      <c r="I120">
        <v>21.19</v>
      </c>
      <c r="J120">
        <v>11.81</v>
      </c>
      <c r="K120">
        <v>6300</v>
      </c>
      <c r="L120">
        <f t="shared" si="1"/>
        <v>9.3800000000000008</v>
      </c>
      <c r="M120">
        <f t="shared" si="2"/>
        <v>3.5</v>
      </c>
      <c r="N120" s="2">
        <f>FiberLength!D36*$C$2*PI()</f>
        <v>3.9364155949480104E-4</v>
      </c>
      <c r="O120" s="2">
        <f t="shared" si="17"/>
        <v>13.640865592707982</v>
      </c>
      <c r="Q120">
        <v>0.155</v>
      </c>
      <c r="S120">
        <v>0.56299999999999994</v>
      </c>
      <c r="U120">
        <v>0.79800000000000004</v>
      </c>
      <c r="W120">
        <v>0.88</v>
      </c>
      <c r="Y120" s="2">
        <f t="shared" si="52"/>
        <v>0.1178862325879602</v>
      </c>
      <c r="Z120" s="2">
        <f t="shared" si="43"/>
        <v>4.0332367657596091</v>
      </c>
      <c r="AB120" s="2">
        <f t="shared" si="44"/>
        <v>2.9362754440171917E-5</v>
      </c>
      <c r="AD120" s="2">
        <f t="shared" si="45"/>
        <v>2.1085522643094177E-5</v>
      </c>
      <c r="AF120" s="2">
        <f t="shared" si="46"/>
        <v>1.6887706901187461E-5</v>
      </c>
      <c r="AH120" s="2">
        <f t="shared" si="47"/>
        <v>1.3057931122301848E-5</v>
      </c>
      <c r="AJ120" s="2">
        <f t="shared" si="48"/>
        <v>1.0229656548046109</v>
      </c>
      <c r="AL120" s="2">
        <f t="shared" si="49"/>
        <v>1.1233366849996744</v>
      </c>
      <c r="AN120" s="2">
        <f t="shared" si="50"/>
        <v>1.2308437836285895</v>
      </c>
      <c r="AP120" s="2">
        <f t="shared" si="51"/>
        <v>1.3597480976225755</v>
      </c>
    </row>
    <row r="121" spans="4:42" x14ac:dyDescent="0.3">
      <c r="E121" t="s">
        <v>7</v>
      </c>
      <c r="F121">
        <v>20.399999999999999</v>
      </c>
      <c r="G121">
        <v>3.57</v>
      </c>
      <c r="H121">
        <v>3.43</v>
      </c>
      <c r="I121">
        <v>20.74</v>
      </c>
      <c r="J121">
        <v>12.26</v>
      </c>
      <c r="K121">
        <v>6300</v>
      </c>
      <c r="L121">
        <f t="shared" si="1"/>
        <v>8.4799999999999986</v>
      </c>
      <c r="M121">
        <f t="shared" si="2"/>
        <v>3.5</v>
      </c>
      <c r="N121" s="2">
        <f>FiberLength!D37*$C$2*PI()</f>
        <v>3.9364155949480104E-4</v>
      </c>
      <c r="O121" s="2">
        <f t="shared" si="17"/>
        <v>12.332040535838342</v>
      </c>
      <c r="Q121">
        <v>0.153</v>
      </c>
      <c r="S121">
        <v>0.57899999999999996</v>
      </c>
      <c r="U121">
        <v>0.81499999999999995</v>
      </c>
      <c r="W121">
        <v>0.88900000000000001</v>
      </c>
      <c r="Y121" s="2">
        <f t="shared" si="52"/>
        <v>0.11696351166099883</v>
      </c>
      <c r="Z121" s="2">
        <f t="shared" si="43"/>
        <v>3.6452579149960962</v>
      </c>
      <c r="AB121" s="2">
        <f t="shared" si="44"/>
        <v>2.9096482848321809E-5</v>
      </c>
      <c r="AD121" s="2">
        <f t="shared" si="45"/>
        <v>2.083161000155275E-5</v>
      </c>
      <c r="AF121" s="2">
        <f t="shared" si="46"/>
        <v>1.6642008631644191E-5</v>
      </c>
      <c r="AH121" s="2">
        <f t="shared" si="47"/>
        <v>1.2820731386798777E-5</v>
      </c>
      <c r="AJ121" s="2">
        <f t="shared" si="48"/>
        <v>1.0204165570914274</v>
      </c>
      <c r="AL121" s="2">
        <f t="shared" si="49"/>
        <v>1.1139491132465509</v>
      </c>
      <c r="AN121" s="2">
        <f t="shared" si="50"/>
        <v>1.2112396811094144</v>
      </c>
      <c r="AP121" s="2">
        <f t="shared" si="51"/>
        <v>1.3241378983712084</v>
      </c>
    </row>
    <row r="122" spans="4:42" x14ac:dyDescent="0.3">
      <c r="D122">
        <v>5</v>
      </c>
      <c r="E122" t="s">
        <v>4</v>
      </c>
      <c r="F122">
        <v>20.399999999999999</v>
      </c>
      <c r="G122">
        <v>3.57</v>
      </c>
      <c r="H122">
        <v>3.43</v>
      </c>
      <c r="I122">
        <v>16.989999999999998</v>
      </c>
      <c r="J122">
        <v>11.78</v>
      </c>
      <c r="K122">
        <v>6300</v>
      </c>
      <c r="L122">
        <f t="shared" si="1"/>
        <v>5.2099999999999991</v>
      </c>
      <c r="M122">
        <f t="shared" si="2"/>
        <v>3.5</v>
      </c>
      <c r="N122" s="2">
        <f>FiberLength!D38*$C$2*PI()</f>
        <v>3.8264598520723679E-4</v>
      </c>
      <c r="O122" s="2">
        <f t="shared" si="17"/>
        <v>7.7943624507410805</v>
      </c>
      <c r="Q122">
        <v>0.27300000000000002</v>
      </c>
      <c r="S122">
        <v>0.71499999999999997</v>
      </c>
      <c r="U122">
        <v>0.89100000000000001</v>
      </c>
      <c r="W122">
        <v>0.95499999999999996</v>
      </c>
      <c r="X122">
        <v>2281</v>
      </c>
      <c r="Y122" s="2">
        <f t="shared" si="52"/>
        <v>0.15152550823550279</v>
      </c>
      <c r="Z122" s="2">
        <f t="shared" si="43"/>
        <v>2.3277353522958446</v>
      </c>
      <c r="AB122" s="2">
        <f t="shared" si="44"/>
        <v>2.814383557905223E-5</v>
      </c>
      <c r="AD122" s="2">
        <f t="shared" si="45"/>
        <v>1.9920972631559236E-5</v>
      </c>
      <c r="AF122" s="2">
        <f t="shared" si="46"/>
        <v>1.5760893052459892E-5</v>
      </c>
      <c r="AH122" s="2">
        <f t="shared" si="47"/>
        <v>1.197326196543149E-5</v>
      </c>
      <c r="AJ122" s="2">
        <f t="shared" si="48"/>
        <v>1.0227521658834415</v>
      </c>
      <c r="AL122" s="2">
        <f t="shared" si="49"/>
        <v>1.0871850726922399</v>
      </c>
      <c r="AN122" s="2">
        <f t="shared" si="50"/>
        <v>1.1418898328113714</v>
      </c>
      <c r="AP122" s="2">
        <f t="shared" si="51"/>
        <v>1.2108112917513774</v>
      </c>
    </row>
    <row r="123" spans="4:42" x14ac:dyDescent="0.3">
      <c r="E123" t="s">
        <v>5</v>
      </c>
      <c r="F123">
        <v>20.399999999999999</v>
      </c>
      <c r="G123">
        <v>3.57</v>
      </c>
      <c r="H123">
        <v>3.43</v>
      </c>
      <c r="I123">
        <v>16.89</v>
      </c>
      <c r="J123">
        <v>11.75</v>
      </c>
      <c r="K123">
        <v>6300</v>
      </c>
      <c r="L123">
        <f t="shared" si="1"/>
        <v>5.1400000000000006</v>
      </c>
      <c r="M123">
        <f t="shared" si="2"/>
        <v>3.5</v>
      </c>
      <c r="N123" s="2">
        <f>FiberLength!D39*$C$2*PI()</f>
        <v>3.7824775549221107E-4</v>
      </c>
      <c r="O123" s="2">
        <f t="shared" si="17"/>
        <v>7.7790541461464917</v>
      </c>
      <c r="Q123">
        <v>0.26100000000000001</v>
      </c>
      <c r="S123">
        <v>0.71499999999999997</v>
      </c>
      <c r="U123">
        <v>0.89200000000000002</v>
      </c>
      <c r="W123">
        <v>0.95599999999999996</v>
      </c>
      <c r="X123">
        <v>2268</v>
      </c>
      <c r="Y123" s="2">
        <f t="shared" si="52"/>
        <v>0.14854312111196238</v>
      </c>
      <c r="Z123" s="2">
        <f t="shared" si="43"/>
        <v>2.3210962955093914</v>
      </c>
      <c r="AB123" s="2">
        <f t="shared" si="44"/>
        <v>2.8140531365281496E-5</v>
      </c>
      <c r="AD123" s="2">
        <f t="shared" si="45"/>
        <v>1.9917804672496559E-5</v>
      </c>
      <c r="AF123" s="2">
        <f t="shared" si="46"/>
        <v>1.5757824481845181E-5</v>
      </c>
      <c r="AH123" s="2">
        <f t="shared" si="47"/>
        <v>1.197031354927521E-5</v>
      </c>
      <c r="AJ123" s="2">
        <f t="shared" si="48"/>
        <v>1.0217085568666622</v>
      </c>
      <c r="AL123" s="2">
        <f t="shared" si="49"/>
        <v>1.0870085256381656</v>
      </c>
      <c r="AN123" s="2">
        <f t="shared" si="50"/>
        <v>1.1417577507121668</v>
      </c>
      <c r="AP123" s="2">
        <f t="shared" si="51"/>
        <v>1.2105895692120539</v>
      </c>
    </row>
    <row r="124" spans="4:42" x14ac:dyDescent="0.3">
      <c r="E124" t="s">
        <v>6</v>
      </c>
      <c r="F124">
        <v>20.399999999999999</v>
      </c>
      <c r="G124">
        <v>3.57</v>
      </c>
      <c r="H124">
        <v>3.43</v>
      </c>
      <c r="I124">
        <v>17.45</v>
      </c>
      <c r="J124">
        <v>11.8</v>
      </c>
      <c r="K124">
        <v>6300</v>
      </c>
      <c r="L124">
        <f t="shared" si="1"/>
        <v>5.6499999999999986</v>
      </c>
      <c r="M124">
        <f t="shared" si="2"/>
        <v>3.5</v>
      </c>
      <c r="N124" s="2">
        <f>FiberLength!D40*$C$2*PI()</f>
        <v>3.8704421492226246E-4</v>
      </c>
      <c r="O124" s="2">
        <f t="shared" si="17"/>
        <v>8.3565670534413261</v>
      </c>
      <c r="Q124">
        <v>0.26100000000000001</v>
      </c>
      <c r="S124">
        <v>0.70699999999999996</v>
      </c>
      <c r="U124">
        <v>0.88700000000000001</v>
      </c>
      <c r="W124">
        <v>0.95099999999999996</v>
      </c>
      <c r="X124">
        <v>2279</v>
      </c>
      <c r="Y124" s="2">
        <f t="shared" si="52"/>
        <v>0.1489889713281613</v>
      </c>
      <c r="Z124" s="2">
        <f t="shared" si="43"/>
        <v>2.4937450166355979</v>
      </c>
      <c r="AB124" s="2">
        <f t="shared" si="44"/>
        <v>2.826471436469575E-5</v>
      </c>
      <c r="AD124" s="2">
        <f t="shared" si="45"/>
        <v>2.0036809942734706E-5</v>
      </c>
      <c r="AF124" s="2">
        <f t="shared" si="46"/>
        <v>1.5873068462638952E-5</v>
      </c>
      <c r="AH124" s="2">
        <f t="shared" si="47"/>
        <v>1.2081039246770523E-5</v>
      </c>
      <c r="AJ124" s="2">
        <f t="shared" si="48"/>
        <v>1.0233527619066349</v>
      </c>
      <c r="AL124" s="2">
        <f t="shared" si="49"/>
        <v>1.0926382597745676</v>
      </c>
      <c r="AN124" s="2">
        <f t="shared" si="50"/>
        <v>1.1519329754007688</v>
      </c>
      <c r="AP124" s="2">
        <f t="shared" si="51"/>
        <v>1.2261863059133895</v>
      </c>
    </row>
    <row r="125" spans="4:42" x14ac:dyDescent="0.3">
      <c r="E125" t="s">
        <v>7</v>
      </c>
      <c r="F125">
        <v>20.399999999999999</v>
      </c>
      <c r="G125">
        <v>3.57</v>
      </c>
      <c r="H125">
        <v>3.43</v>
      </c>
      <c r="I125">
        <v>17.579999999999998</v>
      </c>
      <c r="J125">
        <v>11.81</v>
      </c>
      <c r="K125">
        <v>6300</v>
      </c>
      <c r="L125">
        <f t="shared" si="1"/>
        <v>5.7699999999999978</v>
      </c>
      <c r="M125">
        <f t="shared" si="2"/>
        <v>3.5</v>
      </c>
      <c r="N125" s="2">
        <f>FiberLength!D41*$C$2*PI()</f>
        <v>3.9144244463728818E-4</v>
      </c>
      <c r="O125" s="2">
        <f t="shared" si="17"/>
        <v>8.4381634424885466</v>
      </c>
      <c r="Q125">
        <v>0.246</v>
      </c>
      <c r="S125">
        <v>0.68400000000000005</v>
      </c>
      <c r="U125">
        <v>0.874</v>
      </c>
      <c r="W125">
        <v>0.93899999999999995</v>
      </c>
      <c r="X125">
        <v>2379</v>
      </c>
      <c r="Y125" s="2">
        <f t="shared" si="52"/>
        <v>0.14331665278702482</v>
      </c>
      <c r="Z125" s="2">
        <f t="shared" si="43"/>
        <v>2.5138395760489831</v>
      </c>
      <c r="AB125" s="2">
        <f t="shared" si="44"/>
        <v>2.8282183769131512E-5</v>
      </c>
      <c r="AD125" s="2">
        <f t="shared" si="45"/>
        <v>2.0053541947168128E-5</v>
      </c>
      <c r="AF125" s="2">
        <f t="shared" si="46"/>
        <v>1.5889267408686648E-5</v>
      </c>
      <c r="AH125" s="2">
        <f t="shared" si="47"/>
        <v>1.2096602727109525E-5</v>
      </c>
      <c r="AJ125" s="2">
        <f t="shared" si="48"/>
        <v>1.022230021177462</v>
      </c>
      <c r="AL125" s="2">
        <f t="shared" si="49"/>
        <v>1.0905300154058399</v>
      </c>
      <c r="AN125" s="2">
        <f t="shared" si="50"/>
        <v>1.1512401763086493</v>
      </c>
      <c r="AP125" s="2">
        <f t="shared" si="51"/>
        <v>1.2256771376996927</v>
      </c>
    </row>
    <row r="126" spans="4:42" x14ac:dyDescent="0.3">
      <c r="D126">
        <v>7</v>
      </c>
      <c r="E126" t="s">
        <v>4</v>
      </c>
      <c r="F126">
        <v>20.399999999999999</v>
      </c>
      <c r="G126">
        <v>3.57</v>
      </c>
      <c r="H126">
        <v>3.43</v>
      </c>
      <c r="I126">
        <v>15.34</v>
      </c>
      <c r="J126">
        <v>11.73</v>
      </c>
      <c r="K126">
        <v>6300</v>
      </c>
      <c r="L126">
        <f t="shared" si="1"/>
        <v>3.6099999999999994</v>
      </c>
      <c r="M126">
        <f t="shared" si="2"/>
        <v>3.5</v>
      </c>
      <c r="N126" s="2">
        <f>FiberLength!D42*$C$2*PI()</f>
        <v>3.8924332977977537E-4</v>
      </c>
      <c r="O126" s="2">
        <f t="shared" si="17"/>
        <v>5.3091629849252318</v>
      </c>
      <c r="Q126">
        <v>0.53200000000000003</v>
      </c>
      <c r="S126">
        <v>0.88100000000000001</v>
      </c>
      <c r="U126">
        <v>0.96199999999999997</v>
      </c>
      <c r="W126">
        <v>0.98099999999999998</v>
      </c>
      <c r="X126">
        <v>533</v>
      </c>
      <c r="Y126" s="2">
        <f t="shared" si="52"/>
        <v>0.22242629307066791</v>
      </c>
      <c r="Z126" s="2">
        <f t="shared" si="43"/>
        <v>1.6198454892717695</v>
      </c>
      <c r="AB126" s="2">
        <f t="shared" si="44"/>
        <v>2.7597565167609049E-5</v>
      </c>
      <c r="AD126" s="2">
        <f t="shared" si="45"/>
        <v>1.9395892424142939E-5</v>
      </c>
      <c r="AF126" s="2">
        <f t="shared" si="46"/>
        <v>1.5251524195945492E-5</v>
      </c>
      <c r="AH126" s="2">
        <f t="shared" si="47"/>
        <v>1.1483368095038332E-5</v>
      </c>
      <c r="AJ126" s="2">
        <f t="shared" si="48"/>
        <v>1.0300341608747119</v>
      </c>
      <c r="AL126" s="2">
        <f t="shared" si="49"/>
        <v>1.0724993642423046</v>
      </c>
      <c r="AN126" s="2">
        <f t="shared" si="50"/>
        <v>1.1029797042839551</v>
      </c>
      <c r="AP126" s="2">
        <f t="shared" si="51"/>
        <v>1.1445503693597325</v>
      </c>
    </row>
    <row r="127" spans="4:42" x14ac:dyDescent="0.3">
      <c r="E127" t="s">
        <v>5</v>
      </c>
      <c r="F127">
        <v>20.399999999999999</v>
      </c>
      <c r="G127">
        <v>3.57</v>
      </c>
      <c r="H127">
        <v>3.43</v>
      </c>
      <c r="I127">
        <v>15.88</v>
      </c>
      <c r="J127">
        <v>12.34</v>
      </c>
      <c r="K127">
        <v>6300</v>
      </c>
      <c r="L127">
        <f t="shared" si="1"/>
        <v>3.5400000000000009</v>
      </c>
      <c r="M127">
        <f t="shared" si="2"/>
        <v>3.5</v>
      </c>
      <c r="N127" s="2">
        <f>FiberLength!D43*$C$2*PI()</f>
        <v>3.8484510006474965E-4</v>
      </c>
      <c r="O127" s="2">
        <f t="shared" si="17"/>
        <v>5.2657148288000855</v>
      </c>
      <c r="Q127">
        <v>0.57699999999999996</v>
      </c>
      <c r="S127">
        <v>0.9</v>
      </c>
      <c r="U127">
        <v>0.96299999999999997</v>
      </c>
      <c r="W127">
        <v>0.98</v>
      </c>
      <c r="X127">
        <v>423</v>
      </c>
      <c r="Y127" s="2">
        <f t="shared" si="52"/>
        <v>0.23449723132911698</v>
      </c>
      <c r="Z127" s="2">
        <f t="shared" si="43"/>
        <v>1.6125280551954098</v>
      </c>
      <c r="AB127" s="2">
        <f t="shared" si="44"/>
        <v>2.7587821562641542E-5</v>
      </c>
      <c r="AD127" s="2">
        <f t="shared" si="45"/>
        <v>1.9386498896439216E-5</v>
      </c>
      <c r="AF127" s="2">
        <f t="shared" si="46"/>
        <v>1.5242394397954649E-5</v>
      </c>
      <c r="AH127" s="2">
        <f t="shared" si="47"/>
        <v>1.1474573041188623E-5</v>
      </c>
      <c r="AJ127" s="2">
        <f t="shared" si="48"/>
        <v>1.0323051903411553</v>
      </c>
      <c r="AL127" s="2">
        <f t="shared" si="49"/>
        <v>1.0734458475742366</v>
      </c>
      <c r="AN127" s="2">
        <f t="shared" si="50"/>
        <v>1.1022213214015728</v>
      </c>
      <c r="AP127" s="2">
        <f t="shared" si="51"/>
        <v>1.143174447051533</v>
      </c>
    </row>
    <row r="128" spans="4:42" x14ac:dyDescent="0.3">
      <c r="E128" t="s">
        <v>6</v>
      </c>
      <c r="F128">
        <v>20.399999999999999</v>
      </c>
      <c r="G128">
        <v>3.57</v>
      </c>
      <c r="H128">
        <v>3.43</v>
      </c>
      <c r="I128">
        <v>15.26</v>
      </c>
      <c r="J128">
        <v>11.85</v>
      </c>
      <c r="K128">
        <v>6300</v>
      </c>
      <c r="L128">
        <f t="shared" si="1"/>
        <v>3.41</v>
      </c>
      <c r="M128">
        <f t="shared" si="2"/>
        <v>3.5</v>
      </c>
      <c r="N128" s="2">
        <f>FiberLength!D44*$C$2*PI()</f>
        <v>3.8484510006474965E-4</v>
      </c>
      <c r="O128" s="2">
        <f t="shared" si="17"/>
        <v>5.0723411203978221</v>
      </c>
      <c r="Q128">
        <v>0.57699999999999996</v>
      </c>
      <c r="S128">
        <v>0.89400000000000002</v>
      </c>
      <c r="U128">
        <v>0.96499999999999997</v>
      </c>
      <c r="W128">
        <v>0.98099999999999998</v>
      </c>
      <c r="X128">
        <v>465</v>
      </c>
      <c r="Y128" s="2">
        <f t="shared" si="52"/>
        <v>0.23358506959286693</v>
      </c>
      <c r="Z128" s="2">
        <f t="shared" si="43"/>
        <v>1.5528771538420547</v>
      </c>
      <c r="AB128" s="2">
        <f t="shared" si="44"/>
        <v>2.7544366372893157E-5</v>
      </c>
      <c r="AD128" s="2">
        <f t="shared" si="45"/>
        <v>1.9344591363539141E-5</v>
      </c>
      <c r="AF128" s="2">
        <f t="shared" si="46"/>
        <v>1.5201654357118064E-5</v>
      </c>
      <c r="AH128" s="2">
        <f t="shared" si="47"/>
        <v>1.1435317806045636E-5</v>
      </c>
      <c r="AJ128" s="2">
        <f t="shared" si="48"/>
        <v>1.0311066255030081</v>
      </c>
      <c r="AL128" s="2">
        <f t="shared" si="49"/>
        <v>1.0702307609515149</v>
      </c>
      <c r="AN128" s="2">
        <f t="shared" si="50"/>
        <v>1.0985791109880603</v>
      </c>
      <c r="AP128" s="2">
        <f t="shared" si="51"/>
        <v>1.137858257369601</v>
      </c>
    </row>
    <row r="129" spans="4:42" x14ac:dyDescent="0.3">
      <c r="E129" t="s">
        <v>7</v>
      </c>
      <c r="F129">
        <v>20.399999999999999</v>
      </c>
      <c r="G129">
        <v>3.57</v>
      </c>
      <c r="H129">
        <v>3.43</v>
      </c>
      <c r="I129">
        <v>15.34</v>
      </c>
      <c r="J129">
        <v>11.8</v>
      </c>
      <c r="K129">
        <v>6300</v>
      </c>
      <c r="L129">
        <f t="shared" si="1"/>
        <v>3.5399999999999991</v>
      </c>
      <c r="M129">
        <f t="shared" si="2"/>
        <v>3.5</v>
      </c>
      <c r="N129" s="2">
        <f>FiberLength!D45*$C$2*PI()</f>
        <v>3.8704421492226246E-4</v>
      </c>
      <c r="O129" s="2">
        <f t="shared" si="17"/>
        <v>5.2357959945455379</v>
      </c>
      <c r="Q129">
        <v>0.56100000000000005</v>
      </c>
      <c r="S129">
        <v>0.89400000000000002</v>
      </c>
      <c r="U129">
        <v>0.96299999999999997</v>
      </c>
      <c r="W129">
        <v>0.98399999999999999</v>
      </c>
      <c r="X129">
        <v>460</v>
      </c>
      <c r="Y129" s="2">
        <f t="shared" si="52"/>
        <v>0.230165615864067</v>
      </c>
      <c r="Z129" s="2">
        <f t="shared" si="43"/>
        <v>1.6012419527875013</v>
      </c>
      <c r="AB129" s="2">
        <f t="shared" si="44"/>
        <v>2.7581107756933329E-5</v>
      </c>
      <c r="AD129" s="2">
        <f t="shared" si="45"/>
        <v>1.938002566411775E-5</v>
      </c>
      <c r="AF129" s="2">
        <f t="shared" si="46"/>
        <v>1.5236102476967875E-5</v>
      </c>
      <c r="AH129" s="2">
        <f t="shared" si="47"/>
        <v>1.1468511395749674E-5</v>
      </c>
      <c r="AJ129" s="2">
        <f t="shared" si="48"/>
        <v>1.0312290078160207</v>
      </c>
      <c r="AL129" s="2">
        <f t="shared" si="49"/>
        <v>1.0725342484386415</v>
      </c>
      <c r="AN129" s="2">
        <f t="shared" si="50"/>
        <v>1.1016256292454858</v>
      </c>
      <c r="AP129" s="2">
        <f t="shared" si="51"/>
        <v>1.1429099166558678</v>
      </c>
    </row>
    <row r="130" spans="4:42" x14ac:dyDescent="0.3">
      <c r="D130">
        <v>9</v>
      </c>
      <c r="E130" t="s">
        <v>4</v>
      </c>
      <c r="F130">
        <v>20.399999999999999</v>
      </c>
      <c r="G130">
        <v>3.57</v>
      </c>
      <c r="H130">
        <v>3.43</v>
      </c>
      <c r="I130">
        <v>14.22</v>
      </c>
      <c r="J130">
        <v>11.79</v>
      </c>
      <c r="K130">
        <v>6300</v>
      </c>
      <c r="L130">
        <f t="shared" si="1"/>
        <v>2.4300000000000015</v>
      </c>
      <c r="M130">
        <f t="shared" si="2"/>
        <v>3.5</v>
      </c>
      <c r="N130" s="2">
        <f>FiberLength!D46*$C$2*PI()</f>
        <v>3.8924332977977537E-4</v>
      </c>
      <c r="O130" s="2">
        <f t="shared" si="17"/>
        <v>3.5737579095203116</v>
      </c>
      <c r="Q130">
        <v>0.82599999999999996</v>
      </c>
      <c r="S130">
        <v>0.96099999999999997</v>
      </c>
      <c r="U130">
        <v>0.97099999999999997</v>
      </c>
      <c r="W130">
        <v>0.97799999999999998</v>
      </c>
      <c r="X130">
        <v>216</v>
      </c>
      <c r="Y130" s="2">
        <f t="shared" si="52"/>
        <v>0.29297682221532745</v>
      </c>
      <c r="Z130" s="2">
        <f t="shared" si="43"/>
        <v>1.1143536268387588</v>
      </c>
      <c r="AB130" s="2">
        <f t="shared" si="44"/>
        <v>2.7202218262003362E-5</v>
      </c>
      <c r="AD130" s="2">
        <f t="shared" si="45"/>
        <v>1.9013773154245286E-5</v>
      </c>
      <c r="AF130" s="2">
        <f t="shared" si="46"/>
        <v>1.4879459523726539E-5</v>
      </c>
      <c r="AH130" s="2">
        <f t="shared" si="47"/>
        <v>1.1124234526491967E-5</v>
      </c>
      <c r="AJ130" s="2">
        <f t="shared" si="48"/>
        <v>1.0312855512788131</v>
      </c>
      <c r="AL130" s="2">
        <f t="shared" si="49"/>
        <v>1.0529377673031723</v>
      </c>
      <c r="AN130" s="2">
        <f t="shared" si="50"/>
        <v>1.0694130732473695</v>
      </c>
      <c r="AP130" s="2">
        <f t="shared" si="51"/>
        <v>1.0958267383198865</v>
      </c>
    </row>
    <row r="131" spans="4:42" x14ac:dyDescent="0.3">
      <c r="E131" t="s">
        <v>5</v>
      </c>
      <c r="F131">
        <v>20.399999999999999</v>
      </c>
      <c r="G131">
        <v>3.57</v>
      </c>
      <c r="H131">
        <v>3.43</v>
      </c>
      <c r="I131">
        <v>14.38</v>
      </c>
      <c r="J131">
        <v>11.72</v>
      </c>
      <c r="K131">
        <v>6300</v>
      </c>
      <c r="L131">
        <f t="shared" si="1"/>
        <v>2.66</v>
      </c>
      <c r="M131">
        <f t="shared" si="2"/>
        <v>3.5</v>
      </c>
      <c r="N131" s="2">
        <f>FiberLength!D47*$C$2*PI()</f>
        <v>3.8484510006474965E-4</v>
      </c>
      <c r="O131" s="2">
        <f t="shared" si="17"/>
        <v>3.9567235719232277</v>
      </c>
      <c r="Q131">
        <v>0.82</v>
      </c>
      <c r="S131">
        <v>0.95399999999999996</v>
      </c>
      <c r="U131">
        <v>0.96399999999999997</v>
      </c>
      <c r="W131">
        <v>0.97199999999999998</v>
      </c>
      <c r="X131">
        <v>222</v>
      </c>
      <c r="Y131" s="2">
        <f t="shared" si="52"/>
        <v>0.29224469589883173</v>
      </c>
      <c r="Z131" s="2">
        <f t="shared" si="43"/>
        <v>1.2334867210302765</v>
      </c>
      <c r="AB131" s="2">
        <f t="shared" si="44"/>
        <v>2.7290622760748611E-5</v>
      </c>
      <c r="AD131" s="2">
        <f t="shared" si="45"/>
        <v>1.9099406269445428E-5</v>
      </c>
      <c r="AF131" s="2">
        <f t="shared" si="46"/>
        <v>1.4962971021240201E-5</v>
      </c>
      <c r="AH131" s="2">
        <f t="shared" si="47"/>
        <v>1.1204989157387851E-5</v>
      </c>
      <c r="AJ131" s="2">
        <f t="shared" si="48"/>
        <v>1.0344101166829212</v>
      </c>
      <c r="AL131" s="2">
        <f t="shared" si="49"/>
        <v>1.0582507398168817</v>
      </c>
      <c r="AN131" s="2">
        <f t="shared" si="50"/>
        <v>1.0764232349267717</v>
      </c>
      <c r="AP131" s="2">
        <f t="shared" si="51"/>
        <v>1.1057120534463323</v>
      </c>
    </row>
    <row r="132" spans="4:42" x14ac:dyDescent="0.3">
      <c r="E132" t="s">
        <v>6</v>
      </c>
      <c r="F132">
        <v>20.399999999999999</v>
      </c>
      <c r="G132">
        <v>3.57</v>
      </c>
      <c r="H132">
        <v>3.43</v>
      </c>
      <c r="I132">
        <v>14.48</v>
      </c>
      <c r="J132">
        <v>11.8</v>
      </c>
      <c r="K132">
        <v>6300</v>
      </c>
      <c r="L132">
        <f t="shared" si="1"/>
        <v>2.6799999999999997</v>
      </c>
      <c r="M132">
        <f t="shared" si="2"/>
        <v>3.5</v>
      </c>
      <c r="N132" s="2">
        <f>FiberLength!D48*$C$2*PI()</f>
        <v>3.9364155949480104E-4</v>
      </c>
      <c r="O132" s="2">
        <f t="shared" si="17"/>
        <v>3.8973901693451372</v>
      </c>
      <c r="Q132">
        <v>0.82699999999999996</v>
      </c>
      <c r="S132">
        <v>0.95899999999999996</v>
      </c>
      <c r="U132">
        <v>0.96799999999999997</v>
      </c>
      <c r="W132">
        <v>0.97599999999999998</v>
      </c>
      <c r="X132">
        <v>218</v>
      </c>
      <c r="Y132" s="2">
        <f t="shared" si="52"/>
        <v>0.294169806910479</v>
      </c>
      <c r="Z132" s="2">
        <f t="shared" si="43"/>
        <v>1.2157194656617625</v>
      </c>
      <c r="AB132" s="2">
        <f t="shared" si="44"/>
        <v>2.7276972385693603E-5</v>
      </c>
      <c r="AD132" s="2">
        <f t="shared" si="45"/>
        <v>1.9086191382319416E-5</v>
      </c>
      <c r="AF132" s="2">
        <f t="shared" si="46"/>
        <v>1.4950088999610296E-5</v>
      </c>
      <c r="AH132" s="2">
        <f t="shared" si="47"/>
        <v>1.1192538689800555E-5</v>
      </c>
      <c r="AJ132" s="2">
        <f t="shared" si="48"/>
        <v>1.0341797621193312</v>
      </c>
      <c r="AL132" s="2">
        <f t="shared" si="49"/>
        <v>1.0576674896694798</v>
      </c>
      <c r="AN132" s="2">
        <f t="shared" si="50"/>
        <v>1.0755699568635402</v>
      </c>
      <c r="AP132" s="2">
        <f t="shared" si="51"/>
        <v>1.1045136560693638</v>
      </c>
    </row>
    <row r="133" spans="4:42" x14ac:dyDescent="0.3">
      <c r="E133" t="s">
        <v>7</v>
      </c>
      <c r="F133">
        <v>20.399999999999999</v>
      </c>
      <c r="G133">
        <v>3.57</v>
      </c>
      <c r="H133">
        <v>3.43</v>
      </c>
      <c r="I133">
        <v>14.4</v>
      </c>
      <c r="J133">
        <v>11.7</v>
      </c>
      <c r="K133">
        <v>6300</v>
      </c>
      <c r="L133">
        <f t="shared" si="1"/>
        <v>2.7000000000000011</v>
      </c>
      <c r="M133">
        <f t="shared" si="2"/>
        <v>3.5</v>
      </c>
      <c r="N133" s="2">
        <f>FiberLength!D49*$C$2*PI()</f>
        <v>3.9144244463728818E-4</v>
      </c>
      <c r="O133" s="2">
        <f t="shared" si="17"/>
        <v>3.9485340198819916</v>
      </c>
      <c r="Q133">
        <v>0.81</v>
      </c>
      <c r="S133">
        <v>0.94799999999999995</v>
      </c>
      <c r="U133">
        <v>0.95799999999999996</v>
      </c>
      <c r="W133">
        <v>0.96699999999999997</v>
      </c>
      <c r="X133">
        <v>227</v>
      </c>
      <c r="Y133" s="2">
        <f t="shared" si="52"/>
        <v>0.2892287469131109</v>
      </c>
      <c r="Z133" s="2">
        <f t="shared" si="43"/>
        <v>1.2297774299822215</v>
      </c>
      <c r="AB133" s="2">
        <f t="shared" si="44"/>
        <v>2.7288739641877781E-5</v>
      </c>
      <c r="AD133" s="2">
        <f t="shared" si="45"/>
        <v>1.909758338847563E-5</v>
      </c>
      <c r="AF133" s="2">
        <f t="shared" si="46"/>
        <v>1.4961194171555961E-5</v>
      </c>
      <c r="AH133" s="2">
        <f t="shared" si="47"/>
        <v>1.1203271964632997E-5</v>
      </c>
      <c r="AJ133" s="2">
        <f t="shared" si="48"/>
        <v>1.0339196209063728</v>
      </c>
      <c r="AL133" s="2">
        <f t="shared" si="49"/>
        <v>1.0577631245019679</v>
      </c>
      <c r="AN133" s="2">
        <f t="shared" si="50"/>
        <v>1.0757876542979352</v>
      </c>
      <c r="AP133" s="2">
        <f t="shared" si="51"/>
        <v>1.104944800599428</v>
      </c>
    </row>
    <row r="134" spans="4:42" x14ac:dyDescent="0.3">
      <c r="D134">
        <v>3</v>
      </c>
      <c r="E134" t="s">
        <v>4</v>
      </c>
      <c r="F134">
        <v>19.899999999999999</v>
      </c>
      <c r="G134">
        <v>5.07</v>
      </c>
      <c r="H134">
        <v>4.9400000000000004</v>
      </c>
      <c r="I134">
        <v>17.36</v>
      </c>
      <c r="J134">
        <v>11.77</v>
      </c>
      <c r="K134">
        <v>3000</v>
      </c>
      <c r="L134">
        <f t="shared" si="1"/>
        <v>5.59</v>
      </c>
      <c r="M134">
        <f t="shared" si="2"/>
        <v>5.0050000000000008</v>
      </c>
      <c r="N134" s="2">
        <f>FiberLength!D34*$C$2*PI()</f>
        <v>3.9584067435231396E-4</v>
      </c>
      <c r="O134" s="2">
        <f t="shared" si="17"/>
        <v>16.976600150148666</v>
      </c>
      <c r="Q134">
        <v>0.219</v>
      </c>
      <c r="S134">
        <v>0.64400000000000002</v>
      </c>
      <c r="U134">
        <v>0.83399999999999996</v>
      </c>
      <c r="W134">
        <v>0.89300000000000002</v>
      </c>
      <c r="Y134" s="2">
        <f t="shared" si="52"/>
        <v>0.14876400539579235</v>
      </c>
      <c r="Z134" s="2">
        <f t="shared" si="43"/>
        <v>3.4958350807109588</v>
      </c>
      <c r="AB134" s="2">
        <f t="shared" si="44"/>
        <v>3.0027564011710805E-5</v>
      </c>
      <c r="AD134" s="2">
        <f t="shared" si="45"/>
        <v>2.1719249679443028E-5</v>
      </c>
      <c r="AF134" s="2">
        <f t="shared" si="46"/>
        <v>1.7501907425666814E-5</v>
      </c>
      <c r="AH134" s="2">
        <f t="shared" si="47"/>
        <v>1.365402721486799E-5</v>
      </c>
      <c r="AJ134" s="2">
        <f t="shared" si="48"/>
        <v>1.0408007914276434</v>
      </c>
      <c r="AL134" s="2">
        <f t="shared" si="49"/>
        <v>1.1786055954013612</v>
      </c>
      <c r="AN134" s="2">
        <f t="shared" si="50"/>
        <v>1.3075907566149778</v>
      </c>
      <c r="AP134" s="2">
        <f t="shared" si="51"/>
        <v>1.4711340690214225</v>
      </c>
    </row>
    <row r="135" spans="4:42" x14ac:dyDescent="0.3">
      <c r="E135" t="s">
        <v>5</v>
      </c>
      <c r="F135">
        <v>19.899999999999999</v>
      </c>
      <c r="G135">
        <v>5.07</v>
      </c>
      <c r="H135">
        <v>4.9400000000000004</v>
      </c>
      <c r="I135">
        <v>18.55</v>
      </c>
      <c r="J135">
        <v>11.79</v>
      </c>
      <c r="K135">
        <v>3000</v>
      </c>
      <c r="L135">
        <f t="shared" ref="L135:L198" si="53">I135-J135</f>
        <v>6.7600000000000016</v>
      </c>
      <c r="M135">
        <f t="shared" ref="M135:M198" si="54">(G135+H135)/2</f>
        <v>5.0050000000000008</v>
      </c>
      <c r="N135" s="2">
        <f>FiberLength!D35*$C$2*PI()</f>
        <v>3.9584067435231396E-4</v>
      </c>
      <c r="O135" s="2">
        <f t="shared" si="17"/>
        <v>20.529842042040258</v>
      </c>
      <c r="Q135">
        <v>0.187</v>
      </c>
      <c r="S135">
        <v>0.59799999999999998</v>
      </c>
      <c r="U135">
        <v>0.80700000000000005</v>
      </c>
      <c r="W135">
        <v>0.873</v>
      </c>
      <c r="Y135" s="2">
        <f t="shared" si="52"/>
        <v>0.14218922116333552</v>
      </c>
      <c r="Z135" s="2">
        <f t="shared" si="43"/>
        <v>4.2218056543322113</v>
      </c>
      <c r="AB135" s="2">
        <f t="shared" si="44"/>
        <v>3.0717368764273482E-5</v>
      </c>
      <c r="AD135" s="2">
        <f t="shared" si="45"/>
        <v>2.237757118530565E-5</v>
      </c>
      <c r="AF135" s="2">
        <f t="shared" si="46"/>
        <v>1.8142467619796357E-5</v>
      </c>
      <c r="AH135" s="2">
        <f t="shared" si="47"/>
        <v>1.4281914088913117E-5</v>
      </c>
      <c r="AJ135" s="2">
        <f t="shared" si="48"/>
        <v>1.0426314933324579</v>
      </c>
      <c r="AL135" s="2">
        <f t="shared" si="49"/>
        <v>1.2045138320875859</v>
      </c>
      <c r="AN135" s="2">
        <f t="shared" si="50"/>
        <v>1.3699521518409448</v>
      </c>
      <c r="AP135" s="2">
        <f t="shared" si="51"/>
        <v>1.5802986516074509</v>
      </c>
    </row>
    <row r="136" spans="4:42" x14ac:dyDescent="0.3">
      <c r="E136" t="s">
        <v>6</v>
      </c>
      <c r="F136">
        <v>19.899999999999999</v>
      </c>
      <c r="G136">
        <v>5.07</v>
      </c>
      <c r="H136">
        <v>4.9400000000000004</v>
      </c>
      <c r="I136">
        <v>18.149999999999999</v>
      </c>
      <c r="J136">
        <v>11.81</v>
      </c>
      <c r="K136">
        <v>3000</v>
      </c>
      <c r="L136">
        <f t="shared" si="53"/>
        <v>6.3399999999999981</v>
      </c>
      <c r="M136">
        <f t="shared" si="54"/>
        <v>5.0050000000000008</v>
      </c>
      <c r="N136" s="2">
        <f>FiberLength!D36*$C$2*PI()</f>
        <v>3.9364155949480104E-4</v>
      </c>
      <c r="O136" s="2">
        <f t="shared" si="17"/>
        <v>19.361885341291469</v>
      </c>
      <c r="Q136">
        <v>0.20699999999999999</v>
      </c>
      <c r="S136">
        <v>0.63200000000000001</v>
      </c>
      <c r="U136">
        <v>0.82799999999999996</v>
      </c>
      <c r="W136">
        <v>0.89200000000000002</v>
      </c>
      <c r="Y136" s="2">
        <f t="shared" si="52"/>
        <v>0.14918933460306186</v>
      </c>
      <c r="Z136" s="2">
        <f t="shared" si="43"/>
        <v>3.9873641448309489</v>
      </c>
      <c r="AB136" s="2">
        <f t="shared" si="44"/>
        <v>3.0492478651970465E-5</v>
      </c>
      <c r="AD136" s="2">
        <f t="shared" si="45"/>
        <v>2.2162777726432458E-5</v>
      </c>
      <c r="AF136" s="2">
        <f t="shared" si="46"/>
        <v>1.7933112739201258E-5</v>
      </c>
      <c r="AH136" s="2">
        <f t="shared" si="47"/>
        <v>1.4075913215285395E-5</v>
      </c>
      <c r="AJ136" s="2">
        <f t="shared" si="48"/>
        <v>1.0443298778878758</v>
      </c>
      <c r="AL136" s="2">
        <f t="shared" si="49"/>
        <v>1.2025137090091542</v>
      </c>
      <c r="AN136" s="2">
        <f t="shared" si="50"/>
        <v>1.3547033513978886</v>
      </c>
      <c r="AP136" s="2">
        <f t="shared" si="51"/>
        <v>1.55158186770134</v>
      </c>
    </row>
    <row r="137" spans="4:42" x14ac:dyDescent="0.3">
      <c r="E137" t="s">
        <v>7</v>
      </c>
      <c r="F137">
        <v>19.899999999999999</v>
      </c>
      <c r="G137">
        <v>5.07</v>
      </c>
      <c r="H137">
        <v>4.9400000000000004</v>
      </c>
      <c r="I137">
        <v>17.97</v>
      </c>
      <c r="J137">
        <v>12.26</v>
      </c>
      <c r="K137">
        <v>3000</v>
      </c>
      <c r="L137">
        <f t="shared" si="53"/>
        <v>5.7099999999999991</v>
      </c>
      <c r="M137">
        <f t="shared" si="54"/>
        <v>5.0050000000000008</v>
      </c>
      <c r="N137" s="2">
        <f>FiberLength!D37*$C$2*PI()</f>
        <v>3.9364155949480104E-4</v>
      </c>
      <c r="O137" s="2">
        <f t="shared" si="17"/>
        <v>17.43791250769311</v>
      </c>
      <c r="Q137">
        <v>0.20699999999999999</v>
      </c>
      <c r="S137">
        <v>0.64700000000000002</v>
      </c>
      <c r="U137">
        <v>0.84399999999999997</v>
      </c>
      <c r="W137">
        <v>0.9</v>
      </c>
      <c r="Y137" s="2">
        <f t="shared" si="52"/>
        <v>0.14708280510129151</v>
      </c>
      <c r="Z137" s="2">
        <f t="shared" si="43"/>
        <v>3.5895861967356364</v>
      </c>
      <c r="AB137" s="2">
        <f t="shared" si="44"/>
        <v>3.0118105648310709E-5</v>
      </c>
      <c r="AD137" s="2">
        <f t="shared" si="45"/>
        <v>2.1805585576589644E-5</v>
      </c>
      <c r="AF137" s="2">
        <f t="shared" si="46"/>
        <v>1.7585741164832248E-5</v>
      </c>
      <c r="AH137" s="2">
        <f t="shared" si="47"/>
        <v>1.3735808539545039E-5</v>
      </c>
      <c r="AJ137" s="2">
        <f t="shared" si="48"/>
        <v>1.0396720109893447</v>
      </c>
      <c r="AL137" s="2">
        <f t="shared" si="49"/>
        <v>1.1847678303658074</v>
      </c>
      <c r="AN137" s="2">
        <f t="shared" si="50"/>
        <v>1.3208492630323108</v>
      </c>
      <c r="AP137" s="2">
        <f t="shared" si="51"/>
        <v>1.4902727850556849</v>
      </c>
    </row>
    <row r="138" spans="4:42" x14ac:dyDescent="0.3">
      <c r="D138">
        <v>5</v>
      </c>
      <c r="E138" t="s">
        <v>4</v>
      </c>
      <c r="F138">
        <v>19.899999999999999</v>
      </c>
      <c r="G138">
        <v>5.07</v>
      </c>
      <c r="H138">
        <v>4.9400000000000004</v>
      </c>
      <c r="I138">
        <v>15.34</v>
      </c>
      <c r="J138">
        <v>11.78</v>
      </c>
      <c r="K138">
        <v>3000</v>
      </c>
      <c r="L138">
        <f t="shared" si="53"/>
        <v>3.5600000000000005</v>
      </c>
      <c r="M138">
        <f t="shared" si="54"/>
        <v>5.0050000000000008</v>
      </c>
      <c r="N138" s="2">
        <f>FiberLength!D38*$C$2*PI()</f>
        <v>3.8264598520723679E-4</v>
      </c>
      <c r="O138" s="2">
        <f t="shared" si="17"/>
        <v>11.184386503213116</v>
      </c>
      <c r="Q138">
        <v>0.35699999999999998</v>
      </c>
      <c r="S138">
        <v>0.77900000000000003</v>
      </c>
      <c r="U138">
        <v>0.91700000000000004</v>
      </c>
      <c r="W138">
        <v>0.96299999999999997</v>
      </c>
      <c r="X138">
        <v>833</v>
      </c>
      <c r="Y138" s="2">
        <f t="shared" si="52"/>
        <v>0.18582399401983149</v>
      </c>
      <c r="Z138" s="2">
        <f t="shared" si="43"/>
        <v>2.320808887107316</v>
      </c>
      <c r="AB138" s="2">
        <f t="shared" si="44"/>
        <v>2.8860134263578565E-5</v>
      </c>
      <c r="AD138" s="2">
        <f t="shared" si="45"/>
        <v>2.0606078811631529E-5</v>
      </c>
      <c r="AF138" s="2">
        <f t="shared" si="46"/>
        <v>1.6423853353353494E-5</v>
      </c>
      <c r="AH138" s="2">
        <f t="shared" si="47"/>
        <v>1.2610562548971027E-5</v>
      </c>
      <c r="AJ138" s="2">
        <f t="shared" si="48"/>
        <v>1.0430669364354213</v>
      </c>
      <c r="AL138" s="2">
        <f t="shared" si="49"/>
        <v>1.138301321015373</v>
      </c>
      <c r="AN138" s="2">
        <f t="shared" si="50"/>
        <v>1.2139291743205449</v>
      </c>
      <c r="AP138" s="2">
        <f t="shared" si="51"/>
        <v>1.314803236963741</v>
      </c>
    </row>
    <row r="139" spans="4:42" x14ac:dyDescent="0.3">
      <c r="E139" t="s">
        <v>5</v>
      </c>
      <c r="F139">
        <v>19.899999999999999</v>
      </c>
      <c r="G139">
        <v>5.07</v>
      </c>
      <c r="H139">
        <v>4.9400000000000004</v>
      </c>
      <c r="I139">
        <v>15.32</v>
      </c>
      <c r="J139">
        <v>11.75</v>
      </c>
      <c r="K139">
        <v>3000</v>
      </c>
      <c r="L139">
        <f t="shared" si="53"/>
        <v>3.5700000000000003</v>
      </c>
      <c r="M139">
        <f t="shared" si="54"/>
        <v>5.0050000000000008</v>
      </c>
      <c r="N139" s="2">
        <f>FiberLength!D39*$C$2*PI()</f>
        <v>3.7824775549221107E-4</v>
      </c>
      <c r="O139" s="2">
        <f t="shared" si="17"/>
        <v>11.346219636898883</v>
      </c>
      <c r="Q139">
        <v>0.34599999999999997</v>
      </c>
      <c r="S139">
        <v>0.77700000000000002</v>
      </c>
      <c r="U139">
        <v>0.91600000000000004</v>
      </c>
      <c r="W139">
        <v>0.96299999999999997</v>
      </c>
      <c r="X139">
        <v>836</v>
      </c>
      <c r="Y139" s="2">
        <f t="shared" si="52"/>
        <v>0.18320933846823498</v>
      </c>
      <c r="Z139" s="2">
        <f t="shared" si="43"/>
        <v>2.3531132795579444</v>
      </c>
      <c r="AB139" s="2">
        <f t="shared" si="44"/>
        <v>2.8893633574140305E-5</v>
      </c>
      <c r="AD139" s="2">
        <f t="shared" si="45"/>
        <v>2.0638056269929154E-5</v>
      </c>
      <c r="AF139" s="2">
        <f t="shared" si="46"/>
        <v>1.6454783076808328E-5</v>
      </c>
      <c r="AH139" s="2">
        <f t="shared" si="47"/>
        <v>1.2640338882155543E-5</v>
      </c>
      <c r="AJ139" s="2">
        <f t="shared" si="48"/>
        <v>1.0423627442570467</v>
      </c>
      <c r="AL139" s="2">
        <f t="shared" si="49"/>
        <v>1.1400461161379833</v>
      </c>
      <c r="AN139" s="2">
        <f t="shared" si="50"/>
        <v>1.2170165022449526</v>
      </c>
      <c r="AP139" s="2">
        <f t="shared" si="51"/>
        <v>1.3198691238602545</v>
      </c>
    </row>
    <row r="140" spans="4:42" x14ac:dyDescent="0.3">
      <c r="E140" t="s">
        <v>6</v>
      </c>
      <c r="F140">
        <v>19.899999999999999</v>
      </c>
      <c r="G140">
        <v>5.07</v>
      </c>
      <c r="H140">
        <v>4.9400000000000004</v>
      </c>
      <c r="I140">
        <v>15.76</v>
      </c>
      <c r="J140">
        <v>11.8</v>
      </c>
      <c r="K140">
        <v>3000</v>
      </c>
      <c r="L140">
        <f t="shared" si="53"/>
        <v>3.9599999999999991</v>
      </c>
      <c r="M140">
        <f t="shared" si="54"/>
        <v>5.0050000000000008</v>
      </c>
      <c r="N140" s="2">
        <f>FiberLength!D40*$C$2*PI()</f>
        <v>3.8704421492226246E-4</v>
      </c>
      <c r="O140" s="2">
        <f t="shared" si="17"/>
        <v>12.299683471932401</v>
      </c>
      <c r="Q140">
        <v>0.34300000000000003</v>
      </c>
      <c r="S140">
        <v>0.76600000000000001</v>
      </c>
      <c r="U140">
        <v>0.90800000000000003</v>
      </c>
      <c r="W140">
        <v>0.95</v>
      </c>
      <c r="X140">
        <v>900</v>
      </c>
      <c r="Y140" s="2">
        <f t="shared" si="52"/>
        <v>0.18356790806372061</v>
      </c>
      <c r="Z140" s="2">
        <f t="shared" si="43"/>
        <v>2.5510435981258142</v>
      </c>
      <c r="AB140" s="2">
        <f t="shared" si="44"/>
        <v>2.9089857073489253E-5</v>
      </c>
      <c r="AD140" s="2">
        <f t="shared" si="45"/>
        <v>2.0825289777592029E-5</v>
      </c>
      <c r="AF140" s="2">
        <f t="shared" si="46"/>
        <v>1.6635894426782607E-5</v>
      </c>
      <c r="AH140" s="2">
        <f t="shared" si="47"/>
        <v>1.2814835900120373E-5</v>
      </c>
      <c r="AJ140" s="2">
        <f t="shared" si="48"/>
        <v>1.0456461575905445</v>
      </c>
      <c r="AL140" s="2">
        <f t="shared" si="49"/>
        <v>1.1503327449808187</v>
      </c>
      <c r="AN140" s="2">
        <f t="shared" si="50"/>
        <v>1.2346758010733965</v>
      </c>
      <c r="AP140" s="2">
        <f t="shared" si="51"/>
        <v>1.3453565645795411</v>
      </c>
    </row>
    <row r="141" spans="4:42" x14ac:dyDescent="0.3">
      <c r="E141" t="s">
        <v>7</v>
      </c>
      <c r="F141">
        <v>19.899999999999999</v>
      </c>
      <c r="G141">
        <v>5.07</v>
      </c>
      <c r="H141">
        <v>4.9400000000000004</v>
      </c>
      <c r="I141">
        <v>15.71</v>
      </c>
      <c r="J141">
        <v>11.81</v>
      </c>
      <c r="K141">
        <v>3000</v>
      </c>
      <c r="L141">
        <f t="shared" si="53"/>
        <v>3.9000000000000004</v>
      </c>
      <c r="M141">
        <f t="shared" si="54"/>
        <v>5.0050000000000008</v>
      </c>
      <c r="N141" s="2">
        <f>FiberLength!D41*$C$2*PI()</f>
        <v>3.9144244463728818E-4</v>
      </c>
      <c r="O141" s="2">
        <f t="shared" si="17"/>
        <v>11.977219860308704</v>
      </c>
      <c r="Q141">
        <v>0.32200000000000001</v>
      </c>
      <c r="S141">
        <v>0.74399999999999999</v>
      </c>
      <c r="U141">
        <v>0.89700000000000002</v>
      </c>
      <c r="W141">
        <v>0.93899999999999995</v>
      </c>
      <c r="X141">
        <v>951</v>
      </c>
      <c r="Y141" s="2">
        <f t="shared" si="52"/>
        <v>0.17527905722301371</v>
      </c>
      <c r="Z141" s="2">
        <f t="shared" si="43"/>
        <v>2.4798989428615013</v>
      </c>
      <c r="AB141" s="2">
        <f t="shared" si="44"/>
        <v>2.9023708276648008E-5</v>
      </c>
      <c r="AD141" s="2">
        <f t="shared" si="45"/>
        <v>2.0762184855843823E-5</v>
      </c>
      <c r="AF141" s="2">
        <f t="shared" si="46"/>
        <v>1.6574849334980395E-5</v>
      </c>
      <c r="AH141" s="2">
        <f t="shared" si="47"/>
        <v>1.2755991734259956E-5</v>
      </c>
      <c r="AJ141" s="2">
        <f t="shared" si="48"/>
        <v>1.0416900092748953</v>
      </c>
      <c r="AL141" s="2">
        <f t="shared" si="49"/>
        <v>1.1419711295377357</v>
      </c>
      <c r="AN141" s="2">
        <f t="shared" si="50"/>
        <v>1.2252686542409812</v>
      </c>
      <c r="AP141" s="2">
        <f t="shared" si="51"/>
        <v>1.3313249280638291</v>
      </c>
    </row>
    <row r="142" spans="4:42" x14ac:dyDescent="0.3">
      <c r="D142">
        <v>7</v>
      </c>
      <c r="E142" t="s">
        <v>4</v>
      </c>
      <c r="F142">
        <v>19.899999999999999</v>
      </c>
      <c r="G142">
        <v>5.07</v>
      </c>
      <c r="H142">
        <v>4.9400000000000004</v>
      </c>
      <c r="I142">
        <v>14.2</v>
      </c>
      <c r="J142">
        <v>11.73</v>
      </c>
      <c r="K142">
        <v>3000</v>
      </c>
      <c r="L142">
        <f t="shared" si="53"/>
        <v>2.4699999999999989</v>
      </c>
      <c r="M142">
        <f t="shared" si="54"/>
        <v>5.0050000000000008</v>
      </c>
      <c r="N142" s="2">
        <f>FiberLength!D42*$C$2*PI()</f>
        <v>3.8924332977977537E-4</v>
      </c>
      <c r="O142" s="2">
        <f t="shared" si="17"/>
        <v>7.6284289204452014</v>
      </c>
      <c r="Q142">
        <v>0.61899999999999999</v>
      </c>
      <c r="S142">
        <v>0.90600000000000003</v>
      </c>
      <c r="U142">
        <v>0.96399999999999997</v>
      </c>
      <c r="W142">
        <v>0.98699999999999999</v>
      </c>
      <c r="X142">
        <v>385</v>
      </c>
      <c r="Y142" s="2">
        <f t="shared" si="52"/>
        <v>0.25262008517793633</v>
      </c>
      <c r="Z142" s="2">
        <f t="shared" si="43"/>
        <v>1.6051807846113286</v>
      </c>
      <c r="AB142" s="2">
        <f t="shared" si="44"/>
        <v>2.8107982720383663E-5</v>
      </c>
      <c r="AD142" s="2">
        <f t="shared" si="45"/>
        <v>1.9886593618947874E-5</v>
      </c>
      <c r="AF142" s="2">
        <f t="shared" si="46"/>
        <v>1.5727590268406067E-5</v>
      </c>
      <c r="AH142" s="2">
        <f t="shared" si="47"/>
        <v>1.19412624414202E-5</v>
      </c>
      <c r="AJ142" s="2">
        <f t="shared" si="48"/>
        <v>1.0504700931264401</v>
      </c>
      <c r="AL142" s="2">
        <f t="shared" si="49"/>
        <v>1.1080518942247157</v>
      </c>
      <c r="AN142" s="2">
        <f t="shared" si="50"/>
        <v>1.1501055517015211</v>
      </c>
      <c r="AP142" s="2">
        <f t="shared" si="51"/>
        <v>1.212930844809563</v>
      </c>
    </row>
    <row r="143" spans="4:42" x14ac:dyDescent="0.3">
      <c r="E143" t="s">
        <v>5</v>
      </c>
      <c r="F143">
        <v>19.899999999999999</v>
      </c>
      <c r="G143">
        <v>5.07</v>
      </c>
      <c r="H143">
        <v>4.9400000000000004</v>
      </c>
      <c r="I143">
        <v>14.75</v>
      </c>
      <c r="J143">
        <v>12.34</v>
      </c>
      <c r="K143">
        <v>3000</v>
      </c>
      <c r="L143">
        <f t="shared" si="53"/>
        <v>2.41</v>
      </c>
      <c r="M143">
        <f t="shared" si="54"/>
        <v>5.0050000000000008</v>
      </c>
      <c r="N143" s="2">
        <f>FiberLength!D43*$C$2*PI()</f>
        <v>3.8484510006474965E-4</v>
      </c>
      <c r="O143" s="2">
        <f t="shared" si="17"/>
        <v>7.528187217106562</v>
      </c>
      <c r="Q143">
        <v>0.66200000000000003</v>
      </c>
      <c r="S143">
        <v>0.92100000000000004</v>
      </c>
      <c r="U143">
        <v>0.96599999999999997</v>
      </c>
      <c r="W143">
        <v>0.98399999999999999</v>
      </c>
      <c r="X143">
        <v>315</v>
      </c>
      <c r="Y143" s="2">
        <f t="shared" si="52"/>
        <v>0.26403196379926669</v>
      </c>
      <c r="Z143" s="2">
        <f t="shared" si="43"/>
        <v>1.58790085898563</v>
      </c>
      <c r="AB143" s="2">
        <f t="shared" si="44"/>
        <v>2.8086283903840062E-5</v>
      </c>
      <c r="AD143" s="2">
        <f t="shared" si="45"/>
        <v>1.9865781802288869E-5</v>
      </c>
      <c r="AF143" s="2">
        <f t="shared" si="46"/>
        <v>1.5707427381748569E-5</v>
      </c>
      <c r="AH143" s="2">
        <f t="shared" si="47"/>
        <v>1.1921887670906709E-5</v>
      </c>
      <c r="AJ143" s="2">
        <f t="shared" si="48"/>
        <v>1.0532542238981069</v>
      </c>
      <c r="AL143" s="2">
        <f t="shared" si="49"/>
        <v>1.1083545736584814</v>
      </c>
      <c r="AN143" s="2">
        <f t="shared" si="50"/>
        <v>1.1483566660045434</v>
      </c>
      <c r="AP143" s="2">
        <f t="shared" si="51"/>
        <v>1.2093136161518629</v>
      </c>
    </row>
    <row r="144" spans="4:42" x14ac:dyDescent="0.3">
      <c r="E144" t="s">
        <v>6</v>
      </c>
      <c r="F144">
        <v>19.899999999999999</v>
      </c>
      <c r="G144">
        <v>5.07</v>
      </c>
      <c r="H144">
        <v>4.9400000000000004</v>
      </c>
      <c r="I144">
        <v>14.13</v>
      </c>
      <c r="J144">
        <v>11.85</v>
      </c>
      <c r="K144">
        <v>3000</v>
      </c>
      <c r="L144">
        <f t="shared" si="53"/>
        <v>2.2800000000000011</v>
      </c>
      <c r="M144">
        <f t="shared" si="54"/>
        <v>5.0050000000000008</v>
      </c>
      <c r="N144" s="2">
        <f>FiberLength!D44*$C$2*PI()</f>
        <v>3.8484510006474965E-4</v>
      </c>
      <c r="O144" s="2">
        <f t="shared" si="17"/>
        <v>7.1221024294618127</v>
      </c>
      <c r="Q144">
        <v>0.66400000000000003</v>
      </c>
      <c r="S144">
        <v>0.91700000000000004</v>
      </c>
      <c r="U144">
        <v>0.96799999999999997</v>
      </c>
      <c r="W144">
        <v>0.98799999999999999</v>
      </c>
      <c r="X144">
        <v>333</v>
      </c>
      <c r="Y144" s="2">
        <f t="shared" si="52"/>
        <v>0.26301332055109344</v>
      </c>
      <c r="Z144" s="2">
        <f t="shared" si="43"/>
        <v>1.501923752828743</v>
      </c>
      <c r="AB144" s="2">
        <f t="shared" si="44"/>
        <v>2.7998067026702976E-5</v>
      </c>
      <c r="AD144" s="2">
        <f t="shared" si="45"/>
        <v>1.9781130732547186E-5</v>
      </c>
      <c r="AF144" s="2">
        <f t="shared" si="46"/>
        <v>1.5625394277531234E-5</v>
      </c>
      <c r="AH144" s="2">
        <f t="shared" si="47"/>
        <v>1.1843051303661418E-5</v>
      </c>
      <c r="AJ144" s="2">
        <f t="shared" si="48"/>
        <v>1.0504860533093834</v>
      </c>
      <c r="AL144" s="2">
        <f t="shared" si="49"/>
        <v>1.1019031232259373</v>
      </c>
      <c r="AN144" s="2">
        <f t="shared" si="50"/>
        <v>1.1403275188209492</v>
      </c>
      <c r="AP144" s="2">
        <f t="shared" si="51"/>
        <v>1.1981432300553383</v>
      </c>
    </row>
    <row r="145" spans="4:42" x14ac:dyDescent="0.3">
      <c r="E145" t="s">
        <v>7</v>
      </c>
      <c r="F145">
        <v>19.899999999999999</v>
      </c>
      <c r="G145">
        <v>5.07</v>
      </c>
      <c r="H145">
        <v>4.9400000000000004</v>
      </c>
      <c r="I145">
        <v>14.27</v>
      </c>
      <c r="J145">
        <v>11.8</v>
      </c>
      <c r="K145">
        <v>3000</v>
      </c>
      <c r="L145">
        <f t="shared" si="53"/>
        <v>2.4699999999999989</v>
      </c>
      <c r="M145">
        <f t="shared" si="54"/>
        <v>5.0050000000000008</v>
      </c>
      <c r="N145" s="2">
        <f>FiberLength!D45*$C$2*PI()</f>
        <v>3.8704421492226246E-4</v>
      </c>
      <c r="O145" s="2">
        <f t="shared" si="17"/>
        <v>7.6717722665840951</v>
      </c>
      <c r="Q145">
        <v>0.64800000000000002</v>
      </c>
      <c r="S145">
        <v>0.91700000000000004</v>
      </c>
      <c r="U145">
        <v>0.96499999999999997</v>
      </c>
      <c r="W145">
        <v>0.98499999999999999</v>
      </c>
      <c r="X145">
        <v>334</v>
      </c>
      <c r="Y145" s="2">
        <f t="shared" si="52"/>
        <v>0.26073175248319719</v>
      </c>
      <c r="Z145" s="2">
        <f t="shared" si="43"/>
        <v>1.6170612339636521</v>
      </c>
      <c r="AB145" s="2">
        <f t="shared" si="44"/>
        <v>2.8117355708777214E-5</v>
      </c>
      <c r="AD145" s="2">
        <f t="shared" si="45"/>
        <v>1.9895582286305167E-5</v>
      </c>
      <c r="AF145" s="2">
        <f t="shared" si="46"/>
        <v>1.5736298051891618E-5</v>
      </c>
      <c r="AH145" s="2">
        <f t="shared" si="47"/>
        <v>1.1949629629060993E-5</v>
      </c>
      <c r="AJ145" s="2">
        <f t="shared" si="48"/>
        <v>1.0531402543057267</v>
      </c>
      <c r="AL145" s="2">
        <f t="shared" si="49"/>
        <v>1.1100040582169486</v>
      </c>
      <c r="AN145" s="2">
        <f t="shared" si="50"/>
        <v>1.1511520293103779</v>
      </c>
      <c r="AP145" s="2">
        <f t="shared" si="51"/>
        <v>1.2137866936056856</v>
      </c>
    </row>
    <row r="146" spans="4:42" x14ac:dyDescent="0.3">
      <c r="D146">
        <v>9</v>
      </c>
      <c r="E146" t="s">
        <v>4</v>
      </c>
      <c r="F146">
        <v>19.899999999999999</v>
      </c>
      <c r="G146">
        <v>5.07</v>
      </c>
      <c r="H146">
        <v>4.9400000000000004</v>
      </c>
      <c r="I146">
        <v>13.6</v>
      </c>
      <c r="J146">
        <v>11.79</v>
      </c>
      <c r="K146">
        <v>3000</v>
      </c>
      <c r="L146">
        <f t="shared" si="53"/>
        <v>1.8100000000000005</v>
      </c>
      <c r="M146">
        <f t="shared" si="54"/>
        <v>5.0050000000000008</v>
      </c>
      <c r="N146" s="2">
        <f>FiberLength!D46*$C$2*PI()</f>
        <v>3.8924332977977537E-4</v>
      </c>
      <c r="O146" s="2">
        <f t="shared" si="17"/>
        <v>5.590063297978066</v>
      </c>
      <c r="Q146">
        <v>0.87</v>
      </c>
      <c r="S146">
        <v>0.96</v>
      </c>
      <c r="U146">
        <v>0.96599999999999997</v>
      </c>
      <c r="W146">
        <v>0.96899999999999997</v>
      </c>
      <c r="X146">
        <v>194</v>
      </c>
      <c r="Y146" s="2">
        <f t="shared" si="52"/>
        <v>0.31080068527645877</v>
      </c>
      <c r="Z146" s="2">
        <f t="shared" si="43"/>
        <v>1.190844896688688</v>
      </c>
      <c r="AB146" s="2">
        <f t="shared" si="44"/>
        <v>2.7660385095303552E-5</v>
      </c>
      <c r="AD146" s="2">
        <f t="shared" si="45"/>
        <v>1.9456429114515475E-5</v>
      </c>
      <c r="AF146" s="2">
        <f t="shared" si="46"/>
        <v>1.5310344047301391E-5</v>
      </c>
      <c r="AH146" s="2">
        <f t="shared" si="47"/>
        <v>1.154001486165837E-5</v>
      </c>
      <c r="AJ146" s="2">
        <f t="shared" si="48"/>
        <v>1.0517447982522756</v>
      </c>
      <c r="AL146" s="2">
        <f t="shared" si="49"/>
        <v>1.0832615080610253</v>
      </c>
      <c r="AN146" s="2">
        <f t="shared" si="50"/>
        <v>1.1090310746808574</v>
      </c>
      <c r="AP146" s="2">
        <f t="shared" si="51"/>
        <v>1.1506584194134677</v>
      </c>
    </row>
    <row r="147" spans="4:42" x14ac:dyDescent="0.3">
      <c r="E147" t="s">
        <v>5</v>
      </c>
      <c r="F147">
        <v>19.899999999999999</v>
      </c>
      <c r="G147">
        <v>5.07</v>
      </c>
      <c r="H147">
        <v>4.9400000000000004</v>
      </c>
      <c r="I147">
        <v>13.53</v>
      </c>
      <c r="J147">
        <v>11.72</v>
      </c>
      <c r="K147">
        <v>3000</v>
      </c>
      <c r="L147">
        <f t="shared" si="53"/>
        <v>1.8099999999999987</v>
      </c>
      <c r="M147">
        <f t="shared" si="54"/>
        <v>5.0050000000000008</v>
      </c>
      <c r="N147" s="2">
        <f>FiberLength!D47*$C$2*PI()</f>
        <v>3.8484510006474965E-4</v>
      </c>
      <c r="O147" s="2">
        <f t="shared" si="17"/>
        <v>5.6539497356692383</v>
      </c>
      <c r="Q147">
        <v>0.86299999999999999</v>
      </c>
      <c r="S147">
        <v>0.95599999999999996</v>
      </c>
      <c r="U147">
        <v>0.96299999999999997</v>
      </c>
      <c r="W147">
        <v>0.96599999999999997</v>
      </c>
      <c r="X147">
        <v>203</v>
      </c>
      <c r="Y147" s="2">
        <f t="shared" si="52"/>
        <v>0.30896211269985224</v>
      </c>
      <c r="Z147" s="2">
        <f t="shared" si="43"/>
        <v>1.2039829897794572</v>
      </c>
      <c r="AB147" s="2">
        <f t="shared" si="44"/>
        <v>2.7674631063039932E-5</v>
      </c>
      <c r="AD147" s="2">
        <f t="shared" si="45"/>
        <v>1.9470151121263102E-5</v>
      </c>
      <c r="AF147" s="2">
        <f t="shared" si="46"/>
        <v>1.5323672865115563E-5</v>
      </c>
      <c r="AH147" s="2">
        <f t="shared" si="47"/>
        <v>1.155284748771652E-5</v>
      </c>
      <c r="AJ147" s="2">
        <f t="shared" si="48"/>
        <v>1.0519220330031238</v>
      </c>
      <c r="AL147" s="2">
        <f t="shared" si="49"/>
        <v>1.0838810344319716</v>
      </c>
      <c r="AN147" s="2">
        <f t="shared" si="50"/>
        <v>1.109969978791995</v>
      </c>
      <c r="AP147" s="2">
        <f t="shared" si="51"/>
        <v>1.1519832386534001</v>
      </c>
    </row>
    <row r="148" spans="4:42" x14ac:dyDescent="0.3">
      <c r="E148" t="s">
        <v>6</v>
      </c>
      <c r="F148">
        <v>19.899999999999999</v>
      </c>
      <c r="G148">
        <v>5.07</v>
      </c>
      <c r="H148">
        <v>4.9400000000000004</v>
      </c>
      <c r="I148">
        <v>13.64</v>
      </c>
      <c r="J148">
        <v>11.8</v>
      </c>
      <c r="K148">
        <v>3000</v>
      </c>
      <c r="L148">
        <f t="shared" si="53"/>
        <v>1.8399999999999999</v>
      </c>
      <c r="M148">
        <f t="shared" si="54"/>
        <v>5.0050000000000008</v>
      </c>
      <c r="N148" s="2">
        <f>FiberLength!D48*$C$2*PI()</f>
        <v>3.9364155949480104E-4</v>
      </c>
      <c r="O148" s="2">
        <f t="shared" si="17"/>
        <v>5.6192222441603015</v>
      </c>
      <c r="Q148">
        <v>0.86699999999999999</v>
      </c>
      <c r="S148">
        <v>0.96099999999999997</v>
      </c>
      <c r="U148">
        <v>0.96799999999999997</v>
      </c>
      <c r="W148">
        <v>0.97099999999999997</v>
      </c>
      <c r="X148">
        <v>196</v>
      </c>
      <c r="Y148" s="2">
        <f t="shared" si="52"/>
        <v>0.31031965374872356</v>
      </c>
      <c r="Z148" s="2">
        <f t="shared" si="43"/>
        <v>1.1969339400598966</v>
      </c>
      <c r="AB148" s="2">
        <f t="shared" si="44"/>
        <v>2.7666889098651431E-5</v>
      </c>
      <c r="AD148" s="2">
        <f t="shared" si="45"/>
        <v>1.946269418214612E-5</v>
      </c>
      <c r="AF148" s="2">
        <f t="shared" si="46"/>
        <v>1.5316429776746276E-5</v>
      </c>
      <c r="AH148" s="2">
        <f t="shared" si="47"/>
        <v>1.1545874202993585E-5</v>
      </c>
      <c r="AJ148" s="2">
        <f t="shared" si="48"/>
        <v>1.0518385173230256</v>
      </c>
      <c r="AL148" s="2">
        <f t="shared" si="49"/>
        <v>1.0837915871247277</v>
      </c>
      <c r="AN148" s="2">
        <f t="shared" si="50"/>
        <v>1.1098427983807679</v>
      </c>
      <c r="AP148" s="2">
        <f t="shared" si="51"/>
        <v>1.1517909141659375</v>
      </c>
    </row>
    <row r="149" spans="4:42" x14ac:dyDescent="0.3">
      <c r="E149" t="s">
        <v>7</v>
      </c>
      <c r="F149">
        <v>19.899999999999999</v>
      </c>
      <c r="G149">
        <v>5.07</v>
      </c>
      <c r="H149">
        <v>4.9400000000000004</v>
      </c>
      <c r="I149">
        <v>13.53</v>
      </c>
      <c r="J149">
        <v>11.7</v>
      </c>
      <c r="K149">
        <v>3000</v>
      </c>
      <c r="L149">
        <f t="shared" si="53"/>
        <v>1.83</v>
      </c>
      <c r="M149">
        <f t="shared" si="54"/>
        <v>5.0050000000000008</v>
      </c>
      <c r="N149" s="2">
        <f>FiberLength!D49*$C$2*PI()</f>
        <v>3.9144244463728818E-4</v>
      </c>
      <c r="O149" s="2">
        <f t="shared" si="17"/>
        <v>5.6200800882987005</v>
      </c>
      <c r="Q149">
        <v>0.85499999999999998</v>
      </c>
      <c r="S149">
        <v>0.95099999999999996</v>
      </c>
      <c r="U149">
        <v>0.95899999999999996</v>
      </c>
      <c r="W149">
        <v>0.96199999999999997</v>
      </c>
      <c r="X149">
        <v>206</v>
      </c>
      <c r="Y149" s="2">
        <f t="shared" si="52"/>
        <v>0.30640751525696081</v>
      </c>
      <c r="Z149" s="2">
        <f t="shared" si="43"/>
        <v>1.1961199245407756</v>
      </c>
      <c r="AB149" s="2">
        <f t="shared" si="44"/>
        <v>2.7667080395831483E-5</v>
      </c>
      <c r="AD149" s="2">
        <f t="shared" si="45"/>
        <v>1.9462878444589111E-5</v>
      </c>
      <c r="AF149" s="2">
        <f t="shared" si="46"/>
        <v>1.5316608760057782E-5</v>
      </c>
      <c r="AH149" s="2">
        <f t="shared" si="47"/>
        <v>1.1546046523932179E-5</v>
      </c>
      <c r="AJ149" s="2">
        <f t="shared" si="48"/>
        <v>1.051128925490791</v>
      </c>
      <c r="AL149" s="2">
        <f t="shared" si="49"/>
        <v>1.0829325753513397</v>
      </c>
      <c r="AN149" s="2">
        <f t="shared" si="50"/>
        <v>1.108838614908892</v>
      </c>
      <c r="AP149" s="2">
        <f t="shared" si="51"/>
        <v>1.1504079469979938</v>
      </c>
    </row>
    <row r="150" spans="4:42" x14ac:dyDescent="0.3">
      <c r="D150">
        <v>3</v>
      </c>
      <c r="E150" t="s">
        <v>4</v>
      </c>
      <c r="F150">
        <v>20</v>
      </c>
      <c r="G150">
        <v>2.0699999999999998</v>
      </c>
      <c r="H150">
        <v>1.93</v>
      </c>
      <c r="I150">
        <v>18.559999999999999</v>
      </c>
      <c r="J150">
        <v>11.77</v>
      </c>
      <c r="K150">
        <v>9300</v>
      </c>
      <c r="L150">
        <f t="shared" si="53"/>
        <v>6.7899999999999991</v>
      </c>
      <c r="M150">
        <f t="shared" si="54"/>
        <v>2</v>
      </c>
      <c r="N150" s="2">
        <f>FiberLength!D34*$C$2*PI()</f>
        <v>3.9584067435231396E-4</v>
      </c>
      <c r="O150" s="2">
        <f t="shared" ref="O150:O213" si="55">L150/N150/K150*60*60/$C$4</f>
        <v>6.6519196156448412</v>
      </c>
      <c r="Q150">
        <v>8.5999999999999993E-2</v>
      </c>
      <c r="S150">
        <v>0.46800000000000003</v>
      </c>
      <c r="U150">
        <v>0.751</v>
      </c>
      <c r="W150">
        <v>0.86699999999999999</v>
      </c>
      <c r="Y150" s="2">
        <f t="shared" ref="Y150:Y165" si="56">8.314*293.15*1000*(1/106*(Q150+AJ150-1)+1/400*(S150+AL150-1)+1/1000*(U150+AN150-1)+1/3000*(W150+AP150-1))/10^5</f>
        <v>8.17803477804534E-2</v>
      </c>
      <c r="Z150" s="2">
        <f t="shared" ref="Z150:Z166" si="57">O150/(M150-Y150)</f>
        <v>3.4677569943296085</v>
      </c>
      <c r="AB150" s="2">
        <f t="shared" ref="AB150:AB165" si="58">(($O150/1000/60/60/$AX$85)+(1+0.26*($O150/1000/60/60/$AX$85)^(1.4))^(-1.7))*$AX$85</f>
        <v>2.78952760057016E-5</v>
      </c>
      <c r="AD150" s="2">
        <f t="shared" ref="AD150:AD165" si="59">(($O150/1000/60/60/$AZ$85)+(1+0.26*($O150/1000/60/60/$AZ$85)^(1.4))^(-1.7))*$AZ$85</f>
        <v>1.9682408502685731E-5</v>
      </c>
      <c r="AF150" s="2">
        <f t="shared" ref="AF150:AF165" si="60">(($O150/1000/60/60/$BB$85)+(1+0.26*($O150/1000/60/60/$BB$85)^(1.4))^(-1.7))*$BB$85</f>
        <v>1.5529677094392202E-5</v>
      </c>
      <c r="AH150" s="2">
        <f t="shared" ref="AH150:AH165" si="61">(($O150/1000/60/60/$BD$85)+(1+0.26*($O150/1000/60/60/$BD$85)^(1.4))^(-1.7))*$BD$85</f>
        <v>1.1751036872322224E-5</v>
      </c>
      <c r="AJ150" s="2">
        <f t="shared" ref="AJ150:AJ165" si="62">(AB150/($O150/1000/60/60)+Q150-1)/(AB150/($O150/1000/60/60)-1)</f>
        <v>1.0061006562313202</v>
      </c>
      <c r="AL150" s="2">
        <f t="shared" ref="AL150:AL165" si="63">(AD150/($O150/1000/60/60)+S150-1)/(AD150/($O150/1000/60/60)-1)</f>
        <v>1.0484870407863049</v>
      </c>
      <c r="AN150" s="2">
        <f t="shared" ref="AN150:AN165" si="64">(AF150/($O150/1000/60/60)+U150-1)/(AF150/($O150/1000/60/60)-1)</f>
        <v>1.10142320486739</v>
      </c>
      <c r="AP150" s="2">
        <f t="shared" ref="AP150:AP165" si="65">(AH150/($O150/1000/60/60)+W150-1)/(AH150/($O150/1000/60/60)-1)</f>
        <v>1.1617649651250423</v>
      </c>
    </row>
    <row r="151" spans="4:42" x14ac:dyDescent="0.3">
      <c r="E151" t="s">
        <v>5</v>
      </c>
      <c r="F151">
        <v>20</v>
      </c>
      <c r="G151">
        <v>2.0699999999999998</v>
      </c>
      <c r="H151">
        <v>1.93</v>
      </c>
      <c r="I151">
        <v>20.14</v>
      </c>
      <c r="J151">
        <v>11.79</v>
      </c>
      <c r="K151">
        <v>9300</v>
      </c>
      <c r="L151">
        <f t="shared" si="53"/>
        <v>8.3500000000000014</v>
      </c>
      <c r="M151">
        <f t="shared" si="54"/>
        <v>2</v>
      </c>
      <c r="N151" s="2">
        <f>FiberLength!D35*$C$2*PI()</f>
        <v>3.9584067435231396E-4</v>
      </c>
      <c r="O151" s="2">
        <f t="shared" si="55"/>
        <v>8.1801956981788564</v>
      </c>
      <c r="Q151">
        <v>7.2999999999999995E-2</v>
      </c>
      <c r="S151">
        <v>0.42499999999999999</v>
      </c>
      <c r="U151">
        <v>0.72</v>
      </c>
      <c r="W151">
        <v>0.84599999999999997</v>
      </c>
      <c r="Y151" s="2">
        <f t="shared" si="56"/>
        <v>7.6427469592049477E-2</v>
      </c>
      <c r="Z151" s="2">
        <f t="shared" si="57"/>
        <v>4.2526057992957531</v>
      </c>
      <c r="AB151" s="2">
        <f t="shared" si="58"/>
        <v>2.8226890307289183E-5</v>
      </c>
      <c r="AD151" s="2">
        <f t="shared" si="59"/>
        <v>2.0000575028059008E-5</v>
      </c>
      <c r="AF151" s="2">
        <f t="shared" si="60"/>
        <v>1.5837984551764336E-5</v>
      </c>
      <c r="AH151" s="2">
        <f t="shared" si="61"/>
        <v>1.2047331630979097E-5</v>
      </c>
      <c r="AJ151" s="2">
        <f t="shared" si="62"/>
        <v>1.0063910097953055</v>
      </c>
      <c r="AL151" s="2">
        <f t="shared" si="63"/>
        <v>1.0544732226098905</v>
      </c>
      <c r="AN151" s="2">
        <f t="shared" si="64"/>
        <v>1.1206010879330455</v>
      </c>
      <c r="AP151" s="2">
        <f t="shared" si="65"/>
        <v>1.1966583287360133</v>
      </c>
    </row>
    <row r="152" spans="4:42" x14ac:dyDescent="0.3">
      <c r="E152" t="s">
        <v>6</v>
      </c>
      <c r="F152">
        <v>20</v>
      </c>
      <c r="G152">
        <v>2.0699999999999998</v>
      </c>
      <c r="H152">
        <v>1.93</v>
      </c>
      <c r="I152">
        <v>19.57</v>
      </c>
      <c r="J152">
        <v>11.81</v>
      </c>
      <c r="K152">
        <v>9300</v>
      </c>
      <c r="L152">
        <f t="shared" si="53"/>
        <v>7.76</v>
      </c>
      <c r="M152">
        <f t="shared" si="54"/>
        <v>2</v>
      </c>
      <c r="N152" s="2">
        <f>FiberLength!D36*$C$2*PI()</f>
        <v>3.9364155949480104E-4</v>
      </c>
      <c r="O152" s="2">
        <f t="shared" si="55"/>
        <v>7.6446642031353322</v>
      </c>
      <c r="Q152">
        <v>8.3000000000000004E-2</v>
      </c>
      <c r="S152">
        <v>0.46</v>
      </c>
      <c r="U152">
        <v>0.745</v>
      </c>
      <c r="W152">
        <v>0.86799999999999999</v>
      </c>
      <c r="Y152" s="2">
        <f t="shared" si="56"/>
        <v>8.1589594131621312E-2</v>
      </c>
      <c r="Z152" s="2">
        <f t="shared" si="57"/>
        <v>3.9848950880116472</v>
      </c>
      <c r="AB152" s="2">
        <f t="shared" si="58"/>
        <v>2.8111494253580648E-5</v>
      </c>
      <c r="AD152" s="2">
        <f t="shared" si="59"/>
        <v>1.9889961251023134E-5</v>
      </c>
      <c r="AF152" s="2">
        <f t="shared" si="60"/>
        <v>1.5730852709013656E-5</v>
      </c>
      <c r="AH152" s="2">
        <f t="shared" si="61"/>
        <v>1.1944397290469401E-5</v>
      </c>
      <c r="AJ152" s="2">
        <f t="shared" si="62"/>
        <v>1.0067820586487659</v>
      </c>
      <c r="AL152" s="2">
        <f t="shared" si="63"/>
        <v>1.0549810775751123</v>
      </c>
      <c r="AN152" s="2">
        <f t="shared" si="64"/>
        <v>1.1162623541668613</v>
      </c>
      <c r="AP152" s="2">
        <f t="shared" si="65"/>
        <v>1.1876831385923829</v>
      </c>
    </row>
    <row r="153" spans="4:42" x14ac:dyDescent="0.3">
      <c r="E153" t="s">
        <v>7</v>
      </c>
      <c r="F153">
        <v>20</v>
      </c>
      <c r="G153">
        <v>2.0699999999999998</v>
      </c>
      <c r="H153">
        <v>1.93</v>
      </c>
      <c r="I153">
        <v>19.16</v>
      </c>
      <c r="J153">
        <v>12.26</v>
      </c>
      <c r="K153">
        <v>9300</v>
      </c>
      <c r="L153">
        <f t="shared" si="53"/>
        <v>6.9</v>
      </c>
      <c r="M153">
        <f t="shared" si="54"/>
        <v>2</v>
      </c>
      <c r="N153" s="2">
        <f>FiberLength!D37*$C$2*PI()</f>
        <v>3.9364155949480104E-4</v>
      </c>
      <c r="O153" s="2">
        <f t="shared" si="55"/>
        <v>6.7974462630971395</v>
      </c>
      <c r="Q153">
        <v>7.8E-2</v>
      </c>
      <c r="S153">
        <v>0.47099999999999997</v>
      </c>
      <c r="U153">
        <v>0.76100000000000001</v>
      </c>
      <c r="W153">
        <v>0.871</v>
      </c>
      <c r="Y153" s="2">
        <f t="shared" si="56"/>
        <v>8.0509642875182558E-2</v>
      </c>
      <c r="Z153" s="2">
        <f t="shared" si="57"/>
        <v>3.5412765882705219</v>
      </c>
      <c r="AB153" s="2">
        <f t="shared" si="58"/>
        <v>2.7927167307615613E-5</v>
      </c>
      <c r="AD153" s="2">
        <f t="shared" si="59"/>
        <v>1.9713047759595313E-5</v>
      </c>
      <c r="AF153" s="2">
        <f t="shared" si="60"/>
        <v>1.5559389639881335E-5</v>
      </c>
      <c r="AH153" s="2">
        <f t="shared" si="61"/>
        <v>1.1779603802956903E-5</v>
      </c>
      <c r="AJ153" s="2">
        <f t="shared" si="62"/>
        <v>1.0056560571230484</v>
      </c>
      <c r="AL153" s="2">
        <f t="shared" si="63"/>
        <v>1.0498927981221371</v>
      </c>
      <c r="AN153" s="2">
        <f t="shared" si="64"/>
        <v>1.1051044201631055</v>
      </c>
      <c r="AP153" s="2">
        <f t="shared" si="65"/>
        <v>1.1662656774503655</v>
      </c>
    </row>
    <row r="154" spans="4:42" x14ac:dyDescent="0.3">
      <c r="D154">
        <v>5</v>
      </c>
      <c r="E154" t="s">
        <v>4</v>
      </c>
      <c r="F154">
        <v>20</v>
      </c>
      <c r="G154">
        <v>2.0699999999999998</v>
      </c>
      <c r="H154">
        <v>1.93</v>
      </c>
      <c r="I154">
        <v>15.99</v>
      </c>
      <c r="J154">
        <v>11.78</v>
      </c>
      <c r="K154">
        <v>9300</v>
      </c>
      <c r="L154">
        <f t="shared" si="53"/>
        <v>4.2100000000000009</v>
      </c>
      <c r="M154">
        <f t="shared" si="54"/>
        <v>2</v>
      </c>
      <c r="N154" s="2">
        <f>FiberLength!D38*$C$2*PI()</f>
        <v>3.8264598520723679E-4</v>
      </c>
      <c r="O154" s="2">
        <f t="shared" si="55"/>
        <v>4.2666063046871345</v>
      </c>
      <c r="Q154">
        <v>0.16200000000000001</v>
      </c>
      <c r="S154">
        <v>0.623</v>
      </c>
      <c r="U154">
        <v>0.85799999999999998</v>
      </c>
      <c r="W154">
        <v>0.94199999999999995</v>
      </c>
      <c r="X154">
        <v>1778</v>
      </c>
      <c r="Y154" s="2">
        <f t="shared" si="56"/>
        <v>0.11065099662584067</v>
      </c>
      <c r="Z154" s="2">
        <f t="shared" si="57"/>
        <v>2.258241487976794</v>
      </c>
      <c r="AB154" s="2">
        <f t="shared" si="58"/>
        <v>2.7361649850006622E-5</v>
      </c>
      <c r="AD154" s="2">
        <f t="shared" si="59"/>
        <v>1.9168124512845598E-5</v>
      </c>
      <c r="AF154" s="2">
        <f t="shared" si="60"/>
        <v>1.5029927757386101E-5</v>
      </c>
      <c r="AH154" s="2">
        <f t="shared" si="61"/>
        <v>1.1269668251638339E-5</v>
      </c>
      <c r="AJ154" s="2">
        <f t="shared" si="62"/>
        <v>1.0073347246538615</v>
      </c>
      <c r="AL154" s="2">
        <f t="shared" si="63"/>
        <v>1.0410588737746413</v>
      </c>
      <c r="AN154" s="2">
        <f t="shared" si="64"/>
        <v>1.0734483336031675</v>
      </c>
      <c r="AP154" s="2">
        <f t="shared" si="65"/>
        <v>1.1107073893738373</v>
      </c>
    </row>
    <row r="155" spans="4:42" x14ac:dyDescent="0.3">
      <c r="E155" t="s">
        <v>5</v>
      </c>
      <c r="F155">
        <v>20</v>
      </c>
      <c r="G155">
        <v>2.0699999999999998</v>
      </c>
      <c r="H155">
        <v>1.93</v>
      </c>
      <c r="I155">
        <v>15.87</v>
      </c>
      <c r="J155">
        <v>11.75</v>
      </c>
      <c r="K155">
        <v>9300</v>
      </c>
      <c r="L155">
        <f t="shared" si="53"/>
        <v>4.1199999999999992</v>
      </c>
      <c r="M155">
        <f t="shared" si="54"/>
        <v>2</v>
      </c>
      <c r="N155" s="2">
        <f>FiberLength!D39*$C$2*PI()</f>
        <v>3.7824775549221107E-4</v>
      </c>
      <c r="O155" s="2">
        <f t="shared" si="55"/>
        <v>4.2239473121915045</v>
      </c>
      <c r="Q155">
        <v>0.151</v>
      </c>
      <c r="S155">
        <v>0.62</v>
      </c>
      <c r="U155">
        <v>0.85899999999999999</v>
      </c>
      <c r="W155">
        <v>0.94199999999999995</v>
      </c>
      <c r="X155">
        <v>1781</v>
      </c>
      <c r="Y155" s="2">
        <f t="shared" si="56"/>
        <v>0.10777029858004628</v>
      </c>
      <c r="Z155" s="2">
        <f t="shared" si="57"/>
        <v>2.2322592806897599</v>
      </c>
      <c r="AB155" s="2">
        <f t="shared" si="58"/>
        <v>2.735189810546668E-5</v>
      </c>
      <c r="AD155" s="2">
        <f t="shared" si="59"/>
        <v>1.9158693946278575E-5</v>
      </c>
      <c r="AF155" s="2">
        <f t="shared" si="60"/>
        <v>1.5020741900245685E-5</v>
      </c>
      <c r="AH155" s="2">
        <f t="shared" si="61"/>
        <v>1.1260798186646548E-5</v>
      </c>
      <c r="AJ155" s="2">
        <f t="shared" si="62"/>
        <v>1.0067677898259368</v>
      </c>
      <c r="AL155" s="2">
        <f t="shared" si="63"/>
        <v>1.0404471734732359</v>
      </c>
      <c r="AN155" s="2">
        <f t="shared" si="64"/>
        <v>1.0727847157340473</v>
      </c>
      <c r="AP155" s="2">
        <f t="shared" si="65"/>
        <v>1.1095681249793106</v>
      </c>
    </row>
    <row r="156" spans="4:42" x14ac:dyDescent="0.3">
      <c r="E156" t="s">
        <v>6</v>
      </c>
      <c r="F156">
        <v>20</v>
      </c>
      <c r="G156">
        <v>2.0699999999999998</v>
      </c>
      <c r="H156">
        <v>1.93</v>
      </c>
      <c r="I156">
        <v>16.45</v>
      </c>
      <c r="J156">
        <v>11.8</v>
      </c>
      <c r="K156">
        <v>9300</v>
      </c>
      <c r="L156">
        <f t="shared" si="53"/>
        <v>4.6499999999999986</v>
      </c>
      <c r="M156">
        <f t="shared" si="54"/>
        <v>2</v>
      </c>
      <c r="N156" s="2">
        <f>FiberLength!D40*$C$2*PI()</f>
        <v>3.8704421492226246E-4</v>
      </c>
      <c r="O156" s="2">
        <f t="shared" si="55"/>
        <v>4.6589710120956038</v>
      </c>
      <c r="Q156">
        <v>0.151</v>
      </c>
      <c r="S156">
        <v>0.60199999999999998</v>
      </c>
      <c r="U156">
        <v>0.84499999999999997</v>
      </c>
      <c r="W156">
        <v>0.92700000000000005</v>
      </c>
      <c r="X156">
        <v>1830</v>
      </c>
      <c r="Y156" s="2">
        <f t="shared" si="56"/>
        <v>0.10678440152492416</v>
      </c>
      <c r="Z156" s="2">
        <f t="shared" si="57"/>
        <v>2.4608771530554971</v>
      </c>
      <c r="AB156" s="2">
        <f t="shared" si="58"/>
        <v>2.7450968439369692E-5</v>
      </c>
      <c r="AD156" s="2">
        <f t="shared" si="59"/>
        <v>1.9254441746149448E-5</v>
      </c>
      <c r="AF156" s="2">
        <f t="shared" si="60"/>
        <v>1.5113963406505377E-5</v>
      </c>
      <c r="AH156" s="2">
        <f t="shared" si="61"/>
        <v>1.1350769289046724E-5</v>
      </c>
      <c r="AJ156" s="2">
        <f t="shared" si="62"/>
        <v>1.007471016232228</v>
      </c>
      <c r="AL156" s="2">
        <f t="shared" si="63"/>
        <v>1.0433781294091846</v>
      </c>
      <c r="AN156" s="2">
        <f t="shared" si="64"/>
        <v>1.0791302081096195</v>
      </c>
      <c r="AP156" s="2">
        <f t="shared" si="65"/>
        <v>1.1192931768401415</v>
      </c>
    </row>
    <row r="157" spans="4:42" x14ac:dyDescent="0.3">
      <c r="E157" t="s">
        <v>7</v>
      </c>
      <c r="F157">
        <v>20</v>
      </c>
      <c r="G157">
        <v>2.0699999999999998</v>
      </c>
      <c r="H157">
        <v>1.93</v>
      </c>
      <c r="I157">
        <v>16.54</v>
      </c>
      <c r="J157">
        <v>11.81</v>
      </c>
      <c r="K157">
        <v>9300</v>
      </c>
      <c r="L157">
        <f t="shared" si="53"/>
        <v>4.7299999999999986</v>
      </c>
      <c r="M157">
        <f t="shared" si="54"/>
        <v>2</v>
      </c>
      <c r="N157" s="2">
        <f>FiberLength!D41*$C$2*PI()</f>
        <v>3.9144244463728818E-4</v>
      </c>
      <c r="O157" s="2">
        <f t="shared" si="55"/>
        <v>4.6858767526269771</v>
      </c>
      <c r="Q157">
        <v>0.14099999999999999</v>
      </c>
      <c r="S157">
        <v>0.58099999999999996</v>
      </c>
      <c r="U157">
        <v>0.83199999999999996</v>
      </c>
      <c r="W157">
        <v>0.91500000000000004</v>
      </c>
      <c r="X157">
        <v>1873</v>
      </c>
      <c r="Y157" s="2">
        <f t="shared" si="56"/>
        <v>0.10258426579730445</v>
      </c>
      <c r="Z157" s="2">
        <f t="shared" si="57"/>
        <v>2.4696099374320872</v>
      </c>
      <c r="AB157" s="2">
        <f t="shared" si="58"/>
        <v>2.7457069083123423E-5</v>
      </c>
      <c r="AD157" s="2">
        <f t="shared" si="59"/>
        <v>1.926033356615323E-5</v>
      </c>
      <c r="AF157" s="2">
        <f t="shared" si="60"/>
        <v>1.5119696832232232E-5</v>
      </c>
      <c r="AH157" s="2">
        <f t="shared" si="61"/>
        <v>1.1356299642363006E-5</v>
      </c>
      <c r="AJ157" s="2">
        <f t="shared" si="62"/>
        <v>1.0070169034168399</v>
      </c>
      <c r="AL157" s="2">
        <f t="shared" si="63"/>
        <v>1.0421104197289879</v>
      </c>
      <c r="AN157" s="2">
        <f t="shared" si="64"/>
        <v>1.0783726397132098</v>
      </c>
      <c r="AP157" s="2">
        <f t="shared" si="65"/>
        <v>1.1184518243740427</v>
      </c>
    </row>
    <row r="158" spans="4:42" x14ac:dyDescent="0.3">
      <c r="D158">
        <v>7</v>
      </c>
      <c r="E158" t="s">
        <v>4</v>
      </c>
      <c r="F158">
        <v>20</v>
      </c>
      <c r="G158">
        <v>2.0699999999999998</v>
      </c>
      <c r="H158">
        <v>1.93</v>
      </c>
      <c r="I158">
        <v>14.49</v>
      </c>
      <c r="J158">
        <v>11.73</v>
      </c>
      <c r="K158">
        <v>9300</v>
      </c>
      <c r="L158">
        <f t="shared" si="53"/>
        <v>2.76</v>
      </c>
      <c r="M158">
        <f t="shared" si="54"/>
        <v>2</v>
      </c>
      <c r="N158" s="2">
        <f>FiberLength!D42*$C$2*PI()</f>
        <v>3.8924332977977537E-4</v>
      </c>
      <c r="O158" s="2">
        <f t="shared" si="55"/>
        <v>2.7497014262020061</v>
      </c>
      <c r="Q158">
        <v>0.38600000000000001</v>
      </c>
      <c r="S158">
        <v>0.82599999999999996</v>
      </c>
      <c r="U158">
        <v>0.94499999999999995</v>
      </c>
      <c r="W158">
        <v>0.98399999999999999</v>
      </c>
      <c r="X158">
        <v>673</v>
      </c>
      <c r="Y158" s="2">
        <f t="shared" si="56"/>
        <v>0.17668140587809703</v>
      </c>
      <c r="Z158" s="2">
        <f t="shared" si="57"/>
        <v>1.5080751301865829</v>
      </c>
      <c r="AB158" s="2">
        <f t="shared" si="58"/>
        <v>2.7009419356136776E-5</v>
      </c>
      <c r="AD158" s="2">
        <f t="shared" si="59"/>
        <v>1.8826587472555475E-5</v>
      </c>
      <c r="AF158" s="2">
        <f t="shared" si="60"/>
        <v>1.4696594819945416E-5</v>
      </c>
      <c r="AH158" s="2">
        <f t="shared" si="61"/>
        <v>1.0947029509147218E-5</v>
      </c>
      <c r="AJ158" s="2">
        <f t="shared" si="62"/>
        <v>1.0112334618673995</v>
      </c>
      <c r="AL158" s="2">
        <f t="shared" si="63"/>
        <v>1.0349283810688494</v>
      </c>
      <c r="AN158" s="2">
        <f t="shared" si="64"/>
        <v>1.0518056098606556</v>
      </c>
      <c r="AP158" s="2">
        <f t="shared" si="65"/>
        <v>1.0738062021575914</v>
      </c>
    </row>
    <row r="159" spans="4:42" x14ac:dyDescent="0.3">
      <c r="E159" t="s">
        <v>5</v>
      </c>
      <c r="F159">
        <v>20</v>
      </c>
      <c r="G159">
        <v>2.0699999999999998</v>
      </c>
      <c r="H159">
        <v>1.93</v>
      </c>
      <c r="I159">
        <v>15.09</v>
      </c>
      <c r="J159">
        <v>12.34</v>
      </c>
      <c r="K159">
        <v>9300</v>
      </c>
      <c r="L159">
        <f t="shared" si="53"/>
        <v>2.75</v>
      </c>
      <c r="M159">
        <f t="shared" si="54"/>
        <v>2</v>
      </c>
      <c r="N159" s="2">
        <f>FiberLength!D43*$C$2*PI()</f>
        <v>3.8484510006474965E-4</v>
      </c>
      <c r="O159" s="2">
        <f t="shared" si="55"/>
        <v>2.7710500397594751</v>
      </c>
      <c r="Q159">
        <v>0.438</v>
      </c>
      <c r="S159">
        <v>0.85399999999999998</v>
      </c>
      <c r="U159">
        <v>0.94699999999999995</v>
      </c>
      <c r="W159">
        <v>0.98099999999999998</v>
      </c>
      <c r="X159">
        <v>637</v>
      </c>
      <c r="Y159" s="2">
        <f t="shared" si="56"/>
        <v>0.19084382080589751</v>
      </c>
      <c r="Z159" s="2">
        <f t="shared" si="57"/>
        <v>1.531680941439701</v>
      </c>
      <c r="AB159" s="2">
        <f t="shared" si="58"/>
        <v>2.7014462034415907E-5</v>
      </c>
      <c r="AD159" s="2">
        <f t="shared" si="59"/>
        <v>1.8831491432072912E-5</v>
      </c>
      <c r="AF159" s="2">
        <f t="shared" si="60"/>
        <v>1.4701391615816327E-5</v>
      </c>
      <c r="AH159" s="2">
        <f t="shared" si="61"/>
        <v>1.0951685223790019E-5</v>
      </c>
      <c r="AJ159" s="2">
        <f t="shared" si="62"/>
        <v>1.0128461780333005</v>
      </c>
      <c r="AL159" s="2">
        <f t="shared" si="63"/>
        <v>1.0363948374364131</v>
      </c>
      <c r="AN159" s="2">
        <f t="shared" si="64"/>
        <v>1.0523225763092441</v>
      </c>
      <c r="AP159" s="2">
        <f t="shared" si="65"/>
        <v>1.0741617472545832</v>
      </c>
    </row>
    <row r="160" spans="4:42" x14ac:dyDescent="0.3">
      <c r="E160" t="s">
        <v>6</v>
      </c>
      <c r="F160">
        <v>20</v>
      </c>
      <c r="G160">
        <v>2.0699999999999998</v>
      </c>
      <c r="H160">
        <v>1.93</v>
      </c>
      <c r="I160">
        <v>14.58</v>
      </c>
      <c r="J160">
        <v>11.85</v>
      </c>
      <c r="K160">
        <v>9300</v>
      </c>
      <c r="L160">
        <f t="shared" si="53"/>
        <v>2.7300000000000004</v>
      </c>
      <c r="M160">
        <f t="shared" si="54"/>
        <v>2</v>
      </c>
      <c r="N160" s="2">
        <f>FiberLength!D44*$C$2*PI()</f>
        <v>3.8484510006474965E-4</v>
      </c>
      <c r="O160" s="2">
        <f t="shared" si="55"/>
        <v>2.7508969485612247</v>
      </c>
      <c r="Q160">
        <v>0.47</v>
      </c>
      <c r="S160">
        <v>0.85399999999999998</v>
      </c>
      <c r="U160">
        <v>0.95</v>
      </c>
      <c r="W160">
        <v>0.98499999999999999</v>
      </c>
      <c r="X160">
        <v>643</v>
      </c>
      <c r="Y160" s="2">
        <f t="shared" si="56"/>
        <v>0.19847619144954981</v>
      </c>
      <c r="Z160" s="2">
        <f t="shared" si="57"/>
        <v>1.5269833990007955</v>
      </c>
      <c r="AB160" s="2">
        <f t="shared" si="58"/>
        <v>2.7009701817482105E-5</v>
      </c>
      <c r="AD160" s="2">
        <f t="shared" si="59"/>
        <v>1.882686217581478E-5</v>
      </c>
      <c r="AF160" s="2">
        <f t="shared" si="60"/>
        <v>1.4696863529388277E-5</v>
      </c>
      <c r="AH160" s="2">
        <f t="shared" si="61"/>
        <v>1.0947290326763336E-5</v>
      </c>
      <c r="AJ160" s="2">
        <f t="shared" si="62"/>
        <v>1.013684022277356</v>
      </c>
      <c r="AL160" s="2">
        <f t="shared" si="63"/>
        <v>1.03612820980828</v>
      </c>
      <c r="AN160" s="2">
        <f t="shared" si="64"/>
        <v>1.052102593984398</v>
      </c>
      <c r="AP160" s="2">
        <f t="shared" si="65"/>
        <v>1.0739138480448753</v>
      </c>
    </row>
    <row r="161" spans="4:42" x14ac:dyDescent="0.3">
      <c r="E161" t="s">
        <v>7</v>
      </c>
      <c r="F161">
        <v>20</v>
      </c>
      <c r="G161">
        <v>2.0699999999999998</v>
      </c>
      <c r="H161">
        <v>1.93</v>
      </c>
      <c r="I161">
        <v>14.58</v>
      </c>
      <c r="J161">
        <v>11.8</v>
      </c>
      <c r="K161">
        <v>9300</v>
      </c>
      <c r="L161">
        <f t="shared" si="53"/>
        <v>2.7799999999999994</v>
      </c>
      <c r="M161">
        <f t="shared" si="54"/>
        <v>2</v>
      </c>
      <c r="N161" s="2">
        <f>FiberLength!D45*$C$2*PI()</f>
        <v>3.8704421492226246E-4</v>
      </c>
      <c r="O161" s="2">
        <f t="shared" si="55"/>
        <v>2.7853633147582326</v>
      </c>
      <c r="Q161">
        <v>0.42299999999999999</v>
      </c>
      <c r="S161">
        <v>0.84699999999999998</v>
      </c>
      <c r="U161">
        <v>0.94799999999999995</v>
      </c>
      <c r="W161">
        <v>0.98599999999999999</v>
      </c>
      <c r="X161">
        <v>644</v>
      </c>
      <c r="Y161" s="2">
        <f t="shared" si="56"/>
        <v>0.18695453186464553</v>
      </c>
      <c r="Z161" s="2">
        <f t="shared" si="57"/>
        <v>1.5362898304050083</v>
      </c>
      <c r="AB161" s="2">
        <f t="shared" si="58"/>
        <v>2.7017841413100655E-5</v>
      </c>
      <c r="AD161" s="2">
        <f t="shared" si="59"/>
        <v>1.8834777591510014E-5</v>
      </c>
      <c r="AF161" s="2">
        <f t="shared" si="60"/>
        <v>1.4704605771840437E-5</v>
      </c>
      <c r="AH161" s="2">
        <f t="shared" si="61"/>
        <v>1.095480460737538E-5</v>
      </c>
      <c r="AJ161" s="2">
        <f t="shared" si="62"/>
        <v>1.0124706057011839</v>
      </c>
      <c r="AL161" s="2">
        <f t="shared" si="63"/>
        <v>1.0362843537019635</v>
      </c>
      <c r="AN161" s="2">
        <f t="shared" si="64"/>
        <v>1.0526512526698526</v>
      </c>
      <c r="AP161" s="2">
        <f t="shared" si="65"/>
        <v>1.0749310604705589</v>
      </c>
    </row>
    <row r="162" spans="4:42" x14ac:dyDescent="0.3">
      <c r="D162">
        <v>9</v>
      </c>
      <c r="E162" t="s">
        <v>4</v>
      </c>
      <c r="F162">
        <v>20</v>
      </c>
      <c r="G162">
        <v>2.0699999999999998</v>
      </c>
      <c r="H162">
        <v>1.93</v>
      </c>
      <c r="I162">
        <v>13.85</v>
      </c>
      <c r="J162">
        <v>11.79</v>
      </c>
      <c r="K162">
        <v>9300</v>
      </c>
      <c r="L162">
        <f t="shared" si="53"/>
        <v>2.0600000000000005</v>
      </c>
      <c r="M162">
        <f t="shared" si="54"/>
        <v>2</v>
      </c>
      <c r="N162" s="2">
        <f>FiberLength!D46*$C$2*PI()</f>
        <v>3.8924332977977537E-4</v>
      </c>
      <c r="O162" s="2">
        <f t="shared" si="55"/>
        <v>2.0523133833246865</v>
      </c>
      <c r="Q162">
        <v>0.73</v>
      </c>
      <c r="S162">
        <v>0.94599999999999995</v>
      </c>
      <c r="U162">
        <v>0.96399999999999997</v>
      </c>
      <c r="W162">
        <v>0.97099999999999997</v>
      </c>
      <c r="X162">
        <v>231</v>
      </c>
      <c r="Y162" s="2">
        <f t="shared" si="56"/>
        <v>0.26372983405458233</v>
      </c>
      <c r="Z162" s="2">
        <f t="shared" si="57"/>
        <v>1.1820242169554183</v>
      </c>
      <c r="AB162" s="2">
        <f t="shared" si="58"/>
        <v>2.6843118932690716E-5</v>
      </c>
      <c r="AD162" s="2">
        <f t="shared" si="59"/>
        <v>1.8664591148297888E-5</v>
      </c>
      <c r="AF162" s="2">
        <f t="shared" si="60"/>
        <v>1.4537932964132006E-5</v>
      </c>
      <c r="AH162" s="2">
        <f t="shared" si="61"/>
        <v>1.0792775338605386E-5</v>
      </c>
      <c r="AJ162" s="2">
        <f t="shared" si="62"/>
        <v>1.0158399513633209</v>
      </c>
      <c r="AL162" s="2">
        <f t="shared" si="63"/>
        <v>1.0298047599023126</v>
      </c>
      <c r="AN162" s="2">
        <f t="shared" si="64"/>
        <v>1.0393449298127344</v>
      </c>
      <c r="AP162" s="2">
        <f t="shared" si="65"/>
        <v>1.0541496043769392</v>
      </c>
    </row>
    <row r="163" spans="4:42" x14ac:dyDescent="0.3">
      <c r="E163" t="s">
        <v>5</v>
      </c>
      <c r="F163">
        <v>20</v>
      </c>
      <c r="G163">
        <v>2.0699999999999998</v>
      </c>
      <c r="H163">
        <v>1.93</v>
      </c>
      <c r="I163">
        <v>13.79</v>
      </c>
      <c r="J163">
        <v>11.72</v>
      </c>
      <c r="K163">
        <v>9300</v>
      </c>
      <c r="L163">
        <f t="shared" si="53"/>
        <v>2.0699999999999985</v>
      </c>
      <c r="M163">
        <f t="shared" si="54"/>
        <v>2</v>
      </c>
      <c r="N163" s="2">
        <f>FiberLength!D47*$C$2*PI()</f>
        <v>3.8484510006474965E-4</v>
      </c>
      <c r="O163" s="2">
        <f t="shared" si="55"/>
        <v>2.0858449390189486</v>
      </c>
      <c r="Q163">
        <v>0.72799999999999998</v>
      </c>
      <c r="S163">
        <v>0.94399999999999995</v>
      </c>
      <c r="U163">
        <v>0.96299999999999997</v>
      </c>
      <c r="W163">
        <v>0.97099999999999997</v>
      </c>
      <c r="X163">
        <v>233</v>
      </c>
      <c r="Y163" s="2">
        <f t="shared" si="56"/>
        <v>0.26322122922785346</v>
      </c>
      <c r="Z163" s="2">
        <f t="shared" si="57"/>
        <v>1.2009848197831279</v>
      </c>
      <c r="AB163" s="2">
        <f t="shared" si="58"/>
        <v>2.685118906353454E-5</v>
      </c>
      <c r="AD163" s="2">
        <f t="shared" si="59"/>
        <v>1.8672465193056033E-5</v>
      </c>
      <c r="AF163" s="2">
        <f t="shared" si="60"/>
        <v>1.4545654701453548E-5</v>
      </c>
      <c r="AH163" s="2">
        <f t="shared" si="61"/>
        <v>1.0800295000062457E-5</v>
      </c>
      <c r="AJ163" s="2">
        <f t="shared" si="62"/>
        <v>1.0160554052785109</v>
      </c>
      <c r="AL163" s="2">
        <f t="shared" si="63"/>
        <v>1.0302300870946179</v>
      </c>
      <c r="AN163" s="2">
        <f t="shared" si="64"/>
        <v>1.0399508377818742</v>
      </c>
      <c r="AP163" s="2">
        <f t="shared" si="65"/>
        <v>1.0550439866251742</v>
      </c>
    </row>
    <row r="164" spans="4:42" x14ac:dyDescent="0.3">
      <c r="E164" t="s">
        <v>6</v>
      </c>
      <c r="F164">
        <v>20</v>
      </c>
      <c r="G164">
        <v>2.0699999999999998</v>
      </c>
      <c r="H164">
        <v>1.93</v>
      </c>
      <c r="I164">
        <v>13.91</v>
      </c>
      <c r="J164">
        <v>11.8</v>
      </c>
      <c r="K164">
        <v>9300</v>
      </c>
      <c r="L164">
        <f t="shared" si="53"/>
        <v>2.1099999999999994</v>
      </c>
      <c r="M164">
        <f t="shared" si="54"/>
        <v>2</v>
      </c>
      <c r="N164" s="2">
        <f>FiberLength!D48*$C$2*PI()</f>
        <v>3.9364155949480104E-4</v>
      </c>
      <c r="O164" s="2">
        <f t="shared" si="55"/>
        <v>2.0786393645123131</v>
      </c>
      <c r="Q164">
        <v>0.73</v>
      </c>
      <c r="S164">
        <v>0.94799999999999995</v>
      </c>
      <c r="U164">
        <v>0.96699999999999997</v>
      </c>
      <c r="W164">
        <v>0.97499999999999998</v>
      </c>
      <c r="X164">
        <v>230</v>
      </c>
      <c r="Y164" s="2">
        <f t="shared" si="56"/>
        <v>0.26405441570741589</v>
      </c>
      <c r="Z164" s="2">
        <f t="shared" si="57"/>
        <v>1.197410439198404</v>
      </c>
      <c r="AB164" s="2">
        <f t="shared" si="58"/>
        <v>2.684945555012087E-5</v>
      </c>
      <c r="AD164" s="2">
        <f t="shared" si="59"/>
        <v>1.8670773916103785E-5</v>
      </c>
      <c r="AF164" s="2">
        <f t="shared" si="60"/>
        <v>1.4543996227973316E-5</v>
      </c>
      <c r="AH164" s="2">
        <f t="shared" si="61"/>
        <v>1.0798680043017499E-5</v>
      </c>
      <c r="AJ164" s="2">
        <f t="shared" si="62"/>
        <v>1.0160437339020154</v>
      </c>
      <c r="AL164" s="2">
        <f t="shared" si="63"/>
        <v>1.0302527892173483</v>
      </c>
      <c r="AN164" s="2">
        <f t="shared" si="64"/>
        <v>1.0399772151446391</v>
      </c>
      <c r="AP164" s="2">
        <f t="shared" si="65"/>
        <v>1.0550777217527441</v>
      </c>
    </row>
    <row r="165" spans="4:42" x14ac:dyDescent="0.3">
      <c r="E165" t="s">
        <v>7</v>
      </c>
      <c r="F165">
        <v>20</v>
      </c>
      <c r="G165">
        <v>2.0699999999999998</v>
      </c>
      <c r="H165">
        <v>1.93</v>
      </c>
      <c r="I165">
        <v>13.7</v>
      </c>
      <c r="J165">
        <v>11.7</v>
      </c>
      <c r="K165">
        <v>9300</v>
      </c>
      <c r="L165">
        <f t="shared" si="53"/>
        <v>2</v>
      </c>
      <c r="M165">
        <f t="shared" si="54"/>
        <v>2</v>
      </c>
      <c r="N165" s="2">
        <f>FiberLength!D49*$C$2*PI()</f>
        <v>3.9144244463728818E-4</v>
      </c>
      <c r="O165" s="2">
        <f t="shared" si="55"/>
        <v>1.9813432357830774</v>
      </c>
      <c r="Q165">
        <v>0.71099999999999997</v>
      </c>
      <c r="S165">
        <v>0.93600000000000005</v>
      </c>
      <c r="U165">
        <v>0.95699999999999996</v>
      </c>
      <c r="W165">
        <v>0.96399999999999997</v>
      </c>
      <c r="X165">
        <v>239</v>
      </c>
      <c r="Y165" s="2">
        <f t="shared" si="56"/>
        <v>0.25816643705118775</v>
      </c>
      <c r="Z165" s="2">
        <f t="shared" si="57"/>
        <v>1.1375043390648591</v>
      </c>
      <c r="AB165" s="2">
        <f t="shared" si="58"/>
        <v>2.6826011827455214E-5</v>
      </c>
      <c r="AD165" s="2">
        <f t="shared" si="59"/>
        <v>1.8647895121382086E-5</v>
      </c>
      <c r="AF165" s="2">
        <f t="shared" si="60"/>
        <v>1.4521556359105589E-5</v>
      </c>
      <c r="AH165" s="2">
        <f t="shared" si="61"/>
        <v>1.0776822760929328E-5</v>
      </c>
      <c r="AJ165" s="2">
        <f t="shared" si="62"/>
        <v>1.0148927032160697</v>
      </c>
      <c r="AL165" s="2">
        <f t="shared" si="63"/>
        <v>1.028465181105688</v>
      </c>
      <c r="AN165" s="2">
        <f t="shared" si="64"/>
        <v>1.0376995325214133</v>
      </c>
      <c r="AP165" s="2">
        <f t="shared" si="65"/>
        <v>1.0518811227137992</v>
      </c>
    </row>
    <row r="166" spans="4:42" x14ac:dyDescent="0.3">
      <c r="D166">
        <v>10</v>
      </c>
      <c r="E166" t="s">
        <v>4</v>
      </c>
      <c r="F166">
        <v>19.7</v>
      </c>
      <c r="G166">
        <v>2.0699999999999998</v>
      </c>
      <c r="H166">
        <v>1.93</v>
      </c>
      <c r="I166">
        <v>13.66</v>
      </c>
      <c r="J166">
        <v>11.78</v>
      </c>
      <c r="K166">
        <v>10920</v>
      </c>
      <c r="L166">
        <f t="shared" si="53"/>
        <v>1.8800000000000008</v>
      </c>
      <c r="M166">
        <f t="shared" si="54"/>
        <v>2</v>
      </c>
      <c r="N166" s="2">
        <f>FiberLength!D50*$C$2*PI()</f>
        <v>3.9364155949480104E-4</v>
      </c>
      <c r="O166" s="2">
        <f t="shared" si="55"/>
        <v>1.5773019916121254</v>
      </c>
      <c r="P166">
        <v>0.16200000000000001</v>
      </c>
      <c r="R166">
        <v>0.91900000000000004</v>
      </c>
      <c r="T166">
        <v>0.98299999999999998</v>
      </c>
      <c r="V166">
        <v>0.997</v>
      </c>
      <c r="X166">
        <v>180</v>
      </c>
      <c r="Y166" s="2">
        <f t="shared" ref="Y166" si="66">8.314*293.15*1000*(1/62*(P166+AI166-1)+1/200*(R166+AK166-1)+1/600*(T166+AM166-1)+1/2000*(V166+AO166-1))/10^5</f>
        <v>0.23244350718525097</v>
      </c>
      <c r="Z166" s="2">
        <f t="shared" si="57"/>
        <v>0.89236298699587679</v>
      </c>
      <c r="AA166" s="2">
        <f t="shared" ref="AA166:AA213" si="67">(($O166/1000/60/60/$AW$85)+(1+0.26*($O166/1000/60/60/$AW$85)^(1.4))^(-1.7))*$AW$85</f>
        <v>3.0974440298046305E-5</v>
      </c>
      <c r="AC166" s="2">
        <f t="shared" ref="AC166:AC213" si="68">(($O166/1000/60/60/$AY$85)+(1+0.26*($O166/1000/60/60/$AY$85)^(1.4))^(-1.7))*$AY$85</f>
        <v>2.2445967793015696E-5</v>
      </c>
      <c r="AE166" s="2">
        <f t="shared" ref="AE166:AE213" si="69">(($O166/1000/60/60/$BA$85)+(1+0.26*($O166/1000/60/60/$BA$85)^(1.4))^(-1.7))*$BA$85</f>
        <v>1.659714793586182E-5</v>
      </c>
      <c r="AG166" s="2">
        <f t="shared" ref="AG166:AG213" si="70">(($O166/1000/60/60/$BC$85)+(1+0.26*($O166/1000/60/60/$BC$85)^(1.4))^(-1.7))*$BC$85</f>
        <v>1.1934954017927413E-5</v>
      </c>
      <c r="AI166" s="2">
        <f t="shared" ref="AI166" si="71">(AA166/($O166/1000/60/60)+P166-1)/(AA166/($O166/1000/60/60)-1)</f>
        <v>1.0023244003901266</v>
      </c>
      <c r="AK166" s="2">
        <f t="shared" ref="AK166" si="72">(AC166/($O166/1000/60/60)+R166-1)/(AC166/($O166/1000/60/60)-1)</f>
        <v>1.0182957691637355</v>
      </c>
      <c r="AM166" s="2">
        <f t="shared" ref="AM166" si="73">(AE166/($O166/1000/60/60)+T166-1)/(AE166/($O166/1000/60/60)-1)</f>
        <v>1.0266533105521409</v>
      </c>
      <c r="AO166" s="2">
        <f t="shared" ref="AO166" si="74">(AG166/($O166/1000/60/60)+V166-1)/(AG166/($O166/1000/60/60)-1)</f>
        <v>1.0379953091273761</v>
      </c>
    </row>
    <row r="167" spans="4:42" x14ac:dyDescent="0.3">
      <c r="E167" t="s">
        <v>5</v>
      </c>
      <c r="F167">
        <v>19.7</v>
      </c>
      <c r="G167">
        <v>2.0699999999999998</v>
      </c>
      <c r="H167">
        <v>1.93</v>
      </c>
      <c r="I167">
        <v>13.51</v>
      </c>
      <c r="J167">
        <v>11.75</v>
      </c>
      <c r="K167">
        <v>10920</v>
      </c>
      <c r="L167">
        <f t="shared" si="53"/>
        <v>1.7599999999999998</v>
      </c>
      <c r="M167">
        <f t="shared" si="54"/>
        <v>2</v>
      </c>
      <c r="N167" s="2">
        <f>FiberLength!D51*$C$2*PI()</f>
        <v>3.9144244463728818E-4</v>
      </c>
      <c r="O167" s="2">
        <f t="shared" si="55"/>
        <v>1.484918776707757</v>
      </c>
      <c r="P167">
        <v>0.16800000000000001</v>
      </c>
      <c r="R167">
        <v>0.93799999999999994</v>
      </c>
      <c r="T167">
        <v>0.99099999999999999</v>
      </c>
      <c r="V167">
        <v>0.998</v>
      </c>
      <c r="X167">
        <v>171</v>
      </c>
      <c r="Y167" s="2">
        <f t="shared" ref="Y167:Y213" si="75">8.314*293.15*1000*(1/62*(P167+AI167-1)+1/200*(R167+AK167-1)+1/600*(T167+AM167-1)+1/2000*(V167+AO167-1))/10^5</f>
        <v>0.2372632305290521</v>
      </c>
      <c r="Z167" s="2">
        <f t="shared" ref="Z167:Z214" si="76">O167/(M167-Y167)</f>
        <v>0.84239394243385934</v>
      </c>
      <c r="AA167" s="2">
        <f t="shared" si="67"/>
        <v>3.0951645188301157E-5</v>
      </c>
      <c r="AC167" s="2">
        <f t="shared" si="68"/>
        <v>2.2423569755954502E-5</v>
      </c>
      <c r="AE167" s="2">
        <f t="shared" si="69"/>
        <v>1.6575172198850864E-5</v>
      </c>
      <c r="AG167" s="2">
        <f t="shared" si="70"/>
        <v>1.1913502142433724E-5</v>
      </c>
      <c r="AI167" s="2">
        <f t="shared" ref="AI167:AI213" si="77">(AA167/($O167/1000/60/60)+P167-1)/(AA167/($O167/1000/60/60)-1)</f>
        <v>1.0022690929283413</v>
      </c>
      <c r="AK167" s="2">
        <f t="shared" ref="AK167:AK213" si="78">(AC167/($O167/1000/60/60)+R167-1)/(AC167/($O167/1000/60/60)-1)</f>
        <v>1.0175776754388477</v>
      </c>
      <c r="AM167" s="2">
        <f t="shared" ref="AM167:AM213" si="79">(AE167/($O167/1000/60/60)+T167-1)/(AE167/($O167/1000/60/60)-1)</f>
        <v>1.0252906552453163</v>
      </c>
      <c r="AO167" s="2">
        <f t="shared" ref="AO167:AO213" si="80">(AG167/($O167/1000/60/60)+V167-1)/(AG167/($O167/1000/60/60)-1)</f>
        <v>1.0357926787983349</v>
      </c>
    </row>
    <row r="168" spans="4:42" x14ac:dyDescent="0.3">
      <c r="E168" t="s">
        <v>6</v>
      </c>
      <c r="F168">
        <v>19.7</v>
      </c>
      <c r="G168">
        <v>2.0699999999999998</v>
      </c>
      <c r="H168">
        <v>1.93</v>
      </c>
      <c r="I168">
        <v>13.66</v>
      </c>
      <c r="J168">
        <v>11.78</v>
      </c>
      <c r="K168">
        <v>10920</v>
      </c>
      <c r="L168">
        <f t="shared" si="53"/>
        <v>1.8800000000000008</v>
      </c>
      <c r="M168">
        <f t="shared" si="54"/>
        <v>2</v>
      </c>
      <c r="N168" s="2">
        <f>FiberLength!D52*$C$2*PI()</f>
        <v>3.9364155949480104E-4</v>
      </c>
      <c r="O168" s="2">
        <f t="shared" si="55"/>
        <v>1.5773019916121254</v>
      </c>
      <c r="P168">
        <v>0.17199999999999999</v>
      </c>
      <c r="R168">
        <v>0.94399999999999995</v>
      </c>
      <c r="T168">
        <v>0.998</v>
      </c>
      <c r="V168">
        <v>0.998</v>
      </c>
      <c r="X168">
        <v>170</v>
      </c>
      <c r="Y168" s="2">
        <f t="shared" si="75"/>
        <v>0.24017665472528121</v>
      </c>
      <c r="Z168" s="2">
        <f t="shared" si="76"/>
        <v>0.89628427526394661</v>
      </c>
      <c r="AA168" s="2">
        <f t="shared" si="67"/>
        <v>3.0974440298046305E-5</v>
      </c>
      <c r="AC168" s="2">
        <f t="shared" si="68"/>
        <v>2.2445967793015696E-5</v>
      </c>
      <c r="AE168" s="2">
        <f t="shared" si="69"/>
        <v>1.659714793586182E-5</v>
      </c>
      <c r="AG168" s="2">
        <f t="shared" si="70"/>
        <v>1.1934954017927413E-5</v>
      </c>
      <c r="AI168" s="2">
        <f t="shared" si="77"/>
        <v>1.0024678818956898</v>
      </c>
      <c r="AK168" s="2">
        <f t="shared" si="78"/>
        <v>1.0187934777916938</v>
      </c>
      <c r="AM168" s="2">
        <f t="shared" si="79"/>
        <v>1.0270600243449</v>
      </c>
      <c r="AO168" s="2">
        <f t="shared" si="80"/>
        <v>1.0380334187654177</v>
      </c>
    </row>
    <row r="169" spans="4:42" x14ac:dyDescent="0.3">
      <c r="E169" t="s">
        <v>7</v>
      </c>
      <c r="F169">
        <v>19.7</v>
      </c>
      <c r="G169">
        <v>2.0699999999999998</v>
      </c>
      <c r="H169">
        <v>1.93</v>
      </c>
      <c r="I169">
        <v>13.43</v>
      </c>
      <c r="J169">
        <v>11.76</v>
      </c>
      <c r="K169">
        <v>10920</v>
      </c>
      <c r="L169">
        <f t="shared" si="53"/>
        <v>1.67</v>
      </c>
      <c r="M169">
        <f t="shared" si="54"/>
        <v>2</v>
      </c>
      <c r="N169" s="2">
        <f>FiberLength!D53*$C$2*PI()</f>
        <v>3.7165041091967254E-4</v>
      </c>
      <c r="O169" s="2">
        <f t="shared" si="55"/>
        <v>1.4840201572221212</v>
      </c>
      <c r="P169">
        <v>0.16800000000000001</v>
      </c>
      <c r="R169">
        <v>0.94099999999999995</v>
      </c>
      <c r="T169">
        <v>0.998</v>
      </c>
      <c r="V169">
        <v>0.998</v>
      </c>
      <c r="X169">
        <v>171</v>
      </c>
      <c r="Y169" s="2">
        <f t="shared" si="75"/>
        <v>0.23792453319543508</v>
      </c>
      <c r="Z169" s="2">
        <f t="shared" si="76"/>
        <v>0.84220011298001729</v>
      </c>
      <c r="AA169" s="2">
        <f t="shared" si="67"/>
        <v>3.095142311843199E-5</v>
      </c>
      <c r="AC169" s="2">
        <f t="shared" si="68"/>
        <v>2.2423351502740369E-5</v>
      </c>
      <c r="AE169" s="2">
        <f t="shared" si="69"/>
        <v>1.6574958005764776E-5</v>
      </c>
      <c r="AG169" s="2">
        <f t="shared" si="70"/>
        <v>1.1913292987908473E-5</v>
      </c>
      <c r="AI169" s="2">
        <f t="shared" si="77"/>
        <v>1.0022677177093315</v>
      </c>
      <c r="AK169" s="2">
        <f t="shared" si="78"/>
        <v>1.0176231975069379</v>
      </c>
      <c r="AM169" s="2">
        <f t="shared" si="79"/>
        <v>1.0254538287230057</v>
      </c>
      <c r="AO169" s="2">
        <f t="shared" si="80"/>
        <v>1.0357708925089408</v>
      </c>
    </row>
    <row r="170" spans="4:42" x14ac:dyDescent="0.3">
      <c r="D170">
        <v>11</v>
      </c>
      <c r="E170" t="s">
        <v>4</v>
      </c>
      <c r="F170">
        <v>19.7</v>
      </c>
      <c r="G170">
        <v>2.0699999999999998</v>
      </c>
      <c r="H170">
        <v>1.93</v>
      </c>
      <c r="I170">
        <v>12.99</v>
      </c>
      <c r="J170">
        <v>11.65</v>
      </c>
      <c r="K170">
        <v>10920</v>
      </c>
      <c r="L170">
        <f t="shared" si="53"/>
        <v>1.3399999999999999</v>
      </c>
      <c r="M170">
        <f t="shared" si="54"/>
        <v>2</v>
      </c>
      <c r="N170" s="2">
        <f>FiberLength!D54*$C$2*PI()</f>
        <v>3.9364155949480104E-4</v>
      </c>
      <c r="O170" s="2">
        <f t="shared" si="55"/>
        <v>1.1242471642341738</v>
      </c>
      <c r="P170">
        <v>0.16300000000000001</v>
      </c>
      <c r="R170">
        <v>0.94799999999999995</v>
      </c>
      <c r="T170">
        <v>0.998</v>
      </c>
      <c r="V170">
        <v>0.998</v>
      </c>
      <c r="X170">
        <v>169</v>
      </c>
      <c r="Y170" s="2">
        <f t="shared" si="75"/>
        <v>0.23570874101805217</v>
      </c>
      <c r="Z170" s="2">
        <f t="shared" si="76"/>
        <v>0.63722311070276461</v>
      </c>
      <c r="AA170" s="2">
        <f t="shared" si="67"/>
        <v>3.0861952844100904E-5</v>
      </c>
      <c r="AC170" s="2">
        <f t="shared" si="68"/>
        <v>2.2335333295620001E-5</v>
      </c>
      <c r="AE170" s="2">
        <f t="shared" si="69"/>
        <v>1.6488485858742353E-5</v>
      </c>
      <c r="AG170" s="2">
        <f t="shared" si="70"/>
        <v>1.1828742222913018E-5</v>
      </c>
      <c r="AI170" s="2">
        <f t="shared" si="77"/>
        <v>1.0016662512772667</v>
      </c>
      <c r="AK170" s="2">
        <f t="shared" si="78"/>
        <v>1.0134428181014759</v>
      </c>
      <c r="AM170" s="2">
        <f t="shared" si="79"/>
        <v>1.0192669720898793</v>
      </c>
      <c r="AO170" s="2">
        <f t="shared" si="80"/>
        <v>1.0270627025537264</v>
      </c>
    </row>
    <row r="171" spans="4:42" x14ac:dyDescent="0.3">
      <c r="E171" t="s">
        <v>5</v>
      </c>
      <c r="F171">
        <v>19.7</v>
      </c>
      <c r="G171">
        <v>2.0699999999999998</v>
      </c>
      <c r="H171">
        <v>1.93</v>
      </c>
      <c r="I171">
        <v>13.15</v>
      </c>
      <c r="J171">
        <v>11.7</v>
      </c>
      <c r="K171">
        <v>10920</v>
      </c>
      <c r="L171">
        <f t="shared" si="53"/>
        <v>1.4500000000000011</v>
      </c>
      <c r="M171">
        <f t="shared" si="54"/>
        <v>2</v>
      </c>
      <c r="N171" s="2">
        <f>FiberLength!D55*$C$2*PI()</f>
        <v>3.9364155949480104E-4</v>
      </c>
      <c r="O171" s="2">
        <f t="shared" si="55"/>
        <v>1.2165361105519057</v>
      </c>
      <c r="P171">
        <v>0.16700000000000001</v>
      </c>
      <c r="R171">
        <v>0.95</v>
      </c>
      <c r="T171">
        <v>0.995</v>
      </c>
      <c r="V171">
        <v>0.998</v>
      </c>
      <c r="X171">
        <v>168</v>
      </c>
      <c r="Y171" s="2">
        <f t="shared" si="75"/>
        <v>0.2377017632410022</v>
      </c>
      <c r="Z171" s="2">
        <f t="shared" si="76"/>
        <v>0.69031227812450702</v>
      </c>
      <c r="AA171" s="2">
        <f t="shared" si="67"/>
        <v>3.0885015143976134E-5</v>
      </c>
      <c r="AC171" s="2">
        <f t="shared" si="68"/>
        <v>2.2358038216118362E-5</v>
      </c>
      <c r="AE171" s="2">
        <f t="shared" si="69"/>
        <v>1.6510810014780171E-5</v>
      </c>
      <c r="AG171" s="2">
        <f t="shared" si="70"/>
        <v>1.1850592673069034E-5</v>
      </c>
      <c r="AI171" s="2">
        <f t="shared" si="77"/>
        <v>1.0018474349383695</v>
      </c>
      <c r="AK171" s="2">
        <f t="shared" si="78"/>
        <v>1.014578961702056</v>
      </c>
      <c r="AM171" s="2">
        <f t="shared" si="79"/>
        <v>1.0207901743486152</v>
      </c>
      <c r="AO171" s="2">
        <f t="shared" si="80"/>
        <v>1.0292938963653431</v>
      </c>
    </row>
    <row r="172" spans="4:42" x14ac:dyDescent="0.3">
      <c r="E172" t="s">
        <v>6</v>
      </c>
      <c r="F172">
        <v>19.7</v>
      </c>
      <c r="G172">
        <v>2.0699999999999998</v>
      </c>
      <c r="H172">
        <v>1.93</v>
      </c>
      <c r="I172">
        <v>13.41</v>
      </c>
      <c r="J172">
        <v>11.83</v>
      </c>
      <c r="K172">
        <v>10920</v>
      </c>
      <c r="L172">
        <f t="shared" si="53"/>
        <v>1.58</v>
      </c>
      <c r="M172">
        <f t="shared" si="54"/>
        <v>2</v>
      </c>
      <c r="N172" s="2">
        <f>FiberLength!D56*$C$2*PI()</f>
        <v>3.9364155949480104E-4</v>
      </c>
      <c r="O172" s="2">
        <f t="shared" si="55"/>
        <v>1.325604865291041</v>
      </c>
      <c r="P172">
        <v>0.16600000000000001</v>
      </c>
      <c r="R172">
        <v>0.93700000000000006</v>
      </c>
      <c r="T172">
        <v>0.97699999999999998</v>
      </c>
      <c r="V172">
        <v>0.996</v>
      </c>
      <c r="X172">
        <v>172</v>
      </c>
      <c r="Y172" s="2">
        <f t="shared" si="75"/>
        <v>0.23525313072785201</v>
      </c>
      <c r="Z172" s="2">
        <f t="shared" si="76"/>
        <v>0.75115864398035359</v>
      </c>
      <c r="AA172" s="2">
        <f t="shared" si="67"/>
        <v>3.0912169024345781E-5</v>
      </c>
      <c r="AC172" s="2">
        <f t="shared" si="68"/>
        <v>2.2384755943337778E-5</v>
      </c>
      <c r="AE172" s="2">
        <f t="shared" si="69"/>
        <v>1.6537063271781265E-5</v>
      </c>
      <c r="AG172" s="2">
        <f t="shared" si="70"/>
        <v>1.1876268534572413E-5</v>
      </c>
      <c r="AI172" s="2">
        <f t="shared" si="77"/>
        <v>1.0020012186484426</v>
      </c>
      <c r="AK172" s="2">
        <f t="shared" si="78"/>
        <v>1.0156712002942412</v>
      </c>
      <c r="AM172" s="2">
        <f t="shared" si="79"/>
        <v>1.0222498607330217</v>
      </c>
      <c r="AO172" s="2">
        <f t="shared" si="80"/>
        <v>1.0318690690420391</v>
      </c>
    </row>
    <row r="173" spans="4:42" x14ac:dyDescent="0.3">
      <c r="E173" t="s">
        <v>7</v>
      </c>
      <c r="F173">
        <v>19.7</v>
      </c>
      <c r="G173">
        <v>2.0699999999999998</v>
      </c>
      <c r="H173">
        <v>1.93</v>
      </c>
      <c r="I173">
        <v>13.25</v>
      </c>
      <c r="J173">
        <v>11.76</v>
      </c>
      <c r="K173">
        <v>10920</v>
      </c>
      <c r="L173">
        <f t="shared" si="53"/>
        <v>1.4900000000000002</v>
      </c>
      <c r="M173">
        <f t="shared" si="54"/>
        <v>2</v>
      </c>
      <c r="N173" s="2">
        <f>FiberLength!D57*$C$2*PI()</f>
        <v>3.9364155949480104E-4</v>
      </c>
      <c r="O173" s="2">
        <f t="shared" si="55"/>
        <v>1.2500957273947164</v>
      </c>
      <c r="P173">
        <v>0.16200000000000001</v>
      </c>
      <c r="R173">
        <v>0.95</v>
      </c>
      <c r="T173">
        <v>0.995</v>
      </c>
      <c r="V173">
        <v>0.999</v>
      </c>
      <c r="X173">
        <v>168</v>
      </c>
      <c r="Y173" s="2">
        <f t="shared" si="75"/>
        <v>0.23582886310714302</v>
      </c>
      <c r="Z173" s="2">
        <f t="shared" si="76"/>
        <v>0.70860230124637746</v>
      </c>
      <c r="AA173" s="2">
        <f t="shared" si="67"/>
        <v>3.0893381660486537E-5</v>
      </c>
      <c r="AC173" s="2">
        <f t="shared" si="68"/>
        <v>2.2366272088357815E-5</v>
      </c>
      <c r="AE173" s="2">
        <f t="shared" si="69"/>
        <v>1.6518902604968645E-5</v>
      </c>
      <c r="AG173" s="2">
        <f t="shared" si="70"/>
        <v>1.1858509579563347E-5</v>
      </c>
      <c r="AI173" s="2">
        <f t="shared" si="77"/>
        <v>1.0018416179885663</v>
      </c>
      <c r="AK173" s="2">
        <f t="shared" si="78"/>
        <v>1.0149818803669917</v>
      </c>
      <c r="AM173" s="2">
        <f t="shared" si="79"/>
        <v>1.0213653206745308</v>
      </c>
      <c r="AO173" s="2">
        <f t="shared" si="80"/>
        <v>1.0301358444910445</v>
      </c>
    </row>
    <row r="174" spans="4:42" x14ac:dyDescent="0.3">
      <c r="D174">
        <v>12</v>
      </c>
      <c r="E174" t="s">
        <v>4</v>
      </c>
      <c r="F174">
        <v>19.7</v>
      </c>
      <c r="G174">
        <v>2.0699999999999998</v>
      </c>
      <c r="H174">
        <v>1.93</v>
      </c>
      <c r="I174">
        <v>13.17</v>
      </c>
      <c r="J174">
        <v>11.73</v>
      </c>
      <c r="K174">
        <v>10920</v>
      </c>
      <c r="L174">
        <f t="shared" si="53"/>
        <v>1.4399999999999995</v>
      </c>
      <c r="M174">
        <f t="shared" si="54"/>
        <v>2</v>
      </c>
      <c r="N174" s="2">
        <f>FiberLength!D58*$C$2*PI()</f>
        <v>3.9584067435231396E-4</v>
      </c>
      <c r="O174" s="2">
        <f t="shared" si="55"/>
        <v>1.2014342829726394</v>
      </c>
      <c r="P174">
        <v>0.16300000000000001</v>
      </c>
      <c r="R174">
        <v>0.93300000000000005</v>
      </c>
      <c r="T174">
        <v>0.97699999999999998</v>
      </c>
      <c r="V174">
        <v>0.997</v>
      </c>
      <c r="X174">
        <v>173</v>
      </c>
      <c r="Y174" s="2">
        <f t="shared" si="75"/>
        <v>0.23320422402013052</v>
      </c>
      <c r="Z174" s="2">
        <f t="shared" si="76"/>
        <v>0.68000744585565975</v>
      </c>
      <c r="AA174" s="2">
        <f t="shared" si="67"/>
        <v>3.0881246815719688E-5</v>
      </c>
      <c r="AC174" s="2">
        <f t="shared" si="68"/>
        <v>2.2354329116540281E-5</v>
      </c>
      <c r="AE174" s="2">
        <f t="shared" si="69"/>
        <v>1.6507164008153476E-5</v>
      </c>
      <c r="AG174" s="2">
        <f t="shared" si="70"/>
        <v>1.1847025137003021E-5</v>
      </c>
      <c r="AI174" s="2">
        <f t="shared" si="77"/>
        <v>1.0017807757637105</v>
      </c>
      <c r="AK174" s="2">
        <f t="shared" si="78"/>
        <v>1.0141400214121039</v>
      </c>
      <c r="AM174" s="2">
        <f t="shared" si="79"/>
        <v>1.0201599703655504</v>
      </c>
      <c r="AO174" s="2">
        <f t="shared" si="80"/>
        <v>1.0288996848002923</v>
      </c>
    </row>
    <row r="175" spans="4:42" x14ac:dyDescent="0.3">
      <c r="E175" t="s">
        <v>5</v>
      </c>
      <c r="F175">
        <v>19.7</v>
      </c>
      <c r="G175">
        <v>2.0699999999999998</v>
      </c>
      <c r="H175">
        <v>1.93</v>
      </c>
      <c r="I175">
        <v>13.11</v>
      </c>
      <c r="J175">
        <v>11.7</v>
      </c>
      <c r="K175">
        <v>10920</v>
      </c>
      <c r="L175">
        <f t="shared" si="53"/>
        <v>1.4100000000000001</v>
      </c>
      <c r="M175">
        <f t="shared" si="54"/>
        <v>2</v>
      </c>
      <c r="N175" s="2">
        <f>FiberLength!D59*$C$2*PI()</f>
        <v>3.9364155949480104E-4</v>
      </c>
      <c r="O175" s="2">
        <f t="shared" si="55"/>
        <v>1.1829764937090939</v>
      </c>
      <c r="P175">
        <v>0.17199999999999999</v>
      </c>
      <c r="R175">
        <v>0.95499999999999996</v>
      </c>
      <c r="T175">
        <v>0.99399999999999999</v>
      </c>
      <c r="V175">
        <v>0.995</v>
      </c>
      <c r="X175">
        <v>167</v>
      </c>
      <c r="Y175" s="2">
        <f t="shared" si="75"/>
        <v>0.24012538696584729</v>
      </c>
      <c r="Z175" s="2">
        <f t="shared" si="76"/>
        <v>0.67219362387957615</v>
      </c>
      <c r="AA175" s="2">
        <f t="shared" si="67"/>
        <v>3.0876638186528946E-5</v>
      </c>
      <c r="AC175" s="2">
        <f t="shared" si="68"/>
        <v>2.2349792484501168E-5</v>
      </c>
      <c r="AE175" s="2">
        <f t="shared" si="69"/>
        <v>1.6502704076669798E-5</v>
      </c>
      <c r="AG175" s="2">
        <f t="shared" si="70"/>
        <v>1.184266061248804E-5</v>
      </c>
      <c r="AI175" s="2">
        <f t="shared" si="77"/>
        <v>1.001850200532175</v>
      </c>
      <c r="AK175" s="2">
        <f t="shared" si="78"/>
        <v>1.0142507014970319</v>
      </c>
      <c r="AM175" s="2">
        <f t="shared" si="79"/>
        <v>1.0201948154328853</v>
      </c>
      <c r="AO175" s="2">
        <f t="shared" si="80"/>
        <v>1.0283967315948792</v>
      </c>
    </row>
    <row r="176" spans="4:42" x14ac:dyDescent="0.3">
      <c r="E176" t="s">
        <v>6</v>
      </c>
      <c r="F176">
        <v>19.7</v>
      </c>
      <c r="G176">
        <v>2.0699999999999998</v>
      </c>
      <c r="H176">
        <v>1.93</v>
      </c>
      <c r="I176">
        <v>13.14</v>
      </c>
      <c r="J176">
        <v>11.79</v>
      </c>
      <c r="K176">
        <v>10920</v>
      </c>
      <c r="L176">
        <f t="shared" si="53"/>
        <v>1.3500000000000014</v>
      </c>
      <c r="M176">
        <f t="shared" si="54"/>
        <v>2</v>
      </c>
      <c r="N176" s="2">
        <f>FiberLength!D60*$C$2*PI()</f>
        <v>3.9144244463728818E-4</v>
      </c>
      <c r="O176" s="2">
        <f t="shared" si="55"/>
        <v>1.1390001980428832</v>
      </c>
      <c r="P176">
        <v>0.17299999999999999</v>
      </c>
      <c r="R176">
        <v>0.95599999999999996</v>
      </c>
      <c r="T176">
        <v>0.998</v>
      </c>
      <c r="V176">
        <v>0.998</v>
      </c>
      <c r="X176">
        <v>167</v>
      </c>
      <c r="Y176" s="2">
        <f t="shared" si="75"/>
        <v>0.24071418329527372</v>
      </c>
      <c r="Z176" s="2">
        <f t="shared" si="76"/>
        <v>0.64742191816012917</v>
      </c>
      <c r="AA176" s="2">
        <f t="shared" si="67"/>
        <v>3.0865644972619925E-5</v>
      </c>
      <c r="AC176" s="2">
        <f t="shared" si="68"/>
        <v>2.2338969037453811E-5</v>
      </c>
      <c r="AE176" s="2">
        <f t="shared" si="69"/>
        <v>1.6492061513328872E-5</v>
      </c>
      <c r="AG176" s="2">
        <f t="shared" si="70"/>
        <v>1.1832243101497174E-5</v>
      </c>
      <c r="AI176" s="2">
        <f t="shared" si="77"/>
        <v>1.0017917060645727</v>
      </c>
      <c r="AK176" s="2">
        <f t="shared" si="78"/>
        <v>1.0137344411546816</v>
      </c>
      <c r="AM176" s="2">
        <f t="shared" si="79"/>
        <v>1.0195204350643061</v>
      </c>
      <c r="AO176" s="2">
        <f t="shared" si="80"/>
        <v>1.0274192571121363</v>
      </c>
    </row>
    <row r="177" spans="4:42" x14ac:dyDescent="0.3">
      <c r="E177" t="s">
        <v>7</v>
      </c>
      <c r="F177">
        <v>19.7</v>
      </c>
      <c r="G177">
        <v>2.0699999999999998</v>
      </c>
      <c r="H177">
        <v>1.93</v>
      </c>
      <c r="I177">
        <v>13.13</v>
      </c>
      <c r="J177">
        <v>11.72</v>
      </c>
      <c r="K177">
        <v>10920</v>
      </c>
      <c r="L177">
        <f t="shared" si="53"/>
        <v>1.4100000000000001</v>
      </c>
      <c r="M177">
        <f t="shared" si="54"/>
        <v>2</v>
      </c>
      <c r="N177" s="2">
        <f>FiberLength!D61*$C$2*PI()</f>
        <v>3.9144244463728818E-4</v>
      </c>
      <c r="O177" s="2">
        <f t="shared" si="55"/>
        <v>1.1896224290670101</v>
      </c>
      <c r="P177">
        <v>0.157</v>
      </c>
      <c r="R177">
        <v>0.95499999999999996</v>
      </c>
      <c r="T177">
        <v>0.997</v>
      </c>
      <c r="V177">
        <v>0.997</v>
      </c>
      <c r="X177">
        <v>167</v>
      </c>
      <c r="Y177" s="2">
        <f t="shared" si="75"/>
        <v>0.23433489168022562</v>
      </c>
      <c r="Z177" s="2">
        <f t="shared" si="76"/>
        <v>0.67375315027834892</v>
      </c>
      <c r="AA177" s="2">
        <f t="shared" si="67"/>
        <v>3.087829794399759E-5</v>
      </c>
      <c r="AC177" s="2">
        <f t="shared" si="68"/>
        <v>2.2351426368686898E-5</v>
      </c>
      <c r="AE177" s="2">
        <f t="shared" si="69"/>
        <v>1.6504310396565079E-5</v>
      </c>
      <c r="AG177" s="2">
        <f t="shared" si="70"/>
        <v>1.1844232643924076E-5</v>
      </c>
      <c r="AI177" s="2">
        <f t="shared" si="77"/>
        <v>1.0016983440920408</v>
      </c>
      <c r="AK177" s="2">
        <f t="shared" si="78"/>
        <v>1.0143308997186831</v>
      </c>
      <c r="AM177" s="2">
        <f t="shared" si="79"/>
        <v>1.0203698639893641</v>
      </c>
      <c r="AO177" s="2">
        <f t="shared" si="80"/>
        <v>1.0286143444090234</v>
      </c>
    </row>
    <row r="178" spans="4:42" x14ac:dyDescent="0.3">
      <c r="D178">
        <v>14</v>
      </c>
      <c r="E178" t="s">
        <v>4</v>
      </c>
      <c r="F178">
        <v>19.7</v>
      </c>
      <c r="G178">
        <v>2.0699999999999998</v>
      </c>
      <c r="H178">
        <v>1.93</v>
      </c>
      <c r="I178">
        <v>12.89</v>
      </c>
      <c r="J178">
        <v>11.71</v>
      </c>
      <c r="K178">
        <v>10920</v>
      </c>
      <c r="L178">
        <f t="shared" si="53"/>
        <v>1.1799999999999997</v>
      </c>
      <c r="M178">
        <f t="shared" si="54"/>
        <v>2</v>
      </c>
      <c r="N178" s="2">
        <f>FiberLength!D62*$C$2*PI()</f>
        <v>3.9144244463728818E-4</v>
      </c>
      <c r="O178" s="2">
        <f t="shared" si="55"/>
        <v>0.99557054347451857</v>
      </c>
      <c r="P178">
        <v>0.13600000000000001</v>
      </c>
      <c r="R178">
        <v>0.93</v>
      </c>
      <c r="T178">
        <v>0.98399999999999999</v>
      </c>
      <c r="V178">
        <v>0.998</v>
      </c>
      <c r="X178">
        <v>175</v>
      </c>
      <c r="Y178" s="2">
        <f t="shared" si="75"/>
        <v>0.22180893394656073</v>
      </c>
      <c r="Z178" s="2">
        <f t="shared" si="76"/>
        <v>0.55987827319598016</v>
      </c>
      <c r="AA178" s="2">
        <f t="shared" si="67"/>
        <v>3.0829658258352177E-5</v>
      </c>
      <c r="AC178" s="2">
        <f t="shared" si="68"/>
        <v>2.2303518011077412E-5</v>
      </c>
      <c r="AE178" s="2">
        <f t="shared" si="69"/>
        <v>1.6457181495941857E-5</v>
      </c>
      <c r="AG178" s="2">
        <f t="shared" si="70"/>
        <v>1.1798074012311648E-5</v>
      </c>
      <c r="AI178" s="2">
        <f t="shared" si="77"/>
        <v>1.0012309857053456</v>
      </c>
      <c r="AK178" s="2">
        <f t="shared" si="78"/>
        <v>1.0116760975121037</v>
      </c>
      <c r="AM178" s="2">
        <f t="shared" si="79"/>
        <v>1.0168177967038812</v>
      </c>
      <c r="AO178" s="2">
        <f t="shared" si="80"/>
        <v>1.0239546621802516</v>
      </c>
    </row>
    <row r="179" spans="4:42" x14ac:dyDescent="0.3">
      <c r="E179" t="s">
        <v>5</v>
      </c>
      <c r="F179">
        <v>19.7</v>
      </c>
      <c r="G179">
        <v>2.0699999999999998</v>
      </c>
      <c r="H179">
        <v>1.93</v>
      </c>
      <c r="I179">
        <v>13.16</v>
      </c>
      <c r="J179">
        <v>11.83</v>
      </c>
      <c r="K179">
        <v>10920</v>
      </c>
      <c r="L179">
        <f t="shared" si="53"/>
        <v>1.33</v>
      </c>
      <c r="M179">
        <f t="shared" si="54"/>
        <v>2</v>
      </c>
      <c r="N179" s="2">
        <f>FiberLength!D63*$C$2*PI()</f>
        <v>3.9584067435231396E-4</v>
      </c>
      <c r="O179" s="2">
        <f t="shared" si="55"/>
        <v>1.1096580530233409</v>
      </c>
      <c r="P179">
        <v>0.14699999999999999</v>
      </c>
      <c r="R179">
        <v>0.91</v>
      </c>
      <c r="T179">
        <v>0.95599999999999996</v>
      </c>
      <c r="V179">
        <v>0.99</v>
      </c>
      <c r="X179">
        <v>184</v>
      </c>
      <c r="Y179" s="2">
        <f t="shared" si="75"/>
        <v>0.22277706165290337</v>
      </c>
      <c r="Z179" s="2">
        <f t="shared" si="76"/>
        <v>0.62437752128912793</v>
      </c>
      <c r="AA179" s="2">
        <f t="shared" si="67"/>
        <v>3.0858299657701147E-5</v>
      </c>
      <c r="AC179" s="2">
        <f t="shared" si="68"/>
        <v>2.2331735585771863E-5</v>
      </c>
      <c r="AE179" s="2">
        <f t="shared" si="69"/>
        <v>1.6484947270262908E-5</v>
      </c>
      <c r="AG179" s="2">
        <f t="shared" si="70"/>
        <v>1.1825277216467878E-5</v>
      </c>
      <c r="AI179" s="2">
        <f t="shared" si="77"/>
        <v>1.0014831733627594</v>
      </c>
      <c r="AK179" s="2">
        <f t="shared" si="78"/>
        <v>1.0127362559047239</v>
      </c>
      <c r="AM179" s="2">
        <f t="shared" si="79"/>
        <v>1.0182160575531465</v>
      </c>
      <c r="AO179" s="2">
        <f t="shared" si="80"/>
        <v>1.0264960436504682</v>
      </c>
    </row>
    <row r="180" spans="4:42" x14ac:dyDescent="0.3">
      <c r="E180" t="s">
        <v>6</v>
      </c>
      <c r="F180">
        <v>19.7</v>
      </c>
      <c r="G180">
        <v>2.0699999999999998</v>
      </c>
      <c r="H180">
        <v>1.93</v>
      </c>
      <c r="I180">
        <v>12.92</v>
      </c>
      <c r="J180">
        <v>11.78</v>
      </c>
      <c r="K180">
        <v>10920</v>
      </c>
      <c r="L180">
        <f t="shared" si="53"/>
        <v>1.1400000000000006</v>
      </c>
      <c r="M180">
        <f t="shared" si="54"/>
        <v>2</v>
      </c>
      <c r="N180" s="2">
        <f>FiberLength!D64*$C$2*PI()</f>
        <v>3.9364155949480104E-4</v>
      </c>
      <c r="O180" s="2">
        <f t="shared" si="55"/>
        <v>0.95644908002011886</v>
      </c>
      <c r="P180">
        <v>0.13400000000000001</v>
      </c>
      <c r="R180">
        <v>0.94599999999999995</v>
      </c>
      <c r="T180">
        <v>0.995</v>
      </c>
      <c r="V180">
        <v>0.998</v>
      </c>
      <c r="X180">
        <v>170</v>
      </c>
      <c r="Y180" s="2">
        <f t="shared" si="75"/>
        <v>0.22332994858996585</v>
      </c>
      <c r="Z180" s="2">
        <f t="shared" si="76"/>
        <v>0.53833804383714567</v>
      </c>
      <c r="AA180" s="2">
        <f t="shared" si="67"/>
        <v>3.0819805984816605E-5</v>
      </c>
      <c r="AC180" s="2">
        <f t="shared" si="68"/>
        <v>2.2293806843426802E-5</v>
      </c>
      <c r="AE180" s="2">
        <f t="shared" si="69"/>
        <v>1.6447620799387405E-5</v>
      </c>
      <c r="AG180" s="2">
        <f t="shared" si="70"/>
        <v>1.1788700781479825E-5</v>
      </c>
      <c r="AI180" s="2">
        <f t="shared" si="77"/>
        <v>1.0011651834049518</v>
      </c>
      <c r="AK180" s="2">
        <f t="shared" si="78"/>
        <v>1.0114096658792051</v>
      </c>
      <c r="AM180" s="2">
        <f t="shared" si="79"/>
        <v>1.0163362297936802</v>
      </c>
      <c r="AO180" s="2">
        <f t="shared" si="80"/>
        <v>1.0230103677965219</v>
      </c>
    </row>
    <row r="181" spans="4:42" x14ac:dyDescent="0.3">
      <c r="E181" t="s">
        <v>7</v>
      </c>
      <c r="F181">
        <v>19.7</v>
      </c>
      <c r="G181">
        <v>2.0699999999999998</v>
      </c>
      <c r="H181">
        <v>1.93</v>
      </c>
      <c r="I181">
        <v>13.05</v>
      </c>
      <c r="J181">
        <v>11.84</v>
      </c>
      <c r="K181">
        <v>10920</v>
      </c>
      <c r="L181">
        <f t="shared" si="53"/>
        <v>1.2100000000000009</v>
      </c>
      <c r="M181">
        <f t="shared" si="54"/>
        <v>2</v>
      </c>
      <c r="N181" s="2">
        <f>FiberLength!D65*$C$2*PI()</f>
        <v>3.9144244463728818E-4</v>
      </c>
      <c r="O181" s="2">
        <f t="shared" si="55"/>
        <v>1.0208816589865837</v>
      </c>
      <c r="P181">
        <v>0.13600000000000001</v>
      </c>
      <c r="R181">
        <v>0.91500000000000004</v>
      </c>
      <c r="T181">
        <v>0.96</v>
      </c>
      <c r="V181">
        <v>0.98799999999999999</v>
      </c>
      <c r="X181">
        <v>182</v>
      </c>
      <c r="Y181" s="2">
        <f t="shared" si="75"/>
        <v>0.21891400565579683</v>
      </c>
      <c r="Z181" s="2">
        <f t="shared" si="76"/>
        <v>0.57317931993647098</v>
      </c>
      <c r="AA181" s="2">
        <f t="shared" si="67"/>
        <v>3.0836023998760032E-5</v>
      </c>
      <c r="AC181" s="2">
        <f t="shared" si="68"/>
        <v>2.2309791286350614E-5</v>
      </c>
      <c r="AE181" s="2">
        <f t="shared" si="69"/>
        <v>1.6463356183007013E-5</v>
      </c>
      <c r="AG181" s="2">
        <f t="shared" si="70"/>
        <v>1.1804125900291378E-5</v>
      </c>
      <c r="AI181" s="2">
        <f t="shared" si="77"/>
        <v>1.0012623094318984</v>
      </c>
      <c r="AK181" s="2">
        <f t="shared" si="78"/>
        <v>1.0117802405598879</v>
      </c>
      <c r="AM181" s="2">
        <f t="shared" si="79"/>
        <v>1.0168256393875492</v>
      </c>
      <c r="AO181" s="2">
        <f t="shared" si="80"/>
        <v>1.024319616390801</v>
      </c>
    </row>
    <row r="182" spans="4:42" x14ac:dyDescent="0.3">
      <c r="D182">
        <v>10</v>
      </c>
      <c r="E182" t="s">
        <v>4</v>
      </c>
      <c r="F182">
        <v>20.7</v>
      </c>
      <c r="G182">
        <v>5.0599999999999996</v>
      </c>
      <c r="H182">
        <v>4.9400000000000004</v>
      </c>
      <c r="I182">
        <v>13.92</v>
      </c>
      <c r="J182">
        <v>11.77</v>
      </c>
      <c r="K182">
        <v>4200</v>
      </c>
      <c r="L182">
        <f t="shared" si="53"/>
        <v>2.1500000000000004</v>
      </c>
      <c r="M182">
        <f t="shared" si="54"/>
        <v>5</v>
      </c>
      <c r="N182" s="2">
        <f>FiberLength!D50*$C$2*PI()</f>
        <v>3.9364155949480104E-4</v>
      </c>
      <c r="O182" s="2">
        <f t="shared" si="55"/>
        <v>4.6899564537828615</v>
      </c>
      <c r="P182">
        <v>0.33800000000000002</v>
      </c>
      <c r="R182">
        <v>0.94799999999999995</v>
      </c>
      <c r="T182">
        <v>0.98</v>
      </c>
      <c r="V182">
        <v>0.99199999999999999</v>
      </c>
      <c r="X182">
        <v>155</v>
      </c>
      <c r="Y182" s="2">
        <f t="shared" si="75"/>
        <v>0.31750225598377491</v>
      </c>
      <c r="Z182" s="2">
        <f t="shared" si="76"/>
        <v>1.0015928912675223</v>
      </c>
      <c r="AA182" s="2">
        <f t="shared" si="67"/>
        <v>3.1712196067692244E-5</v>
      </c>
      <c r="AC182" s="2">
        <f t="shared" si="68"/>
        <v>2.3166433793101315E-5</v>
      </c>
      <c r="AE182" s="2">
        <f t="shared" si="69"/>
        <v>1.7299427364763192E-5</v>
      </c>
      <c r="AG182" s="2">
        <f t="shared" si="70"/>
        <v>1.2615074717803906E-5</v>
      </c>
      <c r="AI182" s="2">
        <f t="shared" si="77"/>
        <v>1.014480205475484</v>
      </c>
      <c r="AK182" s="2">
        <f t="shared" si="78"/>
        <v>1.0564874045775283</v>
      </c>
      <c r="AM182" s="2">
        <f t="shared" si="79"/>
        <v>1.0798110501592024</v>
      </c>
      <c r="AO182" s="2">
        <f t="shared" si="80"/>
        <v>1.1142422428540637</v>
      </c>
      <c r="AP182" s="2"/>
    </row>
    <row r="183" spans="4:42" x14ac:dyDescent="0.3">
      <c r="E183" t="s">
        <v>5</v>
      </c>
      <c r="F183">
        <v>20.7</v>
      </c>
      <c r="G183">
        <v>5.0599999999999996</v>
      </c>
      <c r="H183">
        <v>4.9400000000000004</v>
      </c>
      <c r="I183">
        <v>13.75</v>
      </c>
      <c r="J183">
        <v>11.7</v>
      </c>
      <c r="K183">
        <v>4200</v>
      </c>
      <c r="L183">
        <f t="shared" si="53"/>
        <v>2.0500000000000007</v>
      </c>
      <c r="M183">
        <f t="shared" si="54"/>
        <v>5</v>
      </c>
      <c r="N183" s="2">
        <f>FiberLength!D51*$C$2*PI()</f>
        <v>3.9144244463728818E-4</v>
      </c>
      <c r="O183" s="2">
        <f t="shared" si="55"/>
        <v>4.4969415226433798</v>
      </c>
      <c r="P183">
        <v>0.34799999999999998</v>
      </c>
      <c r="R183">
        <v>0.95699999999999996</v>
      </c>
      <c r="T183">
        <v>0.98299999999999998</v>
      </c>
      <c r="V183">
        <v>0.997</v>
      </c>
      <c r="X183">
        <v>152</v>
      </c>
      <c r="Y183" s="2">
        <f t="shared" si="75"/>
        <v>0.32223619631563305</v>
      </c>
      <c r="Z183" s="2">
        <f t="shared" si="76"/>
        <v>0.96134429000058419</v>
      </c>
      <c r="AA183" s="2">
        <f t="shared" si="67"/>
        <v>3.1667816539156826E-5</v>
      </c>
      <c r="AC183" s="2">
        <f t="shared" si="68"/>
        <v>2.3123294298020373E-5</v>
      </c>
      <c r="AE183" s="2">
        <f t="shared" si="69"/>
        <v>1.7257578833900835E-5</v>
      </c>
      <c r="AG183" s="2">
        <f t="shared" si="70"/>
        <v>1.2574772409742741E-5</v>
      </c>
      <c r="AI183" s="2">
        <f t="shared" si="77"/>
        <v>1.0142907103660717</v>
      </c>
      <c r="AK183" s="2">
        <f t="shared" si="78"/>
        <v>1.0546506853752637</v>
      </c>
      <c r="AM183" s="2">
        <f t="shared" si="79"/>
        <v>1.0767042731644261</v>
      </c>
      <c r="AO183" s="2">
        <f t="shared" si="80"/>
        <v>1.1099633179652872</v>
      </c>
      <c r="AP183" s="2"/>
    </row>
    <row r="184" spans="4:42" x14ac:dyDescent="0.3">
      <c r="E184" t="s">
        <v>6</v>
      </c>
      <c r="F184">
        <v>20.7</v>
      </c>
      <c r="G184">
        <v>5.0599999999999996</v>
      </c>
      <c r="H184">
        <v>4.9400000000000004</v>
      </c>
      <c r="I184">
        <v>13.91</v>
      </c>
      <c r="J184">
        <v>11.81</v>
      </c>
      <c r="K184">
        <v>4200</v>
      </c>
      <c r="L184">
        <f t="shared" si="53"/>
        <v>2.0999999999999996</v>
      </c>
      <c r="M184">
        <f t="shared" si="54"/>
        <v>5</v>
      </c>
      <c r="N184" s="2">
        <f>FiberLength!D52*$C$2*PI()</f>
        <v>3.9364155949480104E-4</v>
      </c>
      <c r="O184" s="2">
        <f t="shared" si="55"/>
        <v>4.5808876990437231</v>
      </c>
      <c r="P184">
        <v>0.36</v>
      </c>
      <c r="R184">
        <v>0.96299999999999997</v>
      </c>
      <c r="T184">
        <v>0.99299999999999999</v>
      </c>
      <c r="V184">
        <v>0.998</v>
      </c>
      <c r="X184">
        <v>151</v>
      </c>
      <c r="Y184" s="2">
        <f t="shared" si="75"/>
        <v>0.32869282550442863</v>
      </c>
      <c r="Z184" s="2">
        <f t="shared" si="76"/>
        <v>0.98064364597012132</v>
      </c>
      <c r="AA184" s="2">
        <f t="shared" si="67"/>
        <v>3.1687136651940032E-5</v>
      </c>
      <c r="AC184" s="2">
        <f t="shared" si="68"/>
        <v>2.3142077225804313E-5</v>
      </c>
      <c r="AE184" s="2">
        <f t="shared" si="69"/>
        <v>1.7275802254174899E-5</v>
      </c>
      <c r="AG184" s="2">
        <f t="shared" si="70"/>
        <v>1.2592325175336435E-5</v>
      </c>
      <c r="AI184" s="2">
        <f t="shared" si="77"/>
        <v>1.015061442466314</v>
      </c>
      <c r="AK184" s="2">
        <f t="shared" si="78"/>
        <v>1.0560315226469599</v>
      </c>
      <c r="AM184" s="2">
        <f t="shared" si="79"/>
        <v>1.0789561454611152</v>
      </c>
      <c r="AO184" s="2">
        <f t="shared" si="80"/>
        <v>1.1121855106783589</v>
      </c>
      <c r="AP184" s="2"/>
    </row>
    <row r="185" spans="4:42" x14ac:dyDescent="0.3">
      <c r="E185" t="s">
        <v>7</v>
      </c>
      <c r="F185">
        <v>20.7</v>
      </c>
      <c r="G185">
        <v>5.0599999999999996</v>
      </c>
      <c r="H185">
        <v>4.9400000000000004</v>
      </c>
      <c r="I185">
        <v>14.43</v>
      </c>
      <c r="J185">
        <v>12.26</v>
      </c>
      <c r="K185">
        <v>4200</v>
      </c>
      <c r="L185">
        <f t="shared" si="53"/>
        <v>2.17</v>
      </c>
      <c r="M185">
        <f t="shared" si="54"/>
        <v>5</v>
      </c>
      <c r="N185" s="2">
        <f>FiberLength!D53*$C$2*PI()</f>
        <v>3.7165041091967254E-4</v>
      </c>
      <c r="O185" s="2">
        <f t="shared" si="55"/>
        <v>5.0136776808665919</v>
      </c>
      <c r="P185">
        <v>0.35099999999999998</v>
      </c>
      <c r="R185">
        <v>0.96199999999999997</v>
      </c>
      <c r="T185">
        <v>0.99199999999999999</v>
      </c>
      <c r="V185">
        <v>0.998</v>
      </c>
      <c r="X185">
        <v>151</v>
      </c>
      <c r="Y185" s="2">
        <f t="shared" si="75"/>
        <v>0.32647819655397625</v>
      </c>
      <c r="Z185" s="2">
        <f t="shared" si="76"/>
        <v>1.0727836290759902</v>
      </c>
      <c r="AA185" s="2">
        <f t="shared" si="67"/>
        <v>3.1786296614433058E-5</v>
      </c>
      <c r="AC185" s="2">
        <f t="shared" si="68"/>
        <v>2.323841677917284E-5</v>
      </c>
      <c r="AE185" s="2">
        <f t="shared" si="69"/>
        <v>1.7369210715977137E-5</v>
      </c>
      <c r="AG185" s="2">
        <f t="shared" si="70"/>
        <v>1.2682233268424674E-5</v>
      </c>
      <c r="AI185" s="2">
        <f t="shared" si="77"/>
        <v>1.016083433330379</v>
      </c>
      <c r="AK185" s="2">
        <f t="shared" si="78"/>
        <v>1.0613285150583123</v>
      </c>
      <c r="AM185" s="2">
        <f t="shared" si="79"/>
        <v>1.086473557760155</v>
      </c>
      <c r="AO185" s="2">
        <f t="shared" si="80"/>
        <v>1.1231141614009355</v>
      </c>
      <c r="AP185" s="2"/>
    </row>
    <row r="186" spans="4:42" x14ac:dyDescent="0.3">
      <c r="D186">
        <v>11</v>
      </c>
      <c r="E186" t="s">
        <v>4</v>
      </c>
      <c r="F186">
        <v>20.7</v>
      </c>
      <c r="G186">
        <v>5.0599999999999996</v>
      </c>
      <c r="H186">
        <v>4.9400000000000004</v>
      </c>
      <c r="I186">
        <v>13.33</v>
      </c>
      <c r="J186">
        <v>11.78</v>
      </c>
      <c r="K186">
        <v>4200</v>
      </c>
      <c r="L186">
        <f t="shared" si="53"/>
        <v>1.5500000000000007</v>
      </c>
      <c r="M186">
        <f t="shared" si="54"/>
        <v>5</v>
      </c>
      <c r="N186" s="2">
        <f>FiberLength!D54*$C$2*PI()</f>
        <v>3.9364155949480104E-4</v>
      </c>
      <c r="O186" s="2">
        <f t="shared" si="55"/>
        <v>3.3811313969132266</v>
      </c>
      <c r="P186">
        <v>0.33700000000000002</v>
      </c>
      <c r="R186">
        <v>0.95199999999999996</v>
      </c>
      <c r="T186">
        <v>0.97499999999999998</v>
      </c>
      <c r="V186">
        <v>0.995</v>
      </c>
      <c r="X186">
        <v>155</v>
      </c>
      <c r="Y186" s="2">
        <f t="shared" si="75"/>
        <v>0.31258522848362308</v>
      </c>
      <c r="Z186" s="2">
        <f t="shared" si="76"/>
        <v>0.72132114645775891</v>
      </c>
      <c r="AA186" s="2">
        <f t="shared" si="67"/>
        <v>3.1408115411580976E-5</v>
      </c>
      <c r="AC186" s="2">
        <f t="shared" si="68"/>
        <v>2.2870390597336826E-5</v>
      </c>
      <c r="AE186" s="2">
        <f t="shared" si="69"/>
        <v>1.7011788911774629E-5</v>
      </c>
      <c r="AG186" s="2">
        <f t="shared" si="70"/>
        <v>1.2337577356698641E-5</v>
      </c>
      <c r="AI186" s="2">
        <f t="shared" si="77"/>
        <v>1.0103880133404382</v>
      </c>
      <c r="AK186" s="2">
        <f t="shared" si="78"/>
        <v>1.0407694027804908</v>
      </c>
      <c r="AM186" s="2">
        <f t="shared" si="79"/>
        <v>1.0569742231360544</v>
      </c>
      <c r="AO186" s="2">
        <f t="shared" si="80"/>
        <v>1.0819860038221174</v>
      </c>
      <c r="AP186" s="2"/>
    </row>
    <row r="187" spans="4:42" x14ac:dyDescent="0.3">
      <c r="E187" t="s">
        <v>5</v>
      </c>
      <c r="F187">
        <v>20.7</v>
      </c>
      <c r="G187">
        <v>5.0599999999999996</v>
      </c>
      <c r="H187">
        <v>4.9400000000000004</v>
      </c>
      <c r="I187">
        <v>13.54</v>
      </c>
      <c r="J187">
        <v>11.79</v>
      </c>
      <c r="K187">
        <v>4200</v>
      </c>
      <c r="L187">
        <f t="shared" si="53"/>
        <v>1.75</v>
      </c>
      <c r="M187">
        <f t="shared" si="54"/>
        <v>5</v>
      </c>
      <c r="N187" s="2">
        <f>FiberLength!D55*$C$2*PI()</f>
        <v>3.9364155949480104E-4</v>
      </c>
      <c r="O187" s="2">
        <f t="shared" si="55"/>
        <v>3.8174064158697703</v>
      </c>
      <c r="P187">
        <v>0.34799999999999998</v>
      </c>
      <c r="R187">
        <v>0.96</v>
      </c>
      <c r="T187">
        <v>0.98799999999999999</v>
      </c>
      <c r="V187">
        <v>0.996</v>
      </c>
      <c r="X187">
        <v>152</v>
      </c>
      <c r="Y187" s="2">
        <f t="shared" si="75"/>
        <v>0.32026892735849827</v>
      </c>
      <c r="Z187" s="2">
        <f t="shared" si="76"/>
        <v>0.81573200609474605</v>
      </c>
      <c r="AA187" s="2">
        <f t="shared" si="67"/>
        <v>3.1510325245729215E-5</v>
      </c>
      <c r="AC187" s="2">
        <f t="shared" si="68"/>
        <v>2.2970022925301806E-5</v>
      </c>
      <c r="AE187" s="2">
        <f t="shared" si="69"/>
        <v>1.7108716427062477E-5</v>
      </c>
      <c r="AG187" s="2">
        <f t="shared" si="70"/>
        <v>1.243122221415578E-5</v>
      </c>
      <c r="AI187" s="2">
        <f t="shared" si="77"/>
        <v>1.0121187765651634</v>
      </c>
      <c r="AK187" s="2">
        <f t="shared" si="78"/>
        <v>1.0464624432039724</v>
      </c>
      <c r="AM187" s="2">
        <f t="shared" si="79"/>
        <v>1.065281948967864</v>
      </c>
      <c r="AO187" s="2">
        <f t="shared" si="80"/>
        <v>1.0928823107078132</v>
      </c>
      <c r="AP187" s="2"/>
    </row>
    <row r="188" spans="4:42" x14ac:dyDescent="0.3">
      <c r="E188" t="s">
        <v>6</v>
      </c>
      <c r="F188">
        <v>20.7</v>
      </c>
      <c r="G188">
        <v>5.0599999999999996</v>
      </c>
      <c r="H188">
        <v>4.9400000000000004</v>
      </c>
      <c r="I188">
        <v>13.61</v>
      </c>
      <c r="J188">
        <v>11.8</v>
      </c>
      <c r="K188">
        <v>4200</v>
      </c>
      <c r="L188">
        <f t="shared" si="53"/>
        <v>1.8099999999999987</v>
      </c>
      <c r="M188">
        <f t="shared" si="54"/>
        <v>5</v>
      </c>
      <c r="N188" s="2">
        <f>FiberLength!D56*$C$2*PI()</f>
        <v>3.9364155949480104E-4</v>
      </c>
      <c r="O188" s="2">
        <f t="shared" si="55"/>
        <v>3.9482889215567307</v>
      </c>
      <c r="P188">
        <v>0.33900000000000002</v>
      </c>
      <c r="R188">
        <v>0.94399999999999995</v>
      </c>
      <c r="T188">
        <v>0.96399999999999997</v>
      </c>
      <c r="V188">
        <v>0.98399999999999999</v>
      </c>
      <c r="X188">
        <v>157</v>
      </c>
      <c r="Y188" s="2">
        <f t="shared" si="75"/>
        <v>0.31384626836445689</v>
      </c>
      <c r="Z188" s="2">
        <f t="shared" si="76"/>
        <v>0.84254361842685732</v>
      </c>
      <c r="AA188" s="2">
        <f t="shared" si="67"/>
        <v>3.1540815846600732E-5</v>
      </c>
      <c r="AC188" s="2">
        <f t="shared" si="68"/>
        <v>2.2999719361183551E-5</v>
      </c>
      <c r="AE188" s="2">
        <f t="shared" si="69"/>
        <v>1.7137581274765655E-5</v>
      </c>
      <c r="AG188" s="2">
        <f t="shared" si="70"/>
        <v>1.2459081418171086E-5</v>
      </c>
      <c r="AI188" s="2">
        <f t="shared" si="77"/>
        <v>1.0122124676471049</v>
      </c>
      <c r="AK188" s="2">
        <f t="shared" si="78"/>
        <v>1.0472688854397116</v>
      </c>
      <c r="AM188" s="2">
        <f t="shared" si="79"/>
        <v>1.0659107880694461</v>
      </c>
      <c r="AO188" s="2">
        <f t="shared" si="80"/>
        <v>1.0949803908974889</v>
      </c>
      <c r="AP188" s="2"/>
    </row>
    <row r="189" spans="4:42" x14ac:dyDescent="0.3">
      <c r="E189" t="s">
        <v>7</v>
      </c>
      <c r="F189">
        <v>20.7</v>
      </c>
      <c r="G189">
        <v>5.0599999999999996</v>
      </c>
      <c r="H189">
        <v>4.9400000000000004</v>
      </c>
      <c r="I189">
        <v>13.49</v>
      </c>
      <c r="J189">
        <v>11.81</v>
      </c>
      <c r="K189">
        <v>4200</v>
      </c>
      <c r="L189">
        <f t="shared" si="53"/>
        <v>1.6799999999999997</v>
      </c>
      <c r="M189">
        <f t="shared" si="54"/>
        <v>5</v>
      </c>
      <c r="N189" s="2">
        <f>FiberLength!D57*$C$2*PI()</f>
        <v>3.9364155949480104E-4</v>
      </c>
      <c r="O189" s="2">
        <f t="shared" si="55"/>
        <v>3.6647101592349793</v>
      </c>
      <c r="P189">
        <v>0.33700000000000002</v>
      </c>
      <c r="R189">
        <v>0.95899999999999996</v>
      </c>
      <c r="T189">
        <v>0.98499999999999999</v>
      </c>
      <c r="V189">
        <v>0.995</v>
      </c>
      <c r="X189">
        <v>153</v>
      </c>
      <c r="Y189" s="2">
        <f t="shared" si="75"/>
        <v>0.31495626060271203</v>
      </c>
      <c r="Z189" s="2">
        <f t="shared" si="76"/>
        <v>0.78221471625074512</v>
      </c>
      <c r="AA189" s="2">
        <f t="shared" si="67"/>
        <v>3.1474653985290012E-5</v>
      </c>
      <c r="AC189" s="2">
        <f t="shared" si="68"/>
        <v>2.2935266257308654E-5</v>
      </c>
      <c r="AE189" s="2">
        <f t="shared" si="69"/>
        <v>1.7074918503261137E-5</v>
      </c>
      <c r="AG189" s="2">
        <f t="shared" si="70"/>
        <v>1.2398585813312954E-5</v>
      </c>
      <c r="AI189" s="2">
        <f t="shared" si="77"/>
        <v>1.0112637884967719</v>
      </c>
      <c r="AK189" s="2">
        <f t="shared" si="78"/>
        <v>1.0445419124985649</v>
      </c>
      <c r="AM189" s="2">
        <f t="shared" si="79"/>
        <v>1.062446842459585</v>
      </c>
      <c r="AO189" s="2">
        <f t="shared" si="80"/>
        <v>1.0890009499105793</v>
      </c>
      <c r="AP189" s="2"/>
    </row>
    <row r="190" spans="4:42" x14ac:dyDescent="0.3">
      <c r="D190">
        <v>12</v>
      </c>
      <c r="E190" t="s">
        <v>4</v>
      </c>
      <c r="F190">
        <v>20.7</v>
      </c>
      <c r="G190">
        <v>5.0599999999999996</v>
      </c>
      <c r="H190">
        <v>4.9400000000000004</v>
      </c>
      <c r="I190">
        <v>13.39</v>
      </c>
      <c r="J190">
        <v>11.79</v>
      </c>
      <c r="K190">
        <v>4200</v>
      </c>
      <c r="L190">
        <f t="shared" si="53"/>
        <v>1.6000000000000014</v>
      </c>
      <c r="M190">
        <f t="shared" si="54"/>
        <v>5</v>
      </c>
      <c r="N190" s="2">
        <f>FiberLength!D58*$C$2*PI()</f>
        <v>3.9584067435231396E-4</v>
      </c>
      <c r="O190" s="2">
        <f t="shared" si="55"/>
        <v>3.470810150809851</v>
      </c>
      <c r="P190">
        <v>0.35499999999999998</v>
      </c>
      <c r="R190">
        <v>0.93899999999999995</v>
      </c>
      <c r="T190">
        <v>0.95899999999999996</v>
      </c>
      <c r="V190">
        <v>0.97799999999999998</v>
      </c>
      <c r="X190">
        <v>158</v>
      </c>
      <c r="Y190" s="2">
        <f t="shared" si="75"/>
        <v>0.31764827221499525</v>
      </c>
      <c r="Z190" s="2">
        <f t="shared" si="76"/>
        <v>0.74125361625742803</v>
      </c>
      <c r="AA190" s="2">
        <f t="shared" si="67"/>
        <v>3.1429199406919105E-5</v>
      </c>
      <c r="AC190" s="2">
        <f t="shared" si="68"/>
        <v>2.2890953856231555E-5</v>
      </c>
      <c r="AE190" s="2">
        <f t="shared" si="69"/>
        <v>1.7031804996204576E-5</v>
      </c>
      <c r="AG190" s="2">
        <f t="shared" si="70"/>
        <v>1.2356927932569542E-5</v>
      </c>
      <c r="AI190" s="2">
        <f t="shared" si="77"/>
        <v>1.0112345145295965</v>
      </c>
      <c r="AK190" s="2">
        <f t="shared" si="78"/>
        <v>1.0412874351288575</v>
      </c>
      <c r="AM190" s="2">
        <f t="shared" si="79"/>
        <v>1.0575431314837838</v>
      </c>
      <c r="AO190" s="2">
        <f t="shared" si="80"/>
        <v>1.0827629964076722</v>
      </c>
      <c r="AP190" s="2"/>
    </row>
    <row r="191" spans="4:42" x14ac:dyDescent="0.3">
      <c r="E191" t="s">
        <v>5</v>
      </c>
      <c r="F191">
        <v>20.7</v>
      </c>
      <c r="G191">
        <v>5.0599999999999996</v>
      </c>
      <c r="H191">
        <v>4.9400000000000004</v>
      </c>
      <c r="I191">
        <v>13.64</v>
      </c>
      <c r="J191">
        <v>12.34</v>
      </c>
      <c r="K191">
        <v>4200</v>
      </c>
      <c r="L191">
        <f t="shared" si="53"/>
        <v>1.3000000000000007</v>
      </c>
      <c r="M191">
        <f t="shared" si="54"/>
        <v>5</v>
      </c>
      <c r="N191" s="2">
        <f>FiberLength!D59*$C$2*PI()</f>
        <v>3.9364155949480104E-4</v>
      </c>
      <c r="O191" s="2">
        <f t="shared" si="55"/>
        <v>2.8357876232175454</v>
      </c>
      <c r="P191">
        <v>0.35199999999999998</v>
      </c>
      <c r="R191">
        <v>0.96099999999999997</v>
      </c>
      <c r="T191">
        <v>0.98699999999999999</v>
      </c>
      <c r="V191">
        <v>0.998</v>
      </c>
      <c r="X191">
        <v>152</v>
      </c>
      <c r="Y191" s="2">
        <f t="shared" si="75"/>
        <v>0.31831302703891734</v>
      </c>
      <c r="Z191" s="2">
        <f t="shared" si="76"/>
        <v>0.6057191861812925</v>
      </c>
      <c r="AA191" s="2">
        <f t="shared" si="67"/>
        <v>3.1279022545646966E-5</v>
      </c>
      <c r="AC191" s="2">
        <f t="shared" si="68"/>
        <v>2.2744354765468895E-5</v>
      </c>
      <c r="AE191" s="2">
        <f t="shared" si="69"/>
        <v>1.6888972604764106E-5</v>
      </c>
      <c r="AG191" s="2">
        <f t="shared" si="70"/>
        <v>1.22186914547793E-5</v>
      </c>
      <c r="AI191" s="2">
        <f t="shared" si="77"/>
        <v>1.0090936423780859</v>
      </c>
      <c r="AK191" s="2">
        <f t="shared" si="78"/>
        <v>1.0344769459351133</v>
      </c>
      <c r="AM191" s="2">
        <f t="shared" si="79"/>
        <v>1.048286825901749</v>
      </c>
      <c r="AO191" s="2">
        <f t="shared" si="80"/>
        <v>1.0687730930092989</v>
      </c>
      <c r="AP191" s="2"/>
    </row>
    <row r="192" spans="4:42" x14ac:dyDescent="0.3">
      <c r="E192" t="s">
        <v>6</v>
      </c>
      <c r="F192">
        <v>20.7</v>
      </c>
      <c r="G192">
        <v>5.0599999999999996</v>
      </c>
      <c r="H192">
        <v>4.9400000000000004</v>
      </c>
      <c r="I192">
        <v>13.3</v>
      </c>
      <c r="J192">
        <v>11.85</v>
      </c>
      <c r="K192">
        <v>4200</v>
      </c>
      <c r="L192">
        <f t="shared" si="53"/>
        <v>1.4500000000000011</v>
      </c>
      <c r="M192">
        <f t="shared" si="54"/>
        <v>5</v>
      </c>
      <c r="N192" s="2">
        <f>FiberLength!D60*$C$2*PI()</f>
        <v>3.9144244463728818E-4</v>
      </c>
      <c r="O192" s="2">
        <f t="shared" si="55"/>
        <v>3.1807635160160506</v>
      </c>
      <c r="P192">
        <v>0.36099999999999999</v>
      </c>
      <c r="R192">
        <v>0.95799999999999996</v>
      </c>
      <c r="T192">
        <v>0.97899999999999998</v>
      </c>
      <c r="V192">
        <v>0.996</v>
      </c>
      <c r="X192">
        <v>153</v>
      </c>
      <c r="Y192" s="2">
        <f t="shared" si="75"/>
        <v>0.32250007715899404</v>
      </c>
      <c r="Z192" s="2">
        <f t="shared" si="76"/>
        <v>0.68001359026942065</v>
      </c>
      <c r="AA192" s="2">
        <f t="shared" si="67"/>
        <v>3.1360863530431471E-5</v>
      </c>
      <c r="AC192" s="2">
        <f t="shared" si="68"/>
        <v>2.2824284324646235E-5</v>
      </c>
      <c r="AE192" s="2">
        <f t="shared" si="69"/>
        <v>1.6966887684823193E-5</v>
      </c>
      <c r="AG192" s="2">
        <f t="shared" si="70"/>
        <v>1.2294144337000476E-5</v>
      </c>
      <c r="AI192" s="2">
        <f t="shared" si="77"/>
        <v>1.0104654843933012</v>
      </c>
      <c r="AK192" s="2">
        <f t="shared" si="78"/>
        <v>1.038578304821471</v>
      </c>
      <c r="AM192" s="2">
        <f t="shared" si="79"/>
        <v>1.0537817919366181</v>
      </c>
      <c r="AO192" s="2">
        <f t="shared" si="80"/>
        <v>1.0771222655285893</v>
      </c>
      <c r="AP192" s="2"/>
    </row>
    <row r="193" spans="4:42" x14ac:dyDescent="0.3">
      <c r="E193" t="s">
        <v>7</v>
      </c>
      <c r="F193">
        <v>20.7</v>
      </c>
      <c r="G193">
        <v>5.0599999999999996</v>
      </c>
      <c r="H193">
        <v>4.9400000000000004</v>
      </c>
      <c r="I193">
        <v>13.36</v>
      </c>
      <c r="J193">
        <v>11.8</v>
      </c>
      <c r="K193">
        <v>4200</v>
      </c>
      <c r="L193">
        <f t="shared" si="53"/>
        <v>1.5599999999999987</v>
      </c>
      <c r="M193">
        <f t="shared" si="54"/>
        <v>5</v>
      </c>
      <c r="N193" s="2">
        <f>FiberLength!D61*$C$2*PI()</f>
        <v>3.9144244463728818E-4</v>
      </c>
      <c r="O193" s="2">
        <f t="shared" si="55"/>
        <v>3.4220628172310557</v>
      </c>
      <c r="P193">
        <v>0.35199999999999998</v>
      </c>
      <c r="R193">
        <v>0.95599999999999996</v>
      </c>
      <c r="T193">
        <v>0.98</v>
      </c>
      <c r="V193">
        <v>0.996</v>
      </c>
      <c r="X193">
        <v>153</v>
      </c>
      <c r="Y193" s="2">
        <f t="shared" si="75"/>
        <v>0.31955360279951545</v>
      </c>
      <c r="Z193" s="2">
        <f t="shared" si="76"/>
        <v>0.73114026458627834</v>
      </c>
      <c r="AA193" s="2">
        <f t="shared" si="67"/>
        <v>3.1417743503015801E-5</v>
      </c>
      <c r="AC193" s="2">
        <f t="shared" si="68"/>
        <v>2.2879781614285019E-5</v>
      </c>
      <c r="AE193" s="2">
        <f t="shared" si="69"/>
        <v>1.702093077289541E-5</v>
      </c>
      <c r="AG193" s="2">
        <f t="shared" si="70"/>
        <v>1.2346416088540238E-5</v>
      </c>
      <c r="AI193" s="2">
        <f t="shared" si="77"/>
        <v>1.0109823686352579</v>
      </c>
      <c r="AK193" s="2">
        <f t="shared" si="78"/>
        <v>1.0414400632853744</v>
      </c>
      <c r="AM193" s="2">
        <f t="shared" si="79"/>
        <v>1.0579676917049927</v>
      </c>
      <c r="AO193" s="2">
        <f t="shared" si="80"/>
        <v>1.083080357092403</v>
      </c>
      <c r="AP193" s="2"/>
    </row>
    <row r="194" spans="4:42" x14ac:dyDescent="0.3">
      <c r="D194">
        <v>14</v>
      </c>
      <c r="E194" t="s">
        <v>4</v>
      </c>
      <c r="F194">
        <v>20.7</v>
      </c>
      <c r="G194">
        <v>5.0599999999999996</v>
      </c>
      <c r="H194">
        <v>4.9400000000000004</v>
      </c>
      <c r="I194">
        <v>13.18</v>
      </c>
      <c r="J194">
        <v>11.79</v>
      </c>
      <c r="K194">
        <v>4200</v>
      </c>
      <c r="L194">
        <f t="shared" si="53"/>
        <v>1.3900000000000006</v>
      </c>
      <c r="M194">
        <f t="shared" si="54"/>
        <v>5</v>
      </c>
      <c r="N194" s="2">
        <f>FiberLength!D62*$C$2*PI()</f>
        <v>3.9144244463728818E-4</v>
      </c>
      <c r="O194" s="2">
        <f t="shared" si="55"/>
        <v>3.0491457153533155</v>
      </c>
      <c r="P194">
        <v>0.34300000000000003</v>
      </c>
      <c r="R194">
        <v>0.92900000000000005</v>
      </c>
      <c r="T194">
        <v>0.95199999999999996</v>
      </c>
      <c r="V194">
        <v>0.98099999999999998</v>
      </c>
      <c r="X194">
        <v>163</v>
      </c>
      <c r="Y194" s="2">
        <f t="shared" si="75"/>
        <v>0.3097087936391183</v>
      </c>
      <c r="Z194" s="2">
        <f t="shared" si="76"/>
        <v>0.65009731404696658</v>
      </c>
      <c r="AA194" s="2">
        <f t="shared" si="67"/>
        <v>3.1329713246630741E-5</v>
      </c>
      <c r="AC194" s="2">
        <f t="shared" si="68"/>
        <v>2.2793872662643489E-5</v>
      </c>
      <c r="AE194" s="2">
        <f t="shared" si="69"/>
        <v>1.6937253892600131E-5</v>
      </c>
      <c r="AG194" s="2">
        <f t="shared" si="70"/>
        <v>1.2265460145018001E-5</v>
      </c>
      <c r="AI194" s="2">
        <f t="shared" si="77"/>
        <v>1.0095305060877564</v>
      </c>
      <c r="AK194" s="2">
        <f t="shared" si="78"/>
        <v>1.035852417928482</v>
      </c>
      <c r="AM194" s="2">
        <f t="shared" si="79"/>
        <v>1.0501128754371063</v>
      </c>
      <c r="AO194" s="2">
        <f t="shared" si="80"/>
        <v>1.072767352131313</v>
      </c>
      <c r="AP194" s="2"/>
    </row>
    <row r="195" spans="4:42" x14ac:dyDescent="0.3">
      <c r="E195" t="s">
        <v>5</v>
      </c>
      <c r="F195">
        <v>20.7</v>
      </c>
      <c r="G195">
        <v>5.0599999999999996</v>
      </c>
      <c r="H195">
        <v>4.9400000000000004</v>
      </c>
      <c r="I195">
        <v>13.18</v>
      </c>
      <c r="J195">
        <v>11.72</v>
      </c>
      <c r="K195">
        <v>4200</v>
      </c>
      <c r="L195">
        <f t="shared" si="53"/>
        <v>1.4599999999999991</v>
      </c>
      <c r="M195">
        <f t="shared" si="54"/>
        <v>5</v>
      </c>
      <c r="N195" s="2">
        <f>FiberLength!D63*$C$2*PI()</f>
        <v>3.9584067435231396E-4</v>
      </c>
      <c r="O195" s="2">
        <f t="shared" si="55"/>
        <v>3.1671142626139841</v>
      </c>
      <c r="P195">
        <v>0.35599999999999998</v>
      </c>
      <c r="R195">
        <v>0.93100000000000005</v>
      </c>
      <c r="T195">
        <v>0.95499999999999996</v>
      </c>
      <c r="V195">
        <v>0.97599999999999998</v>
      </c>
      <c r="X195">
        <v>162</v>
      </c>
      <c r="Y195" s="2">
        <f t="shared" si="75"/>
        <v>0.31571325302260239</v>
      </c>
      <c r="Z195" s="2">
        <f t="shared" si="76"/>
        <v>0.67611451511964116</v>
      </c>
      <c r="AA195" s="2">
        <f t="shared" si="67"/>
        <v>3.1357637295018317E-5</v>
      </c>
      <c r="AC195" s="2">
        <f t="shared" si="68"/>
        <v>2.2821135208666211E-5</v>
      </c>
      <c r="AE195" s="2">
        <f t="shared" si="69"/>
        <v>1.6963819752251374E-5</v>
      </c>
      <c r="AG195" s="2">
        <f t="shared" si="70"/>
        <v>1.2291175442780249E-5</v>
      </c>
      <c r="AI195" s="2">
        <f t="shared" si="77"/>
        <v>1.0102760551640106</v>
      </c>
      <c r="AK195" s="2">
        <f t="shared" si="78"/>
        <v>1.0373290509497355</v>
      </c>
      <c r="AM195" s="2">
        <f t="shared" si="79"/>
        <v>1.0522358615354126</v>
      </c>
      <c r="AO195" s="2">
        <f t="shared" si="80"/>
        <v>1.0752439008748422</v>
      </c>
      <c r="AP195" s="2"/>
    </row>
    <row r="196" spans="4:42" x14ac:dyDescent="0.3">
      <c r="E196" t="s">
        <v>6</v>
      </c>
      <c r="F196">
        <v>20.7</v>
      </c>
      <c r="G196">
        <v>5.0599999999999996</v>
      </c>
      <c r="H196">
        <v>4.9400000000000004</v>
      </c>
      <c r="I196">
        <v>13.11</v>
      </c>
      <c r="J196">
        <v>11.8</v>
      </c>
      <c r="K196">
        <v>4200</v>
      </c>
      <c r="L196">
        <f t="shared" si="53"/>
        <v>1.3099999999999987</v>
      </c>
      <c r="M196">
        <f t="shared" si="54"/>
        <v>5</v>
      </c>
      <c r="N196" s="2">
        <f>FiberLength!D64*$C$2*PI()</f>
        <v>3.9364155949480104E-4</v>
      </c>
      <c r="O196" s="2">
        <f t="shared" si="55"/>
        <v>2.8576013741653679</v>
      </c>
      <c r="P196">
        <v>0.34599999999999997</v>
      </c>
      <c r="R196">
        <v>0.94399999999999995</v>
      </c>
      <c r="T196">
        <v>0.96599999999999997</v>
      </c>
      <c r="V196">
        <v>0.98899999999999999</v>
      </c>
      <c r="X196">
        <v>158</v>
      </c>
      <c r="Y196" s="2">
        <f t="shared" si="75"/>
        <v>0.31281592114035783</v>
      </c>
      <c r="Z196" s="2">
        <f t="shared" si="76"/>
        <v>0.60966271562788743</v>
      </c>
      <c r="AA196" s="2">
        <f t="shared" si="67"/>
        <v>3.1284216476941835E-5</v>
      </c>
      <c r="AC196" s="2">
        <f t="shared" si="68"/>
        <v>2.2749430221547635E-5</v>
      </c>
      <c r="AE196" s="2">
        <f t="shared" si="69"/>
        <v>1.6893923057417125E-5</v>
      </c>
      <c r="AG196" s="2">
        <f t="shared" si="70"/>
        <v>1.2223488839796836E-5</v>
      </c>
      <c r="AI196" s="2">
        <f t="shared" si="77"/>
        <v>1.0090076515241984</v>
      </c>
      <c r="AK196" s="2">
        <f t="shared" si="78"/>
        <v>1.0341290971655481</v>
      </c>
      <c r="AM196" s="2">
        <f t="shared" si="79"/>
        <v>1.0476262609392073</v>
      </c>
      <c r="AO196" s="2">
        <f t="shared" si="80"/>
        <v>1.0686847306720222</v>
      </c>
      <c r="AP196" s="2"/>
    </row>
    <row r="197" spans="4:42" x14ac:dyDescent="0.3">
      <c r="E197" t="s">
        <v>7</v>
      </c>
      <c r="F197">
        <v>20.7</v>
      </c>
      <c r="G197">
        <v>5.0599999999999996</v>
      </c>
      <c r="H197">
        <v>4.9400000000000004</v>
      </c>
      <c r="I197">
        <v>13.14</v>
      </c>
      <c r="J197">
        <v>11.7</v>
      </c>
      <c r="K197">
        <v>4200</v>
      </c>
      <c r="L197">
        <f t="shared" si="53"/>
        <v>1.4400000000000013</v>
      </c>
      <c r="M197">
        <f t="shared" si="54"/>
        <v>5</v>
      </c>
      <c r="N197" s="2">
        <f>FiberLength!D65*$C$2*PI()</f>
        <v>3.9144244463728818E-4</v>
      </c>
      <c r="O197" s="2">
        <f t="shared" si="55"/>
        <v>3.1588272159055952</v>
      </c>
      <c r="P197">
        <v>0.33800000000000002</v>
      </c>
      <c r="R197">
        <v>0.93100000000000005</v>
      </c>
      <c r="T197">
        <v>0.95599999999999996</v>
      </c>
      <c r="V197">
        <v>0.97199999999999998</v>
      </c>
      <c r="X197">
        <v>163</v>
      </c>
      <c r="Y197" s="2">
        <f t="shared" si="75"/>
        <v>0.30839335377853766</v>
      </c>
      <c r="Z197" s="2">
        <f t="shared" si="76"/>
        <v>0.6732932775704159</v>
      </c>
      <c r="AA197" s="2">
        <f t="shared" si="67"/>
        <v>3.1355678042528144E-5</v>
      </c>
      <c r="AC197" s="2">
        <f t="shared" si="68"/>
        <v>2.2819222720342589E-5</v>
      </c>
      <c r="AE197" s="2">
        <f t="shared" si="69"/>
        <v>1.6961956496285983E-5</v>
      </c>
      <c r="AG197" s="2">
        <f t="shared" si="70"/>
        <v>1.2289372254734069E-5</v>
      </c>
      <c r="AI197" s="2">
        <f t="shared" si="77"/>
        <v>1.0097308411953674</v>
      </c>
      <c r="AK197" s="2">
        <f t="shared" si="78"/>
        <v>1.0372307151820017</v>
      </c>
      <c r="AM197" s="2">
        <f t="shared" si="79"/>
        <v>1.0521523132184727</v>
      </c>
      <c r="AO197" s="2">
        <f t="shared" si="80"/>
        <v>1.07473618195596</v>
      </c>
      <c r="AP197" s="2"/>
    </row>
    <row r="198" spans="4:42" x14ac:dyDescent="0.3">
      <c r="D198">
        <v>10</v>
      </c>
      <c r="E198" t="s">
        <v>4</v>
      </c>
      <c r="F198">
        <v>20.100000000000001</v>
      </c>
      <c r="G198">
        <v>3.57</v>
      </c>
      <c r="H198">
        <v>3.43</v>
      </c>
      <c r="I198">
        <v>14.49</v>
      </c>
      <c r="J198">
        <v>12.48</v>
      </c>
      <c r="K198">
        <v>6000</v>
      </c>
      <c r="L198">
        <f t="shared" si="53"/>
        <v>2.0099999999999998</v>
      </c>
      <c r="M198">
        <f t="shared" si="54"/>
        <v>3.5</v>
      </c>
      <c r="N198" s="2">
        <f>FiberLength!D50*$C$2*PI()</f>
        <v>3.9364155949480104E-4</v>
      </c>
      <c r="O198" s="2">
        <f t="shared" si="55"/>
        <v>3.0691947583592953</v>
      </c>
      <c r="P198">
        <v>0.25800000000000001</v>
      </c>
      <c r="R198">
        <v>0.93500000000000005</v>
      </c>
      <c r="T198">
        <v>0.97299999999999998</v>
      </c>
      <c r="V198">
        <v>0.98699999999999999</v>
      </c>
      <c r="X198">
        <v>165</v>
      </c>
      <c r="Y198" s="2">
        <f t="shared" si="75"/>
        <v>0.27716982275880792</v>
      </c>
      <c r="Z198" s="2">
        <f t="shared" si="76"/>
        <v>0.95232903676810809</v>
      </c>
      <c r="AA198" s="2">
        <f t="shared" si="67"/>
        <v>3.1334464122612279E-5</v>
      </c>
      <c r="AC198" s="2">
        <f t="shared" si="68"/>
        <v>2.2798511756684905E-5</v>
      </c>
      <c r="AE198" s="2">
        <f t="shared" si="69"/>
        <v>1.6941775218433892E-5</v>
      </c>
      <c r="AG198" s="2">
        <f t="shared" si="70"/>
        <v>1.2269837609658922E-5</v>
      </c>
      <c r="AI198" s="2">
        <f t="shared" si="77"/>
        <v>1.0072160490440383</v>
      </c>
      <c r="AK198" s="2">
        <f t="shared" si="78"/>
        <v>1.0363227750425601</v>
      </c>
      <c r="AM198" s="2">
        <f t="shared" si="79"/>
        <v>1.0515584398229589</v>
      </c>
      <c r="AO198" s="2">
        <f t="shared" si="80"/>
        <v>1.0737014978654693</v>
      </c>
      <c r="AP198" s="2"/>
    </row>
    <row r="199" spans="4:42" x14ac:dyDescent="0.3">
      <c r="E199" t="s">
        <v>5</v>
      </c>
      <c r="F199">
        <v>20.100000000000001</v>
      </c>
      <c r="G199">
        <v>3.57</v>
      </c>
      <c r="H199">
        <v>3.43</v>
      </c>
      <c r="I199">
        <v>13.69</v>
      </c>
      <c r="J199">
        <v>11.75</v>
      </c>
      <c r="K199">
        <v>6000</v>
      </c>
      <c r="L199">
        <f t="shared" ref="L199:L261" si="81">I199-J199</f>
        <v>1.9399999999999995</v>
      </c>
      <c r="M199">
        <f t="shared" ref="M199:M261" si="82">(G199+H199)/2</f>
        <v>3.5</v>
      </c>
      <c r="N199" s="2">
        <f>FiberLength!D51*$C$2*PI()</f>
        <v>3.9144244463728818E-4</v>
      </c>
      <c r="O199" s="2">
        <f t="shared" si="55"/>
        <v>2.9789495549998564</v>
      </c>
      <c r="P199">
        <v>0.26900000000000002</v>
      </c>
      <c r="R199">
        <v>0.94</v>
      </c>
      <c r="T199">
        <v>0.96899999999999997</v>
      </c>
      <c r="V199">
        <v>0.98599999999999999</v>
      </c>
      <c r="X199">
        <v>163</v>
      </c>
      <c r="Y199" s="2">
        <f t="shared" si="75"/>
        <v>0.28175602625998014</v>
      </c>
      <c r="Z199" s="2">
        <f t="shared" si="76"/>
        <v>0.92564441332206637</v>
      </c>
      <c r="AA199" s="2">
        <f t="shared" si="67"/>
        <v>3.1313062651423163E-5</v>
      </c>
      <c r="AC199" s="2">
        <f t="shared" si="68"/>
        <v>2.277761133566406E-5</v>
      </c>
      <c r="AE199" s="2">
        <f t="shared" si="69"/>
        <v>1.6921402809721768E-5</v>
      </c>
      <c r="AG199" s="2">
        <f t="shared" si="70"/>
        <v>1.225011046018718E-5</v>
      </c>
      <c r="AI199" s="2">
        <f t="shared" si="77"/>
        <v>1.0073016080060215</v>
      </c>
      <c r="AK199" s="2">
        <f t="shared" si="78"/>
        <v>1.0354365551864615</v>
      </c>
      <c r="AM199" s="2">
        <f t="shared" si="79"/>
        <v>1.0498221738526896</v>
      </c>
      <c r="AO199" s="2">
        <f t="shared" si="80"/>
        <v>1.0714285220201254</v>
      </c>
      <c r="AP199" s="2"/>
    </row>
    <row r="200" spans="4:42" x14ac:dyDescent="0.3">
      <c r="E200" t="s">
        <v>6</v>
      </c>
      <c r="F200">
        <v>20.100000000000001</v>
      </c>
      <c r="G200">
        <v>3.57</v>
      </c>
      <c r="H200">
        <v>3.43</v>
      </c>
      <c r="I200">
        <v>13.79</v>
      </c>
      <c r="J200">
        <v>11.72</v>
      </c>
      <c r="K200">
        <v>6000</v>
      </c>
      <c r="L200">
        <f t="shared" si="81"/>
        <v>2.0699999999999985</v>
      </c>
      <c r="M200">
        <f t="shared" si="82"/>
        <v>3.5</v>
      </c>
      <c r="N200" s="2">
        <f>FiberLength!D52*$C$2*PI()</f>
        <v>3.9364155949480104E-4</v>
      </c>
      <c r="O200" s="2">
        <f t="shared" si="55"/>
        <v>3.160812512340168</v>
      </c>
      <c r="P200">
        <v>0.27200000000000002</v>
      </c>
      <c r="R200">
        <v>0.94699999999999995</v>
      </c>
      <c r="T200">
        <v>0.98199999999999998</v>
      </c>
      <c r="V200">
        <v>0.997</v>
      </c>
      <c r="X200">
        <v>161</v>
      </c>
      <c r="Y200" s="2">
        <f t="shared" si="75"/>
        <v>0.28517795488652148</v>
      </c>
      <c r="Z200" s="2">
        <f t="shared" si="76"/>
        <v>0.98319983749787798</v>
      </c>
      <c r="AA200" s="2">
        <f t="shared" si="67"/>
        <v>3.1356147445398199E-5</v>
      </c>
      <c r="AC200" s="2">
        <f t="shared" si="68"/>
        <v>2.2819680924120355E-5</v>
      </c>
      <c r="AE200" s="2">
        <f t="shared" si="69"/>
        <v>1.696240290962354E-5</v>
      </c>
      <c r="AG200" s="2">
        <f t="shared" si="70"/>
        <v>1.2289804282139993E-5</v>
      </c>
      <c r="AI200" s="2">
        <f t="shared" si="77"/>
        <v>1.0078356787609462</v>
      </c>
      <c r="AK200" s="2">
        <f t="shared" si="78"/>
        <v>1.0378945180191117</v>
      </c>
      <c r="AM200" s="2">
        <f t="shared" si="79"/>
        <v>1.0536047004196629</v>
      </c>
      <c r="AO200" s="2">
        <f t="shared" si="80"/>
        <v>1.0767073908900748</v>
      </c>
      <c r="AP200" s="2"/>
    </row>
    <row r="201" spans="4:42" x14ac:dyDescent="0.3">
      <c r="E201" t="s">
        <v>7</v>
      </c>
      <c r="F201">
        <v>20.100000000000001</v>
      </c>
      <c r="G201">
        <v>3.57</v>
      </c>
      <c r="H201">
        <v>3.43</v>
      </c>
      <c r="I201">
        <v>13.74</v>
      </c>
      <c r="J201">
        <v>11.77</v>
      </c>
      <c r="K201">
        <v>6000</v>
      </c>
      <c r="L201">
        <f t="shared" si="81"/>
        <v>1.9700000000000006</v>
      </c>
      <c r="M201">
        <f t="shared" si="82"/>
        <v>3.5</v>
      </c>
      <c r="N201" s="2">
        <f>FiberLength!D53*$C$2*PI()</f>
        <v>3.7165041091967254E-4</v>
      </c>
      <c r="O201" s="2">
        <f t="shared" si="55"/>
        <v>3.1861113004216741</v>
      </c>
      <c r="P201">
        <v>0.26200000000000001</v>
      </c>
      <c r="R201">
        <v>0.93700000000000006</v>
      </c>
      <c r="T201">
        <v>0.97199999999999998</v>
      </c>
      <c r="V201">
        <v>0.98899999999999999</v>
      </c>
      <c r="X201">
        <v>164</v>
      </c>
      <c r="Y201" s="2">
        <f t="shared" si="75"/>
        <v>0.27941855267943244</v>
      </c>
      <c r="Z201" s="2">
        <f t="shared" si="76"/>
        <v>0.98929691813024279</v>
      </c>
      <c r="AA201" s="2">
        <f t="shared" si="67"/>
        <v>3.1362127310755927E-5</v>
      </c>
      <c r="AC201" s="2">
        <f t="shared" si="68"/>
        <v>2.2825517857005059E-5</v>
      </c>
      <c r="AE201" s="2">
        <f t="shared" si="69"/>
        <v>1.6968089377394816E-5</v>
      </c>
      <c r="AG201" s="2">
        <f t="shared" si="70"/>
        <v>1.2295307191480664E-5</v>
      </c>
      <c r="AI201" s="2">
        <f t="shared" si="77"/>
        <v>1.0076082740035306</v>
      </c>
      <c r="AK201" s="2">
        <f t="shared" si="78"/>
        <v>1.0377965161523466</v>
      </c>
      <c r="AM201" s="2">
        <f t="shared" si="79"/>
        <v>1.0534879639479449</v>
      </c>
      <c r="AO201" s="2">
        <f t="shared" si="80"/>
        <v>1.0767111641845351</v>
      </c>
      <c r="AP201" s="2"/>
    </row>
    <row r="202" spans="4:42" x14ac:dyDescent="0.3">
      <c r="D202">
        <v>11</v>
      </c>
      <c r="E202" t="s">
        <v>4</v>
      </c>
      <c r="F202">
        <v>20.100000000000001</v>
      </c>
      <c r="G202">
        <v>3.57</v>
      </c>
      <c r="H202">
        <v>3.43</v>
      </c>
      <c r="I202">
        <v>13.26</v>
      </c>
      <c r="J202">
        <v>11.72</v>
      </c>
      <c r="K202">
        <v>6000</v>
      </c>
      <c r="L202">
        <f t="shared" si="81"/>
        <v>1.5399999999999991</v>
      </c>
      <c r="M202">
        <f t="shared" si="82"/>
        <v>3.5</v>
      </c>
      <c r="N202" s="2">
        <f>FiberLength!D54*$C$2*PI()</f>
        <v>3.9364155949480104E-4</v>
      </c>
      <c r="O202" s="2">
        <f t="shared" si="55"/>
        <v>2.3515223521757775</v>
      </c>
      <c r="P202">
        <v>0.27</v>
      </c>
      <c r="R202">
        <v>0.93200000000000005</v>
      </c>
      <c r="T202">
        <v>0.95799999999999996</v>
      </c>
      <c r="V202">
        <v>0.97599999999999998</v>
      </c>
      <c r="X202">
        <v>166</v>
      </c>
      <c r="Y202" s="2">
        <f t="shared" si="75"/>
        <v>0.27842498435191471</v>
      </c>
      <c r="Z202" s="2">
        <f t="shared" si="76"/>
        <v>0.72992941053794491</v>
      </c>
      <c r="AA202" s="2">
        <f t="shared" si="67"/>
        <v>3.1163017898673361E-5</v>
      </c>
      <c r="AC202" s="2">
        <f t="shared" si="68"/>
        <v>2.2630890677554248E-5</v>
      </c>
      <c r="AE202" s="2">
        <f t="shared" si="69"/>
        <v>1.6778193515775745E-5</v>
      </c>
      <c r="AG202" s="2">
        <f t="shared" si="70"/>
        <v>1.211120910571083E-5</v>
      </c>
      <c r="AI202" s="2">
        <f t="shared" si="77"/>
        <v>1.0057805713811807</v>
      </c>
      <c r="AK202" s="2">
        <f t="shared" si="78"/>
        <v>1.0277000452860428</v>
      </c>
      <c r="AM202" s="2">
        <f t="shared" si="79"/>
        <v>1.038807224987957</v>
      </c>
      <c r="AO202" s="2">
        <f t="shared" si="80"/>
        <v>1.0556400215930561</v>
      </c>
      <c r="AP202" s="2"/>
    </row>
    <row r="203" spans="4:42" x14ac:dyDescent="0.3">
      <c r="E203" t="s">
        <v>5</v>
      </c>
      <c r="F203">
        <v>20.100000000000001</v>
      </c>
      <c r="G203">
        <v>3.57</v>
      </c>
      <c r="H203">
        <v>3.43</v>
      </c>
      <c r="I203">
        <v>13.32</v>
      </c>
      <c r="J203">
        <v>11.7</v>
      </c>
      <c r="K203">
        <v>6000</v>
      </c>
      <c r="L203">
        <f t="shared" si="81"/>
        <v>1.620000000000001</v>
      </c>
      <c r="M203">
        <f t="shared" si="82"/>
        <v>3.5</v>
      </c>
      <c r="N203" s="2">
        <f>FiberLength!D55*$C$2*PI()</f>
        <v>3.9364155949480104E-4</v>
      </c>
      <c r="O203" s="2">
        <f t="shared" si="55"/>
        <v>2.4736793574836127</v>
      </c>
      <c r="P203">
        <v>0.27100000000000002</v>
      </c>
      <c r="R203">
        <v>0.95</v>
      </c>
      <c r="T203">
        <v>0.97599999999999998</v>
      </c>
      <c r="V203">
        <v>0.99099999999999999</v>
      </c>
      <c r="X203">
        <v>160</v>
      </c>
      <c r="Y203" s="2">
        <f t="shared" si="75"/>
        <v>0.28245788687975643</v>
      </c>
      <c r="Z203" s="2">
        <f t="shared" si="76"/>
        <v>0.76881025034501793</v>
      </c>
      <c r="AA203" s="2">
        <f t="shared" si="67"/>
        <v>3.1192410449920595E-5</v>
      </c>
      <c r="AC203" s="2">
        <f t="shared" si="68"/>
        <v>2.2659659135174665E-5</v>
      </c>
      <c r="AE203" s="2">
        <f t="shared" si="69"/>
        <v>1.6806301611801962E-5</v>
      </c>
      <c r="AG203" s="2">
        <f t="shared" si="70"/>
        <v>1.2138504807616162E-5</v>
      </c>
      <c r="AI203" s="2">
        <f t="shared" si="77"/>
        <v>1.0061042908466287</v>
      </c>
      <c r="AK203" s="2">
        <f t="shared" si="78"/>
        <v>1.0297087598257231</v>
      </c>
      <c r="AM203" s="2">
        <f t="shared" si="79"/>
        <v>1.0416052453903748</v>
      </c>
      <c r="AO203" s="2">
        <f t="shared" si="80"/>
        <v>1.0594644010439354</v>
      </c>
      <c r="AP203" s="2"/>
    </row>
    <row r="204" spans="4:42" x14ac:dyDescent="0.3">
      <c r="E204" t="s">
        <v>6</v>
      </c>
      <c r="F204">
        <v>20.100000000000001</v>
      </c>
      <c r="G204">
        <v>3.57</v>
      </c>
      <c r="H204">
        <v>3.43</v>
      </c>
      <c r="I204">
        <v>13.46</v>
      </c>
      <c r="J204">
        <v>11.77</v>
      </c>
      <c r="K204">
        <v>6000</v>
      </c>
      <c r="L204">
        <f t="shared" si="81"/>
        <v>1.6900000000000013</v>
      </c>
      <c r="M204">
        <f t="shared" si="82"/>
        <v>3.5</v>
      </c>
      <c r="N204" s="2">
        <f>FiberLength!D56*$C$2*PI()</f>
        <v>3.9364155949480104E-4</v>
      </c>
      <c r="O204" s="2">
        <f t="shared" si="55"/>
        <v>2.5805667371279672</v>
      </c>
      <c r="P204">
        <v>0.26</v>
      </c>
      <c r="R204">
        <v>0.93700000000000006</v>
      </c>
      <c r="T204">
        <v>0.96</v>
      </c>
      <c r="V204">
        <v>0.97499999999999998</v>
      </c>
      <c r="X204">
        <v>163</v>
      </c>
      <c r="Y204" s="2">
        <f t="shared" si="75"/>
        <v>0.27587671265618813</v>
      </c>
      <c r="Z204" s="2">
        <f t="shared" si="76"/>
        <v>0.80039331847448125</v>
      </c>
      <c r="AA204" s="2">
        <f t="shared" si="67"/>
        <v>3.1218055426648106E-5</v>
      </c>
      <c r="AC204" s="2">
        <f t="shared" si="68"/>
        <v>2.2684748520995649E-5</v>
      </c>
      <c r="AE204" s="2">
        <f t="shared" si="69"/>
        <v>1.6830803549678521E-5</v>
      </c>
      <c r="AG204" s="2">
        <f t="shared" si="70"/>
        <v>1.2162284914631548E-5</v>
      </c>
      <c r="AI204" s="2">
        <f t="shared" si="77"/>
        <v>1.0061103849321151</v>
      </c>
      <c r="AK204" s="2">
        <f t="shared" si="78"/>
        <v>1.0305747672233763</v>
      </c>
      <c r="AM204" s="2">
        <f t="shared" si="79"/>
        <v>1.0427052257189766</v>
      </c>
      <c r="AO204" s="2">
        <f t="shared" si="80"/>
        <v>1.061063814051425</v>
      </c>
      <c r="AP204" s="2"/>
    </row>
    <row r="205" spans="4:42" x14ac:dyDescent="0.3">
      <c r="E205" t="s">
        <v>7</v>
      </c>
      <c r="F205">
        <v>20.100000000000001</v>
      </c>
      <c r="G205">
        <v>3.57</v>
      </c>
      <c r="H205">
        <v>3.43</v>
      </c>
      <c r="I205">
        <v>13.34</v>
      </c>
      <c r="J205">
        <v>11.72</v>
      </c>
      <c r="K205">
        <v>6000</v>
      </c>
      <c r="L205">
        <f t="shared" si="81"/>
        <v>1.6199999999999992</v>
      </c>
      <c r="M205">
        <f t="shared" si="82"/>
        <v>3.5</v>
      </c>
      <c r="N205" s="2">
        <f>FiberLength!D57*$C$2*PI()</f>
        <v>3.9364155949480104E-4</v>
      </c>
      <c r="O205" s="2">
        <f t="shared" si="55"/>
        <v>2.4736793574836096</v>
      </c>
      <c r="P205">
        <v>0.26400000000000001</v>
      </c>
      <c r="R205">
        <v>0.95199999999999996</v>
      </c>
      <c r="T205">
        <v>0.97699999999999998</v>
      </c>
      <c r="V205">
        <v>0.99199999999999999</v>
      </c>
      <c r="X205">
        <v>158</v>
      </c>
      <c r="Y205" s="2">
        <f t="shared" si="75"/>
        <v>0.27995078773929183</v>
      </c>
      <c r="Z205" s="2">
        <f t="shared" si="76"/>
        <v>0.76821166212764413</v>
      </c>
      <c r="AA205" s="2">
        <f t="shared" si="67"/>
        <v>3.1192410449920595E-5</v>
      </c>
      <c r="AC205" s="2">
        <f t="shared" si="68"/>
        <v>2.2659659135174665E-5</v>
      </c>
      <c r="AE205" s="2">
        <f t="shared" si="69"/>
        <v>1.6806301611801958E-5</v>
      </c>
      <c r="AG205" s="2">
        <f t="shared" si="70"/>
        <v>1.2138504807616162E-5</v>
      </c>
      <c r="AI205" s="2">
        <f t="shared" si="77"/>
        <v>1.0059466154373062</v>
      </c>
      <c r="AK205" s="2">
        <f t="shared" si="78"/>
        <v>1.0297713045832508</v>
      </c>
      <c r="AM205" s="2">
        <f t="shared" si="79"/>
        <v>1.0416478737155697</v>
      </c>
      <c r="AO205" s="2">
        <f t="shared" si="80"/>
        <v>1.0595244054849484</v>
      </c>
      <c r="AP205" s="2"/>
    </row>
    <row r="206" spans="4:42" x14ac:dyDescent="0.3">
      <c r="D206">
        <v>12</v>
      </c>
      <c r="E206" t="s">
        <v>4</v>
      </c>
      <c r="F206">
        <v>20.100000000000001</v>
      </c>
      <c r="G206">
        <v>3.57</v>
      </c>
      <c r="H206">
        <v>3.43</v>
      </c>
      <c r="I206">
        <v>13.34</v>
      </c>
      <c r="J206">
        <v>11.72</v>
      </c>
      <c r="K206">
        <v>6000</v>
      </c>
      <c r="L206">
        <f t="shared" si="81"/>
        <v>1.6199999999999992</v>
      </c>
      <c r="M206">
        <f t="shared" si="82"/>
        <v>3.5</v>
      </c>
      <c r="N206" s="2">
        <f>FiberLength!D58*$C$2*PI()</f>
        <v>3.9584067435231396E-4</v>
      </c>
      <c r="O206" s="2">
        <f t="shared" si="55"/>
        <v>2.459936694386478</v>
      </c>
      <c r="P206">
        <v>0.28199999999999997</v>
      </c>
      <c r="R206">
        <v>0.93</v>
      </c>
      <c r="T206">
        <v>0.95299999999999996</v>
      </c>
      <c r="V206">
        <v>0.96599999999999997</v>
      </c>
      <c r="X206">
        <v>165</v>
      </c>
      <c r="Y206" s="2">
        <f t="shared" si="75"/>
        <v>0.28302202647837965</v>
      </c>
      <c r="Z206" s="2">
        <f t="shared" si="76"/>
        <v>0.76467315431867555</v>
      </c>
      <c r="AA206" s="2">
        <f t="shared" si="67"/>
        <v>3.1189108306634273E-5</v>
      </c>
      <c r="AC206" s="2">
        <f t="shared" si="68"/>
        <v>2.2656427788039612E-5</v>
      </c>
      <c r="AE206" s="2">
        <f t="shared" si="69"/>
        <v>1.6803145149314902E-5</v>
      </c>
      <c r="AG206" s="2">
        <f t="shared" si="70"/>
        <v>1.2135440418627007E-5</v>
      </c>
      <c r="AI206" s="2">
        <f t="shared" si="77"/>
        <v>1.0063166705370032</v>
      </c>
      <c r="AK206" s="2">
        <f t="shared" si="78"/>
        <v>1.0289209669028494</v>
      </c>
      <c r="AM206" s="2">
        <f t="shared" si="79"/>
        <v>1.0403974441707591</v>
      </c>
      <c r="AO206" s="2">
        <f t="shared" si="80"/>
        <v>1.0576384760036817</v>
      </c>
      <c r="AP206" s="2"/>
    </row>
    <row r="207" spans="4:42" x14ac:dyDescent="0.3">
      <c r="E207" t="s">
        <v>5</v>
      </c>
      <c r="F207">
        <v>20.100000000000001</v>
      </c>
      <c r="G207">
        <v>3.57</v>
      </c>
      <c r="H207">
        <v>3.43</v>
      </c>
      <c r="I207">
        <v>13.2</v>
      </c>
      <c r="J207">
        <v>11.79</v>
      </c>
      <c r="K207">
        <v>6000</v>
      </c>
      <c r="L207">
        <f t="shared" si="81"/>
        <v>1.4100000000000001</v>
      </c>
      <c r="M207">
        <f t="shared" si="82"/>
        <v>3.5</v>
      </c>
      <c r="N207" s="2">
        <f>FiberLength!D59*$C$2*PI()</f>
        <v>3.9364155949480104E-4</v>
      </c>
      <c r="O207" s="2">
        <f t="shared" si="55"/>
        <v>2.1530172185505507</v>
      </c>
      <c r="P207">
        <v>0.28000000000000003</v>
      </c>
      <c r="R207">
        <v>0.94899999999999995</v>
      </c>
      <c r="T207">
        <v>0.97299999999999998</v>
      </c>
      <c r="V207">
        <v>0.99399999999999999</v>
      </c>
      <c r="X207">
        <v>158</v>
      </c>
      <c r="Y207" s="2">
        <f t="shared" si="75"/>
        <v>0.28475365972543831</v>
      </c>
      <c r="Z207" s="2">
        <f t="shared" si="76"/>
        <v>0.66962745329388873</v>
      </c>
      <c r="AA207" s="2">
        <f t="shared" si="67"/>
        <v>3.1115056655316936E-5</v>
      </c>
      <c r="AC207" s="2">
        <f t="shared" si="68"/>
        <v>2.2583917762803753E-5</v>
      </c>
      <c r="AE207" s="2">
        <f t="shared" si="69"/>
        <v>1.6732267407299332E-5</v>
      </c>
      <c r="AG207" s="2">
        <f t="shared" si="70"/>
        <v>1.2066572901241193E-5</v>
      </c>
      <c r="AI207" s="2">
        <f t="shared" si="77"/>
        <v>1.0054873321423117</v>
      </c>
      <c r="AK207" s="2">
        <f t="shared" si="78"/>
        <v>1.0258147430991575</v>
      </c>
      <c r="AM207" s="2">
        <f t="shared" si="79"/>
        <v>1.0360670163005379</v>
      </c>
      <c r="AO207" s="2">
        <f t="shared" si="80"/>
        <v>1.0518351419333969</v>
      </c>
      <c r="AP207" s="2"/>
    </row>
    <row r="208" spans="4:42" x14ac:dyDescent="0.3">
      <c r="E208" t="s">
        <v>6</v>
      </c>
      <c r="F208">
        <v>20.100000000000001</v>
      </c>
      <c r="G208">
        <v>3.57</v>
      </c>
      <c r="H208">
        <v>3.43</v>
      </c>
      <c r="I208">
        <v>13.26</v>
      </c>
      <c r="J208">
        <v>11.75</v>
      </c>
      <c r="K208">
        <v>6000</v>
      </c>
      <c r="L208">
        <f t="shared" si="81"/>
        <v>1.5099999999999998</v>
      </c>
      <c r="M208">
        <f t="shared" si="82"/>
        <v>3.5</v>
      </c>
      <c r="N208" s="2">
        <f>FiberLength!D60*$C$2*PI()</f>
        <v>3.9144244463728818E-4</v>
      </c>
      <c r="O208" s="2">
        <f t="shared" si="55"/>
        <v>2.3186669216751463</v>
      </c>
      <c r="P208">
        <v>0.28899999999999998</v>
      </c>
      <c r="R208">
        <v>0.95199999999999996</v>
      </c>
      <c r="T208">
        <v>0.97699999999999998</v>
      </c>
      <c r="V208">
        <v>0.995</v>
      </c>
      <c r="X208">
        <v>157</v>
      </c>
      <c r="Y208" s="2">
        <f t="shared" si="75"/>
        <v>0.28949652257760677</v>
      </c>
      <c r="Z208" s="2">
        <f t="shared" si="76"/>
        <v>0.72221286722814171</v>
      </c>
      <c r="AA208" s="2">
        <f t="shared" si="67"/>
        <v>3.1155096822167921E-5</v>
      </c>
      <c r="AC208" s="2">
        <f t="shared" si="68"/>
        <v>2.2623135426999076E-5</v>
      </c>
      <c r="AE208" s="2">
        <f t="shared" si="69"/>
        <v>1.6770613813624833E-5</v>
      </c>
      <c r="AG208" s="2">
        <f t="shared" si="70"/>
        <v>1.2103845540133085E-5</v>
      </c>
      <c r="AI208" s="2">
        <f t="shared" si="77"/>
        <v>1.0061006617132393</v>
      </c>
      <c r="AK208" s="2">
        <f t="shared" si="78"/>
        <v>1.0278973964394811</v>
      </c>
      <c r="AM208" s="2">
        <f t="shared" si="79"/>
        <v>1.0390201774530454</v>
      </c>
      <c r="AO208" s="2">
        <f t="shared" si="80"/>
        <v>1.0559220382399894</v>
      </c>
      <c r="AP208" s="2"/>
    </row>
    <row r="209" spans="4:42" x14ac:dyDescent="0.3">
      <c r="E209" t="s">
        <v>7</v>
      </c>
      <c r="F209">
        <v>20.100000000000001</v>
      </c>
      <c r="G209">
        <v>3.57</v>
      </c>
      <c r="H209">
        <v>3.43</v>
      </c>
      <c r="I209">
        <v>13.23</v>
      </c>
      <c r="J209">
        <v>11.75</v>
      </c>
      <c r="K209">
        <v>6000</v>
      </c>
      <c r="L209">
        <f t="shared" si="81"/>
        <v>1.4800000000000004</v>
      </c>
      <c r="M209">
        <f t="shared" si="82"/>
        <v>3.5</v>
      </c>
      <c r="N209" s="2">
        <f>FiberLength!D61*$C$2*PI()</f>
        <v>3.9144244463728818E-4</v>
      </c>
      <c r="O209" s="2">
        <f t="shared" si="55"/>
        <v>2.2726006914431909</v>
      </c>
      <c r="P209">
        <v>0.27</v>
      </c>
      <c r="R209">
        <v>0.94899999999999995</v>
      </c>
      <c r="T209">
        <v>0.97099999999999997</v>
      </c>
      <c r="V209">
        <v>0.98699999999999999</v>
      </c>
      <c r="X209">
        <v>158</v>
      </c>
      <c r="Y209" s="2">
        <f t="shared" si="75"/>
        <v>0.28097980860850236</v>
      </c>
      <c r="Z209" s="2">
        <f t="shared" si="76"/>
        <v>0.7059914372456314</v>
      </c>
      <c r="AA209" s="2">
        <f t="shared" si="67"/>
        <v>3.1143979409290299E-5</v>
      </c>
      <c r="AC209" s="2">
        <f t="shared" si="68"/>
        <v>2.2612249037050367E-5</v>
      </c>
      <c r="AE209" s="2">
        <f t="shared" si="69"/>
        <v>1.6759972051573748E-5</v>
      </c>
      <c r="AG209" s="2">
        <f t="shared" si="70"/>
        <v>1.2093505086353307E-5</v>
      </c>
      <c r="AI209" s="2">
        <f t="shared" si="77"/>
        <v>1.0055860361035716</v>
      </c>
      <c r="AK209" s="2">
        <f t="shared" si="78"/>
        <v>1.0272546099784023</v>
      </c>
      <c r="AM209" s="2">
        <f t="shared" si="79"/>
        <v>1.0380049931887683</v>
      </c>
      <c r="AO209" s="2">
        <f t="shared" si="80"/>
        <v>1.0543586643244915</v>
      </c>
      <c r="AP209" s="2"/>
    </row>
    <row r="210" spans="4:42" x14ac:dyDescent="0.3">
      <c r="D210">
        <v>14</v>
      </c>
      <c r="E210" t="s">
        <v>4</v>
      </c>
      <c r="F210">
        <v>20.100000000000001</v>
      </c>
      <c r="G210">
        <v>3.57</v>
      </c>
      <c r="H210">
        <v>3.43</v>
      </c>
      <c r="I210">
        <v>13.1</v>
      </c>
      <c r="J210">
        <v>11.75</v>
      </c>
      <c r="K210">
        <v>6000</v>
      </c>
      <c r="L210">
        <f t="shared" si="81"/>
        <v>1.3499999999999996</v>
      </c>
      <c r="M210">
        <f t="shared" si="82"/>
        <v>3.5</v>
      </c>
      <c r="N210" s="2">
        <f>FiberLength!D62*$C$2*PI()</f>
        <v>3.9144244463728818E-4</v>
      </c>
      <c r="O210" s="2">
        <f t="shared" si="55"/>
        <v>2.0729803604380441</v>
      </c>
      <c r="P210">
        <v>0.26700000000000002</v>
      </c>
      <c r="R210">
        <v>0.92600000000000005</v>
      </c>
      <c r="T210">
        <v>0.95099999999999996</v>
      </c>
      <c r="V210">
        <v>0.97199999999999998</v>
      </c>
      <c r="X210">
        <v>166</v>
      </c>
      <c r="Y210" s="2">
        <f t="shared" si="75"/>
        <v>0.27518729794289232</v>
      </c>
      <c r="Z210" s="2">
        <f t="shared" si="76"/>
        <v>0.6428219409814685</v>
      </c>
      <c r="AA210" s="2">
        <f t="shared" si="67"/>
        <v>3.1095646725352551E-5</v>
      </c>
      <c r="AC210" s="2">
        <f t="shared" si="68"/>
        <v>2.2564896889218841E-5</v>
      </c>
      <c r="AE210" s="2">
        <f t="shared" si="69"/>
        <v>1.6713658959747981E-5</v>
      </c>
      <c r="AG210" s="2">
        <f t="shared" si="70"/>
        <v>1.2048473359714963E-5</v>
      </c>
      <c r="AI210" s="2">
        <f t="shared" si="77"/>
        <v>1.0050375804708287</v>
      </c>
      <c r="AK210" s="2">
        <f t="shared" si="78"/>
        <v>1.0242491673776826</v>
      </c>
      <c r="AM210" s="2">
        <f t="shared" si="79"/>
        <v>1.0339334517200596</v>
      </c>
      <c r="AO210" s="2">
        <f t="shared" si="80"/>
        <v>1.0487860187264935</v>
      </c>
      <c r="AP210" s="2"/>
    </row>
    <row r="211" spans="4:42" x14ac:dyDescent="0.3">
      <c r="E211" t="s">
        <v>5</v>
      </c>
      <c r="F211">
        <v>20.100000000000001</v>
      </c>
      <c r="G211">
        <v>3.57</v>
      </c>
      <c r="H211">
        <v>3.43</v>
      </c>
      <c r="I211">
        <v>13.28</v>
      </c>
      <c r="J211">
        <v>11.83</v>
      </c>
      <c r="K211">
        <v>6000</v>
      </c>
      <c r="L211">
        <f t="shared" si="81"/>
        <v>1.4499999999999993</v>
      </c>
      <c r="M211">
        <f t="shared" si="82"/>
        <v>3.5</v>
      </c>
      <c r="N211" s="2">
        <f>FiberLength!D63*$C$2*PI()</f>
        <v>3.9584067435231396E-4</v>
      </c>
      <c r="O211" s="2">
        <f t="shared" si="55"/>
        <v>2.2017951894199959</v>
      </c>
      <c r="P211">
        <v>0.27900000000000003</v>
      </c>
      <c r="R211">
        <v>0.92700000000000005</v>
      </c>
      <c r="T211">
        <v>0.95199999999999996</v>
      </c>
      <c r="V211">
        <v>0.97099999999999997</v>
      </c>
      <c r="X211">
        <v>165</v>
      </c>
      <c r="Y211" s="2">
        <f t="shared" si="75"/>
        <v>0.28058491403518576</v>
      </c>
      <c r="Z211" s="2">
        <f t="shared" si="76"/>
        <v>0.68391155866133002</v>
      </c>
      <c r="AA211" s="2">
        <f t="shared" si="67"/>
        <v>3.1126865323545647E-5</v>
      </c>
      <c r="AC211" s="2">
        <f t="shared" si="68"/>
        <v>2.2595486620565793E-5</v>
      </c>
      <c r="AE211" s="2">
        <f t="shared" si="69"/>
        <v>1.674358214814831E-5</v>
      </c>
      <c r="AG211" s="2">
        <f t="shared" si="70"/>
        <v>1.2077574276503792E-5</v>
      </c>
      <c r="AI211" s="2">
        <f t="shared" si="77"/>
        <v>1.0055919284997528</v>
      </c>
      <c r="AK211" s="2">
        <f t="shared" si="78"/>
        <v>1.0257899125461054</v>
      </c>
      <c r="AM211" s="2">
        <f t="shared" si="79"/>
        <v>1.036093076046297</v>
      </c>
      <c r="AO211" s="2">
        <f t="shared" si="80"/>
        <v>1.0517944296166561</v>
      </c>
      <c r="AP211" s="2"/>
    </row>
    <row r="212" spans="4:42" x14ac:dyDescent="0.3">
      <c r="E212" t="s">
        <v>6</v>
      </c>
      <c r="F212">
        <v>20.100000000000001</v>
      </c>
      <c r="G212">
        <v>3.57</v>
      </c>
      <c r="H212">
        <v>3.43</v>
      </c>
      <c r="I212">
        <v>13.21</v>
      </c>
      <c r="J212">
        <v>11.79</v>
      </c>
      <c r="K212">
        <v>6000</v>
      </c>
      <c r="L212">
        <f t="shared" si="81"/>
        <v>1.4200000000000017</v>
      </c>
      <c r="M212">
        <f t="shared" si="82"/>
        <v>3.5</v>
      </c>
      <c r="N212" s="2">
        <f>FiberLength!D64*$C$2*PI()</f>
        <v>3.9364155949480104E-4</v>
      </c>
      <c r="O212" s="2">
        <f t="shared" si="55"/>
        <v>2.1682868442140322</v>
      </c>
      <c r="P212">
        <v>0.28599999999999998</v>
      </c>
      <c r="R212">
        <v>0.92700000000000005</v>
      </c>
      <c r="T212">
        <v>0.95</v>
      </c>
      <c r="V212">
        <v>0.96899999999999997</v>
      </c>
      <c r="X212">
        <v>165</v>
      </c>
      <c r="Y212" s="2">
        <f t="shared" si="75"/>
        <v>0.28316731969362957</v>
      </c>
      <c r="Z212" s="2">
        <f t="shared" si="76"/>
        <v>0.67404402395200891</v>
      </c>
      <c r="AA212" s="2">
        <f t="shared" si="67"/>
        <v>3.1118754943612367E-5</v>
      </c>
      <c r="AC212" s="2">
        <f t="shared" si="68"/>
        <v>2.2587541197759292E-5</v>
      </c>
      <c r="AE212" s="2">
        <f t="shared" si="69"/>
        <v>1.6735811515307472E-5</v>
      </c>
      <c r="AG212" s="2">
        <f t="shared" si="70"/>
        <v>1.2070019170622871E-5</v>
      </c>
      <c r="AI212" s="2">
        <f t="shared" si="77"/>
        <v>1.0056447695115551</v>
      </c>
      <c r="AK212" s="2">
        <f t="shared" si="78"/>
        <v>1.0253958510459218</v>
      </c>
      <c r="AM212" s="2">
        <f t="shared" si="79"/>
        <v>1.0354657368295526</v>
      </c>
      <c r="AO212" s="2">
        <f t="shared" si="80"/>
        <v>1.050893349436592</v>
      </c>
      <c r="AP212" s="2"/>
    </row>
    <row r="213" spans="4:42" x14ac:dyDescent="0.3">
      <c r="E213" t="s">
        <v>7</v>
      </c>
      <c r="F213">
        <v>20.100000000000001</v>
      </c>
      <c r="G213">
        <v>3.57</v>
      </c>
      <c r="H213">
        <v>3.43</v>
      </c>
      <c r="I213">
        <v>13.02</v>
      </c>
      <c r="J213">
        <v>11.75</v>
      </c>
      <c r="K213">
        <v>6000</v>
      </c>
      <c r="L213">
        <f t="shared" si="81"/>
        <v>1.2699999999999996</v>
      </c>
      <c r="M213">
        <f t="shared" si="82"/>
        <v>3.5</v>
      </c>
      <c r="N213" s="2">
        <f>FiberLength!D65*$C$2*PI()</f>
        <v>3.9144244463728818E-4</v>
      </c>
      <c r="O213" s="2">
        <f t="shared" si="55"/>
        <v>1.9501370798194937</v>
      </c>
      <c r="P213">
        <v>0.28299999999999997</v>
      </c>
      <c r="R213">
        <v>0.94</v>
      </c>
      <c r="T213">
        <v>0.96399999999999997</v>
      </c>
      <c r="V213">
        <v>0.98099999999999998</v>
      </c>
      <c r="X213">
        <v>160</v>
      </c>
      <c r="Y213" s="2">
        <f t="shared" si="75"/>
        <v>0.28358634028190022</v>
      </c>
      <c r="Z213" s="2">
        <f t="shared" si="76"/>
        <v>0.60630792122379307</v>
      </c>
      <c r="AA213" s="2">
        <f t="shared" si="67"/>
        <v>3.1065771971851286E-5</v>
      </c>
      <c r="AC213" s="2">
        <f t="shared" si="68"/>
        <v>2.253560824582185E-5</v>
      </c>
      <c r="AE213" s="2">
        <f t="shared" si="69"/>
        <v>1.6684992004942117E-5</v>
      </c>
      <c r="AG213" s="2">
        <f t="shared" si="70"/>
        <v>1.2020574275288507E-5</v>
      </c>
      <c r="AI213" s="2">
        <f t="shared" si="77"/>
        <v>1.0050223465150048</v>
      </c>
      <c r="AK213" s="2">
        <f t="shared" si="78"/>
        <v>1.0231519820798338</v>
      </c>
      <c r="AM213" s="2">
        <f t="shared" si="79"/>
        <v>1.0323480196547272</v>
      </c>
      <c r="AO213" s="2">
        <f t="shared" si="80"/>
        <v>1.0462948335479003</v>
      </c>
      <c r="AP213" s="2"/>
    </row>
    <row r="214" spans="4:42" x14ac:dyDescent="0.3">
      <c r="D214">
        <v>10</v>
      </c>
      <c r="E214" t="s">
        <v>4</v>
      </c>
      <c r="F214">
        <v>19.3</v>
      </c>
      <c r="G214">
        <v>2.11</v>
      </c>
      <c r="H214">
        <v>1.89</v>
      </c>
      <c r="I214">
        <v>15</v>
      </c>
      <c r="J214">
        <v>12.48</v>
      </c>
      <c r="K214">
        <v>14400</v>
      </c>
      <c r="L214">
        <f t="shared" si="81"/>
        <v>2.5199999999999996</v>
      </c>
      <c r="M214">
        <f t="shared" si="82"/>
        <v>2</v>
      </c>
      <c r="N214" s="2">
        <f>FiberLength!D50*$C$2*PI()</f>
        <v>3.9364155949480104E-4</v>
      </c>
      <c r="O214" s="2">
        <f t="shared" ref="O214:O261" si="83">L214/N214/K214*60*60/$C$4</f>
        <v>1.6033106946653033</v>
      </c>
      <c r="Q214">
        <v>0.75900000000000001</v>
      </c>
      <c r="S214">
        <v>0.96599999999999997</v>
      </c>
      <c r="U214">
        <v>0.98099999999999998</v>
      </c>
      <c r="W214">
        <v>0.98899999999999999</v>
      </c>
      <c r="X214">
        <v>210</v>
      </c>
      <c r="Y214" s="2">
        <f t="shared" ref="Y214" si="84">8.314*293.15*1000*(1/106*(Q214+AJ214-1)+1/400*(S214+AL214-1)+1/1000*(U214+AN214-1)+1/3000*(W214+AP214-1))/10^5</f>
        <v>0.27083427937917548</v>
      </c>
      <c r="Z214" s="2">
        <f t="shared" si="76"/>
        <v>0.92721633071101173</v>
      </c>
      <c r="AB214" s="2">
        <f t="shared" ref="AB214:AB261" si="85">(($O214/1000/60/60/$AX$85)+(1+0.26*($O214/1000/60/60/$AX$85)^(1.4))^(-1.7))*$AX$85</f>
        <v>2.6734248775752523E-5</v>
      </c>
      <c r="AD214" s="2">
        <f t="shared" ref="AD214:AD261" si="86">(($O214/1000/60/60/$AZ$85)+(1+0.26*($O214/1000/60/60/$AZ$85)^(1.4))^(-1.7))*$AZ$85</f>
        <v>1.8558225874708475E-5</v>
      </c>
      <c r="AF214" s="2">
        <f t="shared" ref="AF214:AF261" si="87">(($O214/1000/60/60/$BB$85)+(1+0.26*($O214/1000/60/60/$BB$85)^(1.4))^(-1.7))*$BB$85</f>
        <v>1.4433516623265932E-5</v>
      </c>
      <c r="AH214" s="2">
        <f t="shared" ref="AH214:AH261" si="88">(($O214/1000/60/60/$BD$85)+(1+0.26*($O214/1000/60/60/$BD$85)^(1.4))^(-1.7))*$BD$85</f>
        <v>1.0690951000817892E-5</v>
      </c>
      <c r="AJ214" s="2">
        <f t="shared" ref="AJ214" si="89">(AB214/($O214/1000/60/60)+Q214-1)/(AB214/($O214/1000/60/60)-1)</f>
        <v>1.0128583369762998</v>
      </c>
      <c r="AL214" s="2">
        <f t="shared" ref="AL214" si="90">(AD214/($O214/1000/60/60)+S214-1)/(AD214/($O214/1000/60/60)-1)</f>
        <v>1.0237522765860327</v>
      </c>
      <c r="AN214" s="2">
        <f t="shared" ref="AN214" si="91">(AF214/($O214/1000/60/60)+U214-1)/(AF214/($O214/1000/60/60)-1)</f>
        <v>1.0312337289004225</v>
      </c>
      <c r="AP214" s="2">
        <f t="shared" ref="AP214" si="92">(AH214/($O214/1000/60/60)+W214-1)/(AH214/($O214/1000/60/60)-1)</f>
        <v>1.0429907120436144</v>
      </c>
    </row>
    <row r="215" spans="4:42" x14ac:dyDescent="0.3">
      <c r="E215" t="s">
        <v>5</v>
      </c>
      <c r="F215">
        <v>19.3</v>
      </c>
      <c r="G215">
        <v>2.11</v>
      </c>
      <c r="H215">
        <v>1.89</v>
      </c>
      <c r="I215">
        <v>13.59</v>
      </c>
      <c r="J215">
        <v>11.75</v>
      </c>
      <c r="K215">
        <v>14400</v>
      </c>
      <c r="L215">
        <f t="shared" si="81"/>
        <v>1.8399999999999999</v>
      </c>
      <c r="M215">
        <f t="shared" si="82"/>
        <v>2</v>
      </c>
      <c r="N215" s="2">
        <f>FiberLength!D51*$C$2*PI()</f>
        <v>3.9144244463728818E-4</v>
      </c>
      <c r="O215" s="2">
        <f t="shared" si="83"/>
        <v>1.1772481059277786</v>
      </c>
      <c r="Q215">
        <v>0.8</v>
      </c>
      <c r="S215">
        <v>0.98</v>
      </c>
      <c r="U215">
        <v>0.98599999999999999</v>
      </c>
      <c r="W215">
        <v>0.997</v>
      </c>
      <c r="X215">
        <v>199</v>
      </c>
      <c r="Y215" s="2">
        <f t="shared" ref="Y215:Y261" si="93">8.314*293.15*1000*(1/106*(Q215+AJ215-1)+1/400*(S215+AL215-1)+1/1000*(U215+AN215-1)+1/3000*(W215+AP215-1))/10^5</f>
        <v>0.27997021086232077</v>
      </c>
      <c r="Z215" s="2">
        <f t="shared" ref="Z215:Z261" si="94">O215/(M215-Y215)</f>
        <v>0.68443471930679811</v>
      </c>
      <c r="AB215" s="2">
        <f t="shared" si="85"/>
        <v>2.6629388830605709E-5</v>
      </c>
      <c r="AD215" s="2">
        <f t="shared" si="86"/>
        <v>1.8455507026955094E-5</v>
      </c>
      <c r="AF215" s="2">
        <f t="shared" si="87"/>
        <v>1.4332468479736847E-5</v>
      </c>
      <c r="AH215" s="2">
        <f t="shared" si="88"/>
        <v>1.0592133943165129E-5</v>
      </c>
      <c r="AJ215" s="2">
        <f t="shared" ref="AJ215:AJ261" si="95">(AB215/($O215/1000/60/60)+Q215-1)/(AB215/($O215/1000/60/60)-1)</f>
        <v>1.0099462761652827</v>
      </c>
      <c r="AL215" s="2">
        <f t="shared" ref="AL215:AL261" si="96">(AD215/($O215/1000/60/60)+S215-1)/(AD215/($O215/1000/60/60)-1)</f>
        <v>1.0176778667570971</v>
      </c>
      <c r="AN215" s="2">
        <f t="shared" ref="AN215:AN261" si="97">(AF215/($O215/1000/60/60)+U215-1)/(AF215/($O215/1000/60/60)-1)</f>
        <v>1.0230221133826785</v>
      </c>
      <c r="AP215" s="2">
        <f t="shared" ref="AP215:AP261" si="98">(AH215/($O215/1000/60/60)+W215-1)/(AH215/($O215/1000/60/60)-1)</f>
        <v>1.0317611780704969</v>
      </c>
    </row>
    <row r="216" spans="4:42" x14ac:dyDescent="0.3">
      <c r="E216" t="s">
        <v>6</v>
      </c>
      <c r="F216">
        <v>19.3</v>
      </c>
      <c r="G216">
        <v>2.11</v>
      </c>
      <c r="H216">
        <v>1.89</v>
      </c>
      <c r="I216">
        <v>14.24</v>
      </c>
      <c r="J216">
        <v>11.72</v>
      </c>
      <c r="K216">
        <v>14400</v>
      </c>
      <c r="L216">
        <f t="shared" si="81"/>
        <v>2.5199999999999996</v>
      </c>
      <c r="M216">
        <f t="shared" si="82"/>
        <v>2</v>
      </c>
      <c r="N216" s="2">
        <f>FiberLength!D52*$C$2*PI()</f>
        <v>3.9364155949480104E-4</v>
      </c>
      <c r="O216" s="2">
        <f t="shared" si="83"/>
        <v>1.6033106946653033</v>
      </c>
      <c r="Q216">
        <v>0.78300000000000003</v>
      </c>
      <c r="S216">
        <v>0.97699999999999998</v>
      </c>
      <c r="U216">
        <v>0.99</v>
      </c>
      <c r="W216">
        <v>0.996</v>
      </c>
      <c r="X216">
        <v>202</v>
      </c>
      <c r="Y216" s="2">
        <f t="shared" si="93"/>
        <v>0.27741846672981613</v>
      </c>
      <c r="Z216" s="2">
        <f t="shared" si="94"/>
        <v>0.93076041029044676</v>
      </c>
      <c r="AB216" s="2">
        <f t="shared" si="85"/>
        <v>2.6734248775752523E-5</v>
      </c>
      <c r="AD216" s="2">
        <f t="shared" si="86"/>
        <v>1.8558225874708475E-5</v>
      </c>
      <c r="AF216" s="2">
        <f t="shared" si="87"/>
        <v>1.4433516623265932E-5</v>
      </c>
      <c r="AH216" s="2">
        <f t="shared" si="88"/>
        <v>1.0690951000817892E-5</v>
      </c>
      <c r="AJ216" s="2">
        <f t="shared" si="95"/>
        <v>1.0132649247067755</v>
      </c>
      <c r="AL216" s="2">
        <f t="shared" si="96"/>
        <v>1.0240227476444657</v>
      </c>
      <c r="AN216" s="2">
        <f t="shared" si="97"/>
        <v>1.031520276871986</v>
      </c>
      <c r="AP216" s="2">
        <f t="shared" si="98"/>
        <v>1.0432949941308796</v>
      </c>
    </row>
    <row r="217" spans="4:42" x14ac:dyDescent="0.3">
      <c r="E217" t="s">
        <v>7</v>
      </c>
      <c r="F217">
        <v>19.3</v>
      </c>
      <c r="G217">
        <v>2.11</v>
      </c>
      <c r="H217">
        <v>1.89</v>
      </c>
      <c r="I217">
        <v>14.24</v>
      </c>
      <c r="J217">
        <v>11.77</v>
      </c>
      <c r="K217">
        <v>14400</v>
      </c>
      <c r="L217">
        <f t="shared" si="81"/>
        <v>2.4700000000000006</v>
      </c>
      <c r="M217">
        <f t="shared" si="82"/>
        <v>2</v>
      </c>
      <c r="N217" s="2">
        <f>FiberLength!D53*$C$2*PI()</f>
        <v>3.7165041091967254E-4</v>
      </c>
      <c r="O217" s="2">
        <f t="shared" si="83"/>
        <v>1.6644870795350117</v>
      </c>
      <c r="Q217">
        <v>0.77</v>
      </c>
      <c r="S217">
        <v>0.97199999999999998</v>
      </c>
      <c r="U217">
        <v>0.98399999999999999</v>
      </c>
      <c r="W217">
        <v>0.996</v>
      </c>
      <c r="X217">
        <v>206</v>
      </c>
      <c r="Y217" s="2">
        <f t="shared" si="93"/>
        <v>0.27412897785297424</v>
      </c>
      <c r="Z217" s="2">
        <f t="shared" si="94"/>
        <v>0.96443306491370895</v>
      </c>
      <c r="AB217" s="2">
        <f t="shared" si="85"/>
        <v>2.6749174949642725E-5</v>
      </c>
      <c r="AD217" s="2">
        <f t="shared" si="86"/>
        <v>1.8572824723176532E-5</v>
      </c>
      <c r="AF217" s="2">
        <f t="shared" si="87"/>
        <v>1.4447860448944038E-5</v>
      </c>
      <c r="AH217" s="2">
        <f t="shared" si="88"/>
        <v>1.070495500203434E-5</v>
      </c>
      <c r="AJ217" s="2">
        <f t="shared" si="95"/>
        <v>1.013543491637696</v>
      </c>
      <c r="AL217" s="2">
        <f t="shared" si="96"/>
        <v>1.0248150147914223</v>
      </c>
      <c r="AN217" s="2">
        <f t="shared" si="97"/>
        <v>1.0325308145240946</v>
      </c>
      <c r="AP217" s="2">
        <f t="shared" si="98"/>
        <v>1.0449600887769463</v>
      </c>
    </row>
    <row r="218" spans="4:42" x14ac:dyDescent="0.3">
      <c r="D218">
        <v>11</v>
      </c>
      <c r="E218" t="s">
        <v>4</v>
      </c>
      <c r="F218">
        <v>19.3</v>
      </c>
      <c r="G218">
        <v>2.11</v>
      </c>
      <c r="H218">
        <v>1.89</v>
      </c>
      <c r="I218">
        <v>13.72</v>
      </c>
      <c r="J218">
        <v>11.72</v>
      </c>
      <c r="K218">
        <v>14400</v>
      </c>
      <c r="L218">
        <f t="shared" si="81"/>
        <v>2</v>
      </c>
      <c r="M218">
        <f t="shared" si="82"/>
        <v>2</v>
      </c>
      <c r="N218" s="2">
        <f>FiberLength!D54*$C$2*PI()</f>
        <v>3.9364155949480104E-4</v>
      </c>
      <c r="O218" s="2">
        <f t="shared" si="83"/>
        <v>1.2724688052899236</v>
      </c>
      <c r="Q218">
        <v>0.77300000000000002</v>
      </c>
      <c r="S218">
        <v>0.94399999999999995</v>
      </c>
      <c r="U218">
        <v>0.95499999999999996</v>
      </c>
      <c r="W218">
        <v>0.96599999999999997</v>
      </c>
      <c r="X218">
        <v>218</v>
      </c>
      <c r="Y218" s="2">
        <f t="shared" si="93"/>
        <v>0.27074635294463401</v>
      </c>
      <c r="Z218" s="2">
        <f t="shared" si="94"/>
        <v>0.73584855955442285</v>
      </c>
      <c r="AB218" s="2">
        <f t="shared" si="85"/>
        <v>2.6652969490125771E-5</v>
      </c>
      <c r="AD218" s="2">
        <f t="shared" si="86"/>
        <v>1.8478631540776036E-5</v>
      </c>
      <c r="AF218" s="2">
        <f t="shared" si="87"/>
        <v>1.4355236691609513E-5</v>
      </c>
      <c r="AH218" s="2">
        <f t="shared" si="88"/>
        <v>1.0614425643308799E-5</v>
      </c>
      <c r="AJ218" s="2">
        <f t="shared" si="95"/>
        <v>1.010389067014237</v>
      </c>
      <c r="AL218" s="2">
        <f t="shared" si="96"/>
        <v>1.0184091865041311</v>
      </c>
      <c r="AN218" s="2">
        <f t="shared" si="97"/>
        <v>1.0241082107040489</v>
      </c>
      <c r="AP218" s="2">
        <f t="shared" si="98"/>
        <v>1.0332761970285955</v>
      </c>
    </row>
    <row r="219" spans="4:42" x14ac:dyDescent="0.3">
      <c r="E219" t="s">
        <v>5</v>
      </c>
      <c r="F219">
        <v>19.3</v>
      </c>
      <c r="G219">
        <v>2.11</v>
      </c>
      <c r="H219">
        <v>1.89</v>
      </c>
      <c r="I219">
        <v>13.74</v>
      </c>
      <c r="J219">
        <v>11.7</v>
      </c>
      <c r="K219">
        <v>14400</v>
      </c>
      <c r="L219">
        <f t="shared" si="81"/>
        <v>2.0400000000000009</v>
      </c>
      <c r="M219">
        <f t="shared" si="82"/>
        <v>2</v>
      </c>
      <c r="N219" s="2">
        <f>FiberLength!D55*$C$2*PI()</f>
        <v>3.9364155949480104E-4</v>
      </c>
      <c r="O219" s="2">
        <f t="shared" si="83"/>
        <v>1.2979181813957226</v>
      </c>
      <c r="Q219">
        <v>0.79200000000000004</v>
      </c>
      <c r="S219">
        <v>0.97499999999999998</v>
      </c>
      <c r="U219">
        <v>0.98399999999999999</v>
      </c>
      <c r="W219">
        <v>0.99299999999999999</v>
      </c>
      <c r="X219">
        <v>205</v>
      </c>
      <c r="Y219" s="2">
        <f t="shared" si="93"/>
        <v>0.27814097321858783</v>
      </c>
      <c r="Z219" s="2">
        <f t="shared" si="94"/>
        <v>0.75378887656201343</v>
      </c>
      <c r="AB219" s="2">
        <f t="shared" si="85"/>
        <v>2.6659256976903932E-5</v>
      </c>
      <c r="AD219" s="2">
        <f t="shared" si="86"/>
        <v>1.8484794821978932E-5</v>
      </c>
      <c r="AF219" s="2">
        <f t="shared" si="87"/>
        <v>1.4361302988708491E-5</v>
      </c>
      <c r="AH219" s="2">
        <f t="shared" si="88"/>
        <v>1.0620362301171535E-5</v>
      </c>
      <c r="AJ219" s="2">
        <f t="shared" si="95"/>
        <v>1.0108576369823916</v>
      </c>
      <c r="AL219" s="2">
        <f t="shared" si="96"/>
        <v>1.0193949694382773</v>
      </c>
      <c r="AN219" s="2">
        <f t="shared" si="97"/>
        <v>1.0253389134202509</v>
      </c>
      <c r="AP219" s="2">
        <f t="shared" si="98"/>
        <v>1.0348942542671156</v>
      </c>
    </row>
    <row r="220" spans="4:42" x14ac:dyDescent="0.3">
      <c r="E220" t="s">
        <v>6</v>
      </c>
      <c r="F220">
        <v>19.3</v>
      </c>
      <c r="G220">
        <v>2.11</v>
      </c>
      <c r="H220">
        <v>1.89</v>
      </c>
      <c r="I220">
        <v>13.87</v>
      </c>
      <c r="J220">
        <v>11.77</v>
      </c>
      <c r="K220">
        <v>14400</v>
      </c>
      <c r="L220">
        <f t="shared" si="81"/>
        <v>2.0999999999999996</v>
      </c>
      <c r="M220">
        <f t="shared" si="82"/>
        <v>2</v>
      </c>
      <c r="N220" s="2">
        <f>FiberLength!D56*$C$2*PI()</f>
        <v>3.9364155949480104E-4</v>
      </c>
      <c r="O220" s="2">
        <f t="shared" si="83"/>
        <v>1.3360922455544193</v>
      </c>
      <c r="Q220">
        <v>0.78100000000000003</v>
      </c>
      <c r="S220">
        <v>0.95599999999999996</v>
      </c>
      <c r="U220">
        <v>0.96499999999999997</v>
      </c>
      <c r="W220">
        <v>0.97399999999999998</v>
      </c>
      <c r="X220">
        <v>210</v>
      </c>
      <c r="Y220" s="2">
        <f t="shared" si="93"/>
        <v>0.27389436921957416</v>
      </c>
      <c r="Z220" s="2">
        <f t="shared" si="94"/>
        <v>0.77405010546795483</v>
      </c>
      <c r="AB220" s="2">
        <f t="shared" si="85"/>
        <v>2.6668676757111549E-5</v>
      </c>
      <c r="AD220" s="2">
        <f t="shared" si="86"/>
        <v>1.8494026530233898E-5</v>
      </c>
      <c r="AF220" s="2">
        <f t="shared" si="87"/>
        <v>1.4370387871994788E-5</v>
      </c>
      <c r="AH220" s="2">
        <f t="shared" si="88"/>
        <v>1.0629250976080841E-5</v>
      </c>
      <c r="AJ220" s="2">
        <f t="shared" si="95"/>
        <v>1.0110222397111386</v>
      </c>
      <c r="AL220" s="2">
        <f t="shared" si="96"/>
        <v>1.0195778224415712</v>
      </c>
      <c r="AN220" s="2">
        <f t="shared" si="97"/>
        <v>1.0255832933953122</v>
      </c>
      <c r="AP220" s="2">
        <f t="shared" si="98"/>
        <v>1.03523914544814</v>
      </c>
    </row>
    <row r="221" spans="4:42" x14ac:dyDescent="0.3">
      <c r="E221" t="s">
        <v>7</v>
      </c>
      <c r="F221">
        <v>19.3</v>
      </c>
      <c r="G221">
        <v>2.11</v>
      </c>
      <c r="H221">
        <v>1.89</v>
      </c>
      <c r="I221">
        <v>13.68</v>
      </c>
      <c r="J221">
        <v>11.72</v>
      </c>
      <c r="K221">
        <v>14400</v>
      </c>
      <c r="L221">
        <f t="shared" si="81"/>
        <v>1.9599999999999991</v>
      </c>
      <c r="M221">
        <f t="shared" si="82"/>
        <v>2</v>
      </c>
      <c r="N221" s="2">
        <f>FiberLength!D57*$C$2*PI()</f>
        <v>3.9364155949480104E-4</v>
      </c>
      <c r="O221" s="2">
        <f t="shared" si="83"/>
        <v>1.2470194291841241</v>
      </c>
      <c r="Q221">
        <v>0.78600000000000003</v>
      </c>
      <c r="S221">
        <v>0.97299999999999998</v>
      </c>
      <c r="U221">
        <v>0.98</v>
      </c>
      <c r="W221">
        <v>0.99299999999999999</v>
      </c>
      <c r="X221">
        <v>206</v>
      </c>
      <c r="Y221" s="2">
        <f t="shared" si="93"/>
        <v>0.27633915506054002</v>
      </c>
      <c r="Z221" s="2">
        <f t="shared" si="94"/>
        <v>0.7234714606677296</v>
      </c>
      <c r="AB221" s="2">
        <f t="shared" si="85"/>
        <v>2.6646675810163763E-5</v>
      </c>
      <c r="AD221" s="2">
        <f t="shared" si="86"/>
        <v>1.8472461111257784E-5</v>
      </c>
      <c r="AF221" s="2">
        <f t="shared" si="87"/>
        <v>1.4349162515062601E-5</v>
      </c>
      <c r="AH221" s="2">
        <f t="shared" si="88"/>
        <v>1.0608480156434013E-5</v>
      </c>
      <c r="AJ221" s="2">
        <f t="shared" si="95"/>
        <v>1.0103522051067726</v>
      </c>
      <c r="AL221" s="2">
        <f t="shared" si="96"/>
        <v>1.0185943063882894</v>
      </c>
      <c r="AN221" s="2">
        <f t="shared" si="97"/>
        <v>1.0242428064658979</v>
      </c>
      <c r="AP221" s="2">
        <f t="shared" si="98"/>
        <v>1.0335184805722999</v>
      </c>
    </row>
    <row r="222" spans="4:42" x14ac:dyDescent="0.3">
      <c r="D222">
        <v>12</v>
      </c>
      <c r="E222" t="s">
        <v>4</v>
      </c>
      <c r="F222">
        <v>19.3</v>
      </c>
      <c r="G222">
        <v>2.11</v>
      </c>
      <c r="H222">
        <v>1.89</v>
      </c>
      <c r="I222">
        <v>13.82</v>
      </c>
      <c r="J222">
        <v>11.72</v>
      </c>
      <c r="K222">
        <v>14400</v>
      </c>
      <c r="L222">
        <f t="shared" si="81"/>
        <v>2.0999999999999996</v>
      </c>
      <c r="M222">
        <f t="shared" si="82"/>
        <v>2</v>
      </c>
      <c r="N222" s="2">
        <f>FiberLength!D58*$C$2*PI()</f>
        <v>3.9584067435231396E-4</v>
      </c>
      <c r="O222" s="2">
        <f t="shared" si="83"/>
        <v>1.3286695108568947</v>
      </c>
      <c r="Q222">
        <v>0.78300000000000003</v>
      </c>
      <c r="S222">
        <v>0.94099999999999995</v>
      </c>
      <c r="U222">
        <v>0.94899999999999995</v>
      </c>
      <c r="W222">
        <v>0.96</v>
      </c>
      <c r="X222">
        <v>216</v>
      </c>
      <c r="Y222" s="2">
        <f t="shared" si="93"/>
        <v>0.27288420580172928</v>
      </c>
      <c r="Z222" s="2">
        <f t="shared" si="94"/>
        <v>0.76929961229013299</v>
      </c>
      <c r="AB222" s="2">
        <f t="shared" si="85"/>
        <v>2.6666846199882726E-5</v>
      </c>
      <c r="AD222" s="2">
        <f t="shared" si="86"/>
        <v>1.849223270671683E-5</v>
      </c>
      <c r="AF222" s="2">
        <f t="shared" si="87"/>
        <v>1.4368622723262748E-5</v>
      </c>
      <c r="AH222" s="2">
        <f t="shared" si="88"/>
        <v>1.0627524141608596E-5</v>
      </c>
      <c r="AJ222" s="2">
        <f t="shared" si="95"/>
        <v>1.0109889775419278</v>
      </c>
      <c r="AL222" s="2">
        <f t="shared" si="96"/>
        <v>1.019163296493907</v>
      </c>
      <c r="AN222" s="2">
        <f t="shared" si="97"/>
        <v>1.0250188112916714</v>
      </c>
      <c r="AP222" s="2">
        <f t="shared" si="98"/>
        <v>1.0345385408630512</v>
      </c>
    </row>
    <row r="223" spans="4:42" x14ac:dyDescent="0.3">
      <c r="E223" t="s">
        <v>5</v>
      </c>
      <c r="F223">
        <v>19.3</v>
      </c>
      <c r="G223">
        <v>2.11</v>
      </c>
      <c r="H223">
        <v>1.89</v>
      </c>
      <c r="I223">
        <v>13.55</v>
      </c>
      <c r="J223">
        <v>11.79</v>
      </c>
      <c r="K223">
        <v>14400</v>
      </c>
      <c r="L223">
        <f t="shared" si="81"/>
        <v>1.7600000000000016</v>
      </c>
      <c r="M223">
        <f t="shared" si="82"/>
        <v>2</v>
      </c>
      <c r="N223" s="2">
        <f>FiberLength!D59*$C$2*PI()</f>
        <v>3.9364155949480104E-4</v>
      </c>
      <c r="O223" s="2">
        <f t="shared" si="83"/>
        <v>1.1197725486551335</v>
      </c>
      <c r="Q223">
        <v>0.79600000000000004</v>
      </c>
      <c r="S223">
        <v>0.97</v>
      </c>
      <c r="U223">
        <v>0.97599999999999998</v>
      </c>
      <c r="W223">
        <v>1</v>
      </c>
      <c r="X223">
        <v>219</v>
      </c>
      <c r="Y223" s="2">
        <f t="shared" si="93"/>
        <v>0.27799120276674488</v>
      </c>
      <c r="Z223" s="2">
        <f t="shared" si="94"/>
        <v>0.65027109643938386</v>
      </c>
      <c r="AB223" s="2">
        <f t="shared" si="85"/>
        <v>2.6615111730817542E-5</v>
      </c>
      <c r="AD223" s="2">
        <f t="shared" si="86"/>
        <v>1.8441498490712282E-5</v>
      </c>
      <c r="AF223" s="2">
        <f t="shared" si="87"/>
        <v>1.4318669815798346E-5</v>
      </c>
      <c r="AH223" s="2">
        <f t="shared" si="88"/>
        <v>1.0578616135470653E-5</v>
      </c>
      <c r="AJ223" s="2">
        <f t="shared" si="95"/>
        <v>1.0094127718934014</v>
      </c>
      <c r="AL223" s="2">
        <f t="shared" si="96"/>
        <v>1.0166414227417686</v>
      </c>
      <c r="AN223" s="2">
        <f t="shared" si="97"/>
        <v>1.02167268522356</v>
      </c>
      <c r="AP223" s="2">
        <f t="shared" si="98"/>
        <v>1.0302942161145583</v>
      </c>
    </row>
    <row r="224" spans="4:42" x14ac:dyDescent="0.3">
      <c r="E224" t="s">
        <v>6</v>
      </c>
      <c r="F224">
        <v>19.3</v>
      </c>
      <c r="G224">
        <v>2.11</v>
      </c>
      <c r="H224">
        <v>1.89</v>
      </c>
      <c r="I224">
        <v>13.64</v>
      </c>
      <c r="J224">
        <v>11.75</v>
      </c>
      <c r="K224">
        <v>14400</v>
      </c>
      <c r="L224">
        <f t="shared" si="81"/>
        <v>1.8900000000000006</v>
      </c>
      <c r="M224">
        <f t="shared" si="82"/>
        <v>2</v>
      </c>
      <c r="N224" s="2">
        <f>FiberLength!D60*$C$2*PI()</f>
        <v>3.9144244463728818E-4</v>
      </c>
      <c r="O224" s="2">
        <f t="shared" si="83"/>
        <v>1.20923854358886</v>
      </c>
      <c r="Q224">
        <v>0.80600000000000005</v>
      </c>
      <c r="S224">
        <v>0.97499999999999998</v>
      </c>
      <c r="U224">
        <v>0.98</v>
      </c>
      <c r="W224">
        <v>0.999</v>
      </c>
      <c r="X224">
        <v>208</v>
      </c>
      <c r="Y224" s="2">
        <f t="shared" si="93"/>
        <v>0.28103805386138692</v>
      </c>
      <c r="Z224" s="2">
        <f t="shared" si="94"/>
        <v>0.70347022300594308</v>
      </c>
      <c r="AB224" s="2">
        <f t="shared" si="85"/>
        <v>2.6637320937142651E-5</v>
      </c>
      <c r="AD224" s="2">
        <f t="shared" si="86"/>
        <v>1.8463287420529762E-5</v>
      </c>
      <c r="AF224" s="2">
        <f t="shared" si="87"/>
        <v>1.4340130345949117E-5</v>
      </c>
      <c r="AH224" s="2">
        <f t="shared" si="88"/>
        <v>1.0599637251064818E-5</v>
      </c>
      <c r="AJ224" s="2">
        <f t="shared" si="95"/>
        <v>1.0102935529760315</v>
      </c>
      <c r="AL224" s="2">
        <f t="shared" si="96"/>
        <v>1.018066701541082</v>
      </c>
      <c r="AN224" s="2">
        <f t="shared" si="97"/>
        <v>1.023505868290594</v>
      </c>
      <c r="AP224" s="2">
        <f t="shared" si="98"/>
        <v>1.0326941029773939</v>
      </c>
    </row>
    <row r="225" spans="4:42" x14ac:dyDescent="0.3">
      <c r="E225" t="s">
        <v>7</v>
      </c>
      <c r="F225">
        <v>19.3</v>
      </c>
      <c r="G225">
        <v>2.11</v>
      </c>
      <c r="H225">
        <v>1.89</v>
      </c>
      <c r="I225">
        <v>13.67</v>
      </c>
      <c r="J225">
        <v>11.75</v>
      </c>
      <c r="K225">
        <v>14400</v>
      </c>
      <c r="L225">
        <f t="shared" si="81"/>
        <v>1.92</v>
      </c>
      <c r="M225">
        <f t="shared" si="82"/>
        <v>2</v>
      </c>
      <c r="N225" s="2">
        <f>FiberLength!D61*$C$2*PI()</f>
        <v>3.9144244463728818E-4</v>
      </c>
      <c r="O225" s="2">
        <f t="shared" si="83"/>
        <v>1.2284328061855081</v>
      </c>
      <c r="Q225">
        <v>0.79300000000000004</v>
      </c>
      <c r="S225">
        <v>0.96799999999999997</v>
      </c>
      <c r="U225">
        <v>0.97799999999999998</v>
      </c>
      <c r="W225">
        <v>0.98399999999999999</v>
      </c>
      <c r="X225">
        <v>208</v>
      </c>
      <c r="Y225" s="2">
        <f t="shared" si="93"/>
        <v>0.27746829724428179</v>
      </c>
      <c r="Z225" s="2">
        <f t="shared" si="94"/>
        <v>0.71315541201375443</v>
      </c>
      <c r="AB225" s="2">
        <f t="shared" si="85"/>
        <v>2.6642075344967444E-5</v>
      </c>
      <c r="AD225" s="2">
        <f t="shared" si="86"/>
        <v>1.8467950049510919E-5</v>
      </c>
      <c r="AF225" s="2">
        <f t="shared" si="87"/>
        <v>1.4344721282468919E-5</v>
      </c>
      <c r="AH225" s="2">
        <f t="shared" si="88"/>
        <v>1.060413230230746E-5</v>
      </c>
      <c r="AJ225" s="2">
        <f t="shared" si="95"/>
        <v>1.010288508178439</v>
      </c>
      <c r="AL225" s="2">
        <f t="shared" si="96"/>
        <v>1.0182223786628517</v>
      </c>
      <c r="AN225" s="2">
        <f t="shared" si="97"/>
        <v>1.0238315053557021</v>
      </c>
      <c r="AP225" s="2">
        <f t="shared" si="98"/>
        <v>1.0327170294989687</v>
      </c>
    </row>
    <row r="226" spans="4:42" x14ac:dyDescent="0.3">
      <c r="D226">
        <v>14</v>
      </c>
      <c r="E226" t="s">
        <v>4</v>
      </c>
      <c r="F226">
        <v>19.3</v>
      </c>
      <c r="G226">
        <v>2.11</v>
      </c>
      <c r="H226">
        <v>1.89</v>
      </c>
      <c r="I226">
        <v>13.32</v>
      </c>
      <c r="J226">
        <v>11.75</v>
      </c>
      <c r="K226">
        <v>14400</v>
      </c>
      <c r="L226">
        <f t="shared" si="81"/>
        <v>1.5700000000000003</v>
      </c>
      <c r="M226">
        <f t="shared" si="82"/>
        <v>2</v>
      </c>
      <c r="N226" s="2">
        <f>FiberLength!D62*$C$2*PI()</f>
        <v>3.9144244463728818E-4</v>
      </c>
      <c r="O226" s="2">
        <f t="shared" si="83"/>
        <v>1.0044997425579416</v>
      </c>
      <c r="Q226">
        <v>0.76700000000000002</v>
      </c>
      <c r="S226">
        <v>0.94499999999999995</v>
      </c>
      <c r="U226">
        <v>0.95599999999999996</v>
      </c>
      <c r="W226">
        <v>0.97</v>
      </c>
      <c r="X226">
        <v>220</v>
      </c>
      <c r="Y226" s="2">
        <f t="shared" si="93"/>
        <v>0.2685507437502142</v>
      </c>
      <c r="Z226" s="2">
        <f t="shared" si="94"/>
        <v>0.58014968612688489</v>
      </c>
      <c r="AB226" s="2">
        <f t="shared" si="85"/>
        <v>2.658637355316688E-5</v>
      </c>
      <c r="AD226" s="2">
        <f t="shared" si="86"/>
        <v>1.8413282778168748E-5</v>
      </c>
      <c r="AF226" s="2">
        <f t="shared" si="87"/>
        <v>1.4290862588241231E-5</v>
      </c>
      <c r="AH226" s="2">
        <f t="shared" si="88"/>
        <v>1.055135592754605E-5</v>
      </c>
      <c r="AJ226" s="2">
        <f t="shared" si="95"/>
        <v>1.0081351517538706</v>
      </c>
      <c r="AL226" s="2">
        <f t="shared" si="96"/>
        <v>1.0145405025668801</v>
      </c>
      <c r="AN226" s="2">
        <f t="shared" si="97"/>
        <v>1.0190375128908731</v>
      </c>
      <c r="AP226" s="2">
        <f t="shared" si="98"/>
        <v>1.0263481529452518</v>
      </c>
    </row>
    <row r="227" spans="4:42" x14ac:dyDescent="0.3">
      <c r="E227" t="s">
        <v>5</v>
      </c>
      <c r="F227">
        <v>19.3</v>
      </c>
      <c r="G227">
        <v>2.11</v>
      </c>
      <c r="H227">
        <v>1.89</v>
      </c>
      <c r="I227">
        <v>13.63</v>
      </c>
      <c r="J227">
        <v>11.83</v>
      </c>
      <c r="K227">
        <v>14400</v>
      </c>
      <c r="L227">
        <f t="shared" si="81"/>
        <v>1.8000000000000007</v>
      </c>
      <c r="M227">
        <f t="shared" si="82"/>
        <v>2</v>
      </c>
      <c r="N227" s="2">
        <f>FiberLength!D63*$C$2*PI()</f>
        <v>3.9584067435231396E-4</v>
      </c>
      <c r="O227" s="2">
        <f t="shared" si="83"/>
        <v>1.1388595807344819</v>
      </c>
      <c r="Q227">
        <v>0.77900000000000003</v>
      </c>
      <c r="S227">
        <v>0.94499999999999995</v>
      </c>
      <c r="U227">
        <v>0.95799999999999996</v>
      </c>
      <c r="W227">
        <v>0.97</v>
      </c>
      <c r="X227">
        <v>216</v>
      </c>
      <c r="Y227" s="2">
        <f t="shared" si="93"/>
        <v>0.27185319178105194</v>
      </c>
      <c r="Z227" s="2">
        <f t="shared" si="94"/>
        <v>0.65900626921170335</v>
      </c>
      <c r="AB227" s="2">
        <f t="shared" si="85"/>
        <v>2.6619856742160655E-5</v>
      </c>
      <c r="AD227" s="2">
        <f t="shared" si="86"/>
        <v>1.8446154894111202E-5</v>
      </c>
      <c r="AF227" s="2">
        <f t="shared" si="87"/>
        <v>1.4323256967771833E-5</v>
      </c>
      <c r="AH227" s="2">
        <f t="shared" si="88"/>
        <v>1.058311059901892E-5</v>
      </c>
      <c r="AJ227" s="2">
        <f t="shared" si="95"/>
        <v>1.00936896211597</v>
      </c>
      <c r="AL227" s="2">
        <f t="shared" si="96"/>
        <v>1.0164894569891096</v>
      </c>
      <c r="AN227" s="2">
        <f t="shared" si="97"/>
        <v>1.0216366958534264</v>
      </c>
      <c r="AP227" s="2">
        <f t="shared" si="98"/>
        <v>1.029888627536484</v>
      </c>
    </row>
    <row r="228" spans="4:42" x14ac:dyDescent="0.3">
      <c r="E228" t="s">
        <v>6</v>
      </c>
      <c r="F228">
        <v>19.3</v>
      </c>
      <c r="G228">
        <v>2.11</v>
      </c>
      <c r="H228">
        <v>1.89</v>
      </c>
      <c r="I228">
        <v>13.52</v>
      </c>
      <c r="J228">
        <v>11.79</v>
      </c>
      <c r="K228">
        <v>14400</v>
      </c>
      <c r="L228">
        <f t="shared" si="81"/>
        <v>1.7300000000000004</v>
      </c>
      <c r="M228">
        <f t="shared" si="82"/>
        <v>2</v>
      </c>
      <c r="N228" s="2">
        <f>FiberLength!D64*$C$2*PI()</f>
        <v>3.9364155949480104E-4</v>
      </c>
      <c r="O228" s="2">
        <f t="shared" si="83"/>
        <v>1.1006855165757841</v>
      </c>
      <c r="Q228">
        <v>0.79200000000000004</v>
      </c>
      <c r="S228">
        <v>0.95799999999999996</v>
      </c>
      <c r="U228">
        <v>0.97099999999999997</v>
      </c>
      <c r="W228">
        <v>0.98</v>
      </c>
      <c r="X228">
        <v>216</v>
      </c>
      <c r="Y228" s="2">
        <f t="shared" si="93"/>
        <v>0.27595794907617521</v>
      </c>
      <c r="Z228" s="2">
        <f t="shared" si="94"/>
        <v>0.63843310317517121</v>
      </c>
      <c r="AB228" s="2">
        <f t="shared" si="85"/>
        <v>2.6610362953451512E-5</v>
      </c>
      <c r="AD228" s="2">
        <f t="shared" si="86"/>
        <v>1.8436837736774933E-5</v>
      </c>
      <c r="AF228" s="2">
        <f t="shared" si="87"/>
        <v>1.4314077863916372E-5</v>
      </c>
      <c r="AH228" s="2">
        <f t="shared" si="88"/>
        <v>1.0574116284672008E-5</v>
      </c>
      <c r="AJ228" s="2">
        <f t="shared" si="95"/>
        <v>1.0092056392177029</v>
      </c>
      <c r="AL228" s="2">
        <f t="shared" si="96"/>
        <v>1.0161548267295695</v>
      </c>
      <c r="AN228" s="2">
        <f t="shared" si="97"/>
        <v>1.0211930546685748</v>
      </c>
      <c r="AP228" s="2">
        <f t="shared" si="98"/>
        <v>1.0291800011401171</v>
      </c>
    </row>
    <row r="229" spans="4:42" x14ac:dyDescent="0.3">
      <c r="E229" t="s">
        <v>7</v>
      </c>
      <c r="F229">
        <v>19.3</v>
      </c>
      <c r="G229">
        <v>2.11</v>
      </c>
      <c r="H229">
        <v>1.89</v>
      </c>
      <c r="I229">
        <v>12.61</v>
      </c>
      <c r="J229">
        <v>11.75</v>
      </c>
      <c r="K229">
        <v>14400</v>
      </c>
      <c r="L229">
        <f t="shared" si="81"/>
        <v>0.85999999999999943</v>
      </c>
      <c r="M229">
        <f t="shared" si="82"/>
        <v>2</v>
      </c>
      <c r="N229" s="2">
        <f>FiberLength!D65*$C$2*PI()</f>
        <v>3.9144244463728818E-4</v>
      </c>
      <c r="O229" s="2">
        <f t="shared" si="83"/>
        <v>0.55023552777059181</v>
      </c>
      <c r="Q229">
        <v>0.79200000000000004</v>
      </c>
      <c r="S229">
        <v>0.97899999999999998</v>
      </c>
      <c r="U229">
        <v>0.997</v>
      </c>
      <c r="W229">
        <v>0.999</v>
      </c>
      <c r="X229">
        <v>212</v>
      </c>
      <c r="Y229" s="2">
        <f t="shared" si="93"/>
        <v>0.27611628312026421</v>
      </c>
      <c r="Z229" s="2">
        <f t="shared" si="94"/>
        <v>0.31918366789062153</v>
      </c>
      <c r="AB229" s="2">
        <f t="shared" si="85"/>
        <v>2.6471571488677793E-5</v>
      </c>
      <c r="AD229" s="2">
        <f t="shared" si="86"/>
        <v>1.8300296653516911E-5</v>
      </c>
      <c r="AF229" s="2">
        <f t="shared" si="87"/>
        <v>1.417929827061544E-5</v>
      </c>
      <c r="AH229" s="2">
        <f t="shared" si="88"/>
        <v>1.0441699457090238E-5</v>
      </c>
      <c r="AJ229" s="2">
        <f t="shared" si="95"/>
        <v>1.0045994553685003</v>
      </c>
      <c r="AL229" s="2">
        <f t="shared" si="96"/>
        <v>1.0082454265726175</v>
      </c>
      <c r="AN229" s="2">
        <f t="shared" si="97"/>
        <v>1.0108640901644999</v>
      </c>
      <c r="AP229" s="2">
        <f t="shared" si="98"/>
        <v>1.0148403627354741</v>
      </c>
    </row>
    <row r="230" spans="4:42" x14ac:dyDescent="0.3">
      <c r="D230">
        <v>10</v>
      </c>
      <c r="E230" t="s">
        <v>4</v>
      </c>
      <c r="F230">
        <v>21.3</v>
      </c>
      <c r="G230">
        <v>5.1100000000000003</v>
      </c>
      <c r="H230">
        <v>4.8899999999999997</v>
      </c>
      <c r="I230">
        <v>15.91</v>
      </c>
      <c r="J230">
        <v>11.77</v>
      </c>
      <c r="K230">
        <v>7380</v>
      </c>
      <c r="L230">
        <f t="shared" si="81"/>
        <v>4.1400000000000006</v>
      </c>
      <c r="M230">
        <f t="shared" si="82"/>
        <v>5</v>
      </c>
      <c r="N230" s="2">
        <f>FiberLength!D50*$C$2*PI()</f>
        <v>3.9364155949480104E-4</v>
      </c>
      <c r="O230" s="2">
        <f t="shared" si="83"/>
        <v>5.1395325403905199</v>
      </c>
      <c r="Q230">
        <v>0.88200000000000001</v>
      </c>
      <c r="S230">
        <v>0.97199999999999998</v>
      </c>
      <c r="U230">
        <v>0.97599999999999998</v>
      </c>
      <c r="W230">
        <v>0.98199999999999998</v>
      </c>
      <c r="X230">
        <v>170</v>
      </c>
      <c r="Y230" s="2">
        <f t="shared" si="93"/>
        <v>0.31318234008047297</v>
      </c>
      <c r="Z230" s="2">
        <f t="shared" si="94"/>
        <v>1.09659323518013</v>
      </c>
      <c r="AB230" s="2">
        <f t="shared" si="85"/>
        <v>2.7559482417525735E-5</v>
      </c>
      <c r="AD230" s="2">
        <f t="shared" si="86"/>
        <v>1.935917160036461E-5</v>
      </c>
      <c r="AF230" s="2">
        <f t="shared" si="87"/>
        <v>1.5215830112294637E-5</v>
      </c>
      <c r="AH230" s="2">
        <f t="shared" si="88"/>
        <v>1.1448978603208526E-5</v>
      </c>
      <c r="AJ230" s="2">
        <f t="shared" si="95"/>
        <v>1.0481858812053517</v>
      </c>
      <c r="AL230" s="2">
        <f t="shared" si="96"/>
        <v>1.0773873883364005</v>
      </c>
      <c r="AN230" s="2">
        <f t="shared" si="97"/>
        <v>1.1010564234633204</v>
      </c>
      <c r="AP230" s="2">
        <f t="shared" si="98"/>
        <v>1.13989661758559</v>
      </c>
    </row>
    <row r="231" spans="4:42" x14ac:dyDescent="0.3">
      <c r="E231" t="s">
        <v>5</v>
      </c>
      <c r="F231">
        <v>21.3</v>
      </c>
      <c r="G231">
        <v>5.1100000000000003</v>
      </c>
      <c r="H231">
        <v>4.8899999999999997</v>
      </c>
      <c r="I231">
        <v>15.39</v>
      </c>
      <c r="J231">
        <v>11.7</v>
      </c>
      <c r="K231">
        <v>7380</v>
      </c>
      <c r="L231">
        <f t="shared" si="81"/>
        <v>3.6900000000000013</v>
      </c>
      <c r="M231">
        <f t="shared" si="82"/>
        <v>5</v>
      </c>
      <c r="N231" s="2">
        <f>FiberLength!D51*$C$2*PI()</f>
        <v>3.9144244463728818E-4</v>
      </c>
      <c r="O231" s="2">
        <f t="shared" si="83"/>
        <v>4.6066230231956569</v>
      </c>
      <c r="Q231">
        <v>0.89100000000000001</v>
      </c>
      <c r="S231">
        <v>0.97399999999999998</v>
      </c>
      <c r="U231">
        <v>0.97599999999999998</v>
      </c>
      <c r="W231">
        <v>0.98499999999999999</v>
      </c>
      <c r="X231">
        <v>161</v>
      </c>
      <c r="Y231" s="2">
        <f t="shared" si="93"/>
        <v>0.31347246882442181</v>
      </c>
      <c r="Z231" s="2">
        <f t="shared" si="94"/>
        <v>0.98295016780582578</v>
      </c>
      <c r="AB231" s="2">
        <f t="shared" si="85"/>
        <v>2.7439090223298426E-5</v>
      </c>
      <c r="AD231" s="2">
        <f t="shared" si="86"/>
        <v>1.9242968741222968E-5</v>
      </c>
      <c r="AF231" s="2">
        <f t="shared" si="87"/>
        <v>1.5102797887548041E-5</v>
      </c>
      <c r="AH231" s="2">
        <f t="shared" si="88"/>
        <v>1.1339998233249283E-5</v>
      </c>
      <c r="AJ231" s="2">
        <f t="shared" si="95"/>
        <v>1.0435841811714464</v>
      </c>
      <c r="AL231" s="2">
        <f t="shared" si="96"/>
        <v>1.0693827913837479</v>
      </c>
      <c r="AN231" s="2">
        <f t="shared" si="97"/>
        <v>1.0903487223530524</v>
      </c>
      <c r="AP231" s="2">
        <f t="shared" si="98"/>
        <v>1.1252858393806282</v>
      </c>
    </row>
    <row r="232" spans="4:42" x14ac:dyDescent="0.3">
      <c r="E232" t="s">
        <v>6</v>
      </c>
      <c r="F232">
        <v>21.3</v>
      </c>
      <c r="G232">
        <v>5.1100000000000003</v>
      </c>
      <c r="H232">
        <v>4.8899999999999997</v>
      </c>
      <c r="I232">
        <v>16.02</v>
      </c>
      <c r="J232">
        <v>11.81</v>
      </c>
      <c r="K232">
        <v>7380</v>
      </c>
      <c r="L232">
        <f t="shared" si="81"/>
        <v>4.2099999999999991</v>
      </c>
      <c r="M232">
        <f t="shared" si="82"/>
        <v>5</v>
      </c>
      <c r="N232" s="2">
        <f>FiberLength!D52*$C$2*PI()</f>
        <v>3.9364155949480104E-4</v>
      </c>
      <c r="O232" s="2">
        <f t="shared" si="83"/>
        <v>5.2264328490444649</v>
      </c>
      <c r="Q232">
        <v>0.88600000000000001</v>
      </c>
      <c r="S232">
        <v>0.97499999999999998</v>
      </c>
      <c r="U232">
        <v>0.97799999999999998</v>
      </c>
      <c r="W232">
        <v>0.98799999999999999</v>
      </c>
      <c r="X232">
        <v>166</v>
      </c>
      <c r="Y232" s="2">
        <f t="shared" si="93"/>
        <v>0.31479359354229997</v>
      </c>
      <c r="Z232" s="2">
        <f t="shared" si="94"/>
        <v>1.1155181641177607</v>
      </c>
      <c r="AB232" s="2">
        <f t="shared" si="85"/>
        <v>2.7579005944353741E-5</v>
      </c>
      <c r="AD232" s="2">
        <f t="shared" si="86"/>
        <v>1.9377999056160697E-5</v>
      </c>
      <c r="AF232" s="2">
        <f t="shared" si="87"/>
        <v>1.5234132560674702E-5</v>
      </c>
      <c r="AH232" s="2">
        <f t="shared" si="88"/>
        <v>1.1466613504846206E-5</v>
      </c>
      <c r="AJ232" s="2">
        <f t="shared" si="95"/>
        <v>1.0492315387093447</v>
      </c>
      <c r="AL232" s="2">
        <f t="shared" si="96"/>
        <v>1.0789621487136902</v>
      </c>
      <c r="AN232" s="2">
        <f t="shared" si="97"/>
        <v>1.1030192991725034</v>
      </c>
      <c r="AP232" s="2">
        <f t="shared" si="98"/>
        <v>1.1432241931525744</v>
      </c>
    </row>
    <row r="233" spans="4:42" x14ac:dyDescent="0.3">
      <c r="E233" t="s">
        <v>7</v>
      </c>
      <c r="F233">
        <v>21.3</v>
      </c>
      <c r="G233">
        <v>5.1100000000000003</v>
      </c>
      <c r="H233">
        <v>4.8899999999999997</v>
      </c>
      <c r="I233">
        <v>16.29</v>
      </c>
      <c r="J233">
        <v>12.26</v>
      </c>
      <c r="K233">
        <v>7380</v>
      </c>
      <c r="L233">
        <f t="shared" si="81"/>
        <v>4.0299999999999994</v>
      </c>
      <c r="M233">
        <f t="shared" si="82"/>
        <v>5</v>
      </c>
      <c r="N233" s="2">
        <f>FiberLength!D53*$C$2*PI()</f>
        <v>3.7165041091967254E-4</v>
      </c>
      <c r="O233" s="2">
        <f t="shared" si="83"/>
        <v>5.2990089309972106</v>
      </c>
      <c r="Q233">
        <v>0.88400000000000001</v>
      </c>
      <c r="S233">
        <v>0.97199999999999998</v>
      </c>
      <c r="U233">
        <v>0.97499999999999998</v>
      </c>
      <c r="W233">
        <v>0.98199999999999998</v>
      </c>
      <c r="X233">
        <v>171</v>
      </c>
      <c r="Y233" s="2">
        <f t="shared" si="93"/>
        <v>0.31425266692532638</v>
      </c>
      <c r="Z233" s="2">
        <f t="shared" si="94"/>
        <v>1.1308780765010071</v>
      </c>
      <c r="AB233" s="2">
        <f t="shared" si="85"/>
        <v>2.759528869245859E-5</v>
      </c>
      <c r="AD233" s="2">
        <f t="shared" si="86"/>
        <v>1.9393697839425862E-5</v>
      </c>
      <c r="AF233" s="2">
        <f t="shared" si="87"/>
        <v>1.5249391291390292E-5</v>
      </c>
      <c r="AH233" s="2">
        <f t="shared" si="88"/>
        <v>1.1481313457202163E-5</v>
      </c>
      <c r="AJ233" s="2">
        <f t="shared" si="95"/>
        <v>1.049809901563955</v>
      </c>
      <c r="AL233" s="2">
        <f t="shared" si="96"/>
        <v>1.0798321781294098</v>
      </c>
      <c r="AN233" s="2">
        <f t="shared" si="97"/>
        <v>1.1041665067924309</v>
      </c>
      <c r="AP233" s="2">
        <f t="shared" si="98"/>
        <v>1.1444099260439418</v>
      </c>
    </row>
    <row r="234" spans="4:42" x14ac:dyDescent="0.3">
      <c r="D234">
        <v>11</v>
      </c>
      <c r="E234" t="s">
        <v>4</v>
      </c>
      <c r="F234">
        <v>21.3</v>
      </c>
      <c r="G234">
        <v>5.1100000000000003</v>
      </c>
      <c r="H234">
        <v>4.8899999999999997</v>
      </c>
      <c r="I234">
        <v>15.43</v>
      </c>
      <c r="J234">
        <v>11.78</v>
      </c>
      <c r="K234">
        <v>7380</v>
      </c>
      <c r="L234">
        <f t="shared" si="81"/>
        <v>3.6500000000000004</v>
      </c>
      <c r="M234">
        <f t="shared" si="82"/>
        <v>5</v>
      </c>
      <c r="N234" s="2">
        <f>FiberLength!D54*$C$2*PI()</f>
        <v>3.9364155949480104E-4</v>
      </c>
      <c r="O234" s="2">
        <f t="shared" si="83"/>
        <v>4.5312303798128992</v>
      </c>
      <c r="Q234">
        <v>0.86799999999999999</v>
      </c>
      <c r="S234">
        <v>0.94199999999999995</v>
      </c>
      <c r="U234">
        <v>0.94199999999999995</v>
      </c>
      <c r="W234">
        <v>0.95499999999999996</v>
      </c>
      <c r="X234">
        <v>188</v>
      </c>
      <c r="Y234" s="2">
        <f t="shared" si="93"/>
        <v>0.30437535705860314</v>
      </c>
      <c r="Z234" s="2">
        <f t="shared" si="94"/>
        <v>0.96498990536315121</v>
      </c>
      <c r="AB234" s="2">
        <f t="shared" si="85"/>
        <v>2.7421962480739108E-5</v>
      </c>
      <c r="AD234" s="2">
        <f t="shared" si="86"/>
        <v>1.9226422059586924E-5</v>
      </c>
      <c r="AF234" s="2">
        <f t="shared" si="87"/>
        <v>1.5086692431824803E-5</v>
      </c>
      <c r="AH234" s="2">
        <f t="shared" si="88"/>
        <v>1.1324459374321413E-5</v>
      </c>
      <c r="AJ234" s="2">
        <f t="shared" si="95"/>
        <v>1.0417581313811211</v>
      </c>
      <c r="AL234" s="2">
        <f t="shared" si="96"/>
        <v>1.0659889051428855</v>
      </c>
      <c r="AN234" s="2">
        <f t="shared" si="97"/>
        <v>1.0857441758571913</v>
      </c>
      <c r="AP234" s="2">
        <f t="shared" si="98"/>
        <v>1.1194178907131589</v>
      </c>
    </row>
    <row r="235" spans="4:42" x14ac:dyDescent="0.3">
      <c r="E235" t="s">
        <v>5</v>
      </c>
      <c r="F235">
        <v>21.3</v>
      </c>
      <c r="G235">
        <v>5.1100000000000003</v>
      </c>
      <c r="H235">
        <v>4.8899999999999997</v>
      </c>
      <c r="I235">
        <v>15.23</v>
      </c>
      <c r="J235">
        <v>11.79</v>
      </c>
      <c r="K235">
        <v>7380</v>
      </c>
      <c r="L235">
        <f t="shared" si="81"/>
        <v>3.4400000000000013</v>
      </c>
      <c r="M235">
        <f t="shared" si="82"/>
        <v>5</v>
      </c>
      <c r="N235" s="2">
        <f>FiberLength!D55*$C$2*PI()</f>
        <v>3.9364155949480104E-4</v>
      </c>
      <c r="O235" s="2">
        <f t="shared" si="83"/>
        <v>4.2705294538510623</v>
      </c>
      <c r="Q235">
        <v>0.88300000000000001</v>
      </c>
      <c r="S235">
        <v>0.95899999999999996</v>
      </c>
      <c r="U235">
        <v>0.95899999999999996</v>
      </c>
      <c r="W235">
        <v>0.97499999999999998</v>
      </c>
      <c r="X235">
        <v>175</v>
      </c>
      <c r="Y235" s="2">
        <f t="shared" si="93"/>
        <v>0.30874471862987302</v>
      </c>
      <c r="Z235" s="2">
        <f t="shared" si="94"/>
        <v>0.91031700423768291</v>
      </c>
      <c r="AB235" s="2">
        <f t="shared" si="85"/>
        <v>2.7362546263128359E-5</v>
      </c>
      <c r="AD235" s="2">
        <f t="shared" si="86"/>
        <v>1.9168991336549806E-5</v>
      </c>
      <c r="AF235" s="2">
        <f t="shared" si="87"/>
        <v>1.5030772041926617E-5</v>
      </c>
      <c r="AH235" s="2">
        <f t="shared" si="88"/>
        <v>1.1270483459977554E-5</v>
      </c>
      <c r="AJ235" s="2">
        <f t="shared" si="95"/>
        <v>1.0400158330743352</v>
      </c>
      <c r="AL235" s="2">
        <f t="shared" si="96"/>
        <v>1.0632618849636393</v>
      </c>
      <c r="AN235" s="2">
        <f t="shared" si="97"/>
        <v>1.082171292373129</v>
      </c>
      <c r="AP235" s="2">
        <f t="shared" si="98"/>
        <v>1.1146941579704226</v>
      </c>
    </row>
    <row r="236" spans="4:42" x14ac:dyDescent="0.3">
      <c r="E236" t="s">
        <v>6</v>
      </c>
      <c r="F236">
        <v>21.3</v>
      </c>
      <c r="G236">
        <v>5.1100000000000003</v>
      </c>
      <c r="H236">
        <v>4.8899999999999997</v>
      </c>
      <c r="I236">
        <v>15.11</v>
      </c>
      <c r="J236">
        <v>11.8</v>
      </c>
      <c r="K236">
        <v>7380</v>
      </c>
      <c r="L236">
        <f t="shared" si="81"/>
        <v>3.3099999999999987</v>
      </c>
      <c r="M236">
        <f t="shared" si="82"/>
        <v>5</v>
      </c>
      <c r="N236" s="2">
        <f>FiberLength!D56*$C$2*PI()</f>
        <v>3.9364155949480104E-4</v>
      </c>
      <c r="O236" s="2">
        <f t="shared" si="83"/>
        <v>4.1091431663508731</v>
      </c>
      <c r="Q236">
        <v>0.878</v>
      </c>
      <c r="S236">
        <v>0.95399999999999996</v>
      </c>
      <c r="U236">
        <v>0.95499999999999996</v>
      </c>
      <c r="W236">
        <v>0.96699999999999997</v>
      </c>
      <c r="X236">
        <v>182</v>
      </c>
      <c r="Y236" s="2">
        <f t="shared" si="93"/>
        <v>0.30643189994810616</v>
      </c>
      <c r="Z236" s="2">
        <f t="shared" si="94"/>
        <v>0.8754838704280099</v>
      </c>
      <c r="AB236" s="2">
        <f t="shared" si="85"/>
        <v>2.7325613303032664E-5</v>
      </c>
      <c r="AD236" s="2">
        <f t="shared" si="86"/>
        <v>1.9133268271538889E-5</v>
      </c>
      <c r="AF236" s="2">
        <f t="shared" si="87"/>
        <v>1.4995971329735075E-5</v>
      </c>
      <c r="AH236" s="2">
        <f t="shared" si="88"/>
        <v>1.1236873999128047E-5</v>
      </c>
      <c r="AJ236" s="2">
        <f t="shared" si="95"/>
        <v>1.0382740335315641</v>
      </c>
      <c r="AL236" s="2">
        <f t="shared" si="96"/>
        <v>1.0605231572997345</v>
      </c>
      <c r="AN236" s="2">
        <f t="shared" si="97"/>
        <v>1.0786792024474858</v>
      </c>
      <c r="AP236" s="2">
        <f t="shared" si="98"/>
        <v>1.1093326222130211</v>
      </c>
    </row>
    <row r="237" spans="4:42" x14ac:dyDescent="0.3">
      <c r="E237" t="s">
        <v>7</v>
      </c>
      <c r="F237">
        <v>21.3</v>
      </c>
      <c r="G237">
        <v>5.1100000000000003</v>
      </c>
      <c r="H237">
        <v>4.8899999999999997</v>
      </c>
      <c r="I237">
        <v>14.85</v>
      </c>
      <c r="J237">
        <v>11.81</v>
      </c>
      <c r="K237">
        <v>7380</v>
      </c>
      <c r="L237">
        <f t="shared" si="81"/>
        <v>3.0399999999999991</v>
      </c>
      <c r="M237">
        <f t="shared" si="82"/>
        <v>5</v>
      </c>
      <c r="N237" s="2">
        <f>FiberLength!D57*$C$2*PI()</f>
        <v>3.9364155949480104E-4</v>
      </c>
      <c r="O237" s="2">
        <f t="shared" si="83"/>
        <v>3.7739562615427964</v>
      </c>
      <c r="Q237">
        <v>0.88800000000000001</v>
      </c>
      <c r="S237">
        <v>0.97</v>
      </c>
      <c r="U237">
        <v>0.97</v>
      </c>
      <c r="W237">
        <v>0.98399999999999999</v>
      </c>
      <c r="X237">
        <v>168</v>
      </c>
      <c r="Y237" s="2">
        <f t="shared" si="93"/>
        <v>0.30914008769778967</v>
      </c>
      <c r="Z237" s="2">
        <f t="shared" si="94"/>
        <v>0.80453399421399263</v>
      </c>
      <c r="AB237" s="2">
        <f t="shared" si="85"/>
        <v>2.7248521181712483E-5</v>
      </c>
      <c r="AD237" s="2">
        <f t="shared" si="86"/>
        <v>1.9058639080565455E-5</v>
      </c>
      <c r="AF237" s="2">
        <f t="shared" si="87"/>
        <v>1.4923224388636535E-5</v>
      </c>
      <c r="AH237" s="2">
        <f t="shared" si="88"/>
        <v>1.1166566812635108E-5</v>
      </c>
      <c r="AJ237" s="2">
        <f t="shared" si="95"/>
        <v>1.035530614699635</v>
      </c>
      <c r="AL237" s="2">
        <f t="shared" si="96"/>
        <v>1.0564604997022013</v>
      </c>
      <c r="AN237" s="2">
        <f t="shared" si="97"/>
        <v>1.0732885507908823</v>
      </c>
      <c r="AP237" s="2">
        <f t="shared" si="98"/>
        <v>1.1019492985896777</v>
      </c>
    </row>
    <row r="238" spans="4:42" x14ac:dyDescent="0.3">
      <c r="D238">
        <v>12</v>
      </c>
      <c r="E238" t="s">
        <v>4</v>
      </c>
      <c r="F238">
        <v>21.3</v>
      </c>
      <c r="G238">
        <v>5.1100000000000003</v>
      </c>
      <c r="H238">
        <v>4.8899999999999997</v>
      </c>
      <c r="I238">
        <v>15</v>
      </c>
      <c r="J238">
        <v>11.79</v>
      </c>
      <c r="K238">
        <v>7380</v>
      </c>
      <c r="L238">
        <f t="shared" si="81"/>
        <v>3.2100000000000009</v>
      </c>
      <c r="M238">
        <f t="shared" si="82"/>
        <v>5</v>
      </c>
      <c r="N238" s="2">
        <f>FiberLength!D58*$C$2*PI()</f>
        <v>3.9584067435231396E-4</v>
      </c>
      <c r="O238" s="2">
        <f t="shared" si="83"/>
        <v>3.9628609801167327</v>
      </c>
      <c r="Q238">
        <v>0.872</v>
      </c>
      <c r="S238">
        <v>0.94</v>
      </c>
      <c r="U238">
        <v>0.94099999999999995</v>
      </c>
      <c r="W238">
        <v>0.95</v>
      </c>
      <c r="X238">
        <v>188</v>
      </c>
      <c r="Y238" s="2">
        <f t="shared" si="93"/>
        <v>0.30301728300353681</v>
      </c>
      <c r="Z238" s="2">
        <f t="shared" si="94"/>
        <v>0.84370354733832775</v>
      </c>
      <c r="AB238" s="2">
        <f t="shared" si="85"/>
        <v>2.7292033799720457E-5</v>
      </c>
      <c r="AD238" s="2">
        <f t="shared" si="86"/>
        <v>1.9100772137985335E-5</v>
      </c>
      <c r="AF238" s="2">
        <f t="shared" si="87"/>
        <v>1.496430237486845E-5</v>
      </c>
      <c r="AH238" s="2">
        <f t="shared" si="88"/>
        <v>1.1206275783996445E-5</v>
      </c>
      <c r="AJ238" s="2">
        <f t="shared" si="95"/>
        <v>1.0366493921848801</v>
      </c>
      <c r="AL238" s="2">
        <f t="shared" si="96"/>
        <v>1.0574860184254169</v>
      </c>
      <c r="AN238" s="2">
        <f t="shared" si="97"/>
        <v>1.0747175861949665</v>
      </c>
      <c r="AP238" s="2">
        <f t="shared" si="98"/>
        <v>1.1034839384587376</v>
      </c>
    </row>
    <row r="239" spans="4:42" x14ac:dyDescent="0.3">
      <c r="E239" t="s">
        <v>5</v>
      </c>
      <c r="F239">
        <v>21.3</v>
      </c>
      <c r="G239">
        <v>5.1100000000000003</v>
      </c>
      <c r="H239">
        <v>4.8899999999999997</v>
      </c>
      <c r="I239">
        <v>15.07</v>
      </c>
      <c r="J239">
        <v>12.34</v>
      </c>
      <c r="K239">
        <v>7380</v>
      </c>
      <c r="L239">
        <f t="shared" si="81"/>
        <v>2.7300000000000004</v>
      </c>
      <c r="M239">
        <f t="shared" si="82"/>
        <v>5</v>
      </c>
      <c r="N239" s="2">
        <f>FiberLength!D59*$C$2*PI()</f>
        <v>3.9364155949480104E-4</v>
      </c>
      <c r="O239" s="2">
        <f t="shared" si="83"/>
        <v>3.3891120375038941</v>
      </c>
      <c r="Q239">
        <v>0.88600000000000001</v>
      </c>
      <c r="S239">
        <v>0.96099999999999997</v>
      </c>
      <c r="U239">
        <v>0.96299999999999997</v>
      </c>
      <c r="W239">
        <v>0.97899999999999998</v>
      </c>
      <c r="X239">
        <v>176</v>
      </c>
      <c r="Y239" s="2">
        <f t="shared" si="93"/>
        <v>0.30639673505346798</v>
      </c>
      <c r="Z239" s="2">
        <f t="shared" si="94"/>
        <v>0.72207041076841039</v>
      </c>
      <c r="AB239" s="2">
        <f t="shared" si="85"/>
        <v>2.715933416501577E-5</v>
      </c>
      <c r="AD239" s="2">
        <f t="shared" si="86"/>
        <v>1.8972190438408181E-5</v>
      </c>
      <c r="AF239" s="2">
        <f t="shared" si="87"/>
        <v>1.4838875769154342E-5</v>
      </c>
      <c r="AH239" s="2">
        <f t="shared" si="88"/>
        <v>1.1084953916241031E-5</v>
      </c>
      <c r="AJ239" s="2">
        <f t="shared" si="95"/>
        <v>1.0318140537157814</v>
      </c>
      <c r="AL239" s="2">
        <f t="shared" si="96"/>
        <v>1.0501755947492415</v>
      </c>
      <c r="AN239" s="2">
        <f t="shared" si="97"/>
        <v>1.0652340605194852</v>
      </c>
      <c r="AP239" s="2">
        <f t="shared" si="98"/>
        <v>1.0908608576415233</v>
      </c>
    </row>
    <row r="240" spans="4:42" x14ac:dyDescent="0.3">
      <c r="E240" t="s">
        <v>6</v>
      </c>
      <c r="F240">
        <v>21.3</v>
      </c>
      <c r="G240">
        <v>5.1100000000000003</v>
      </c>
      <c r="H240">
        <v>4.8899999999999997</v>
      </c>
      <c r="I240">
        <v>14.66</v>
      </c>
      <c r="J240">
        <v>11.77</v>
      </c>
      <c r="K240">
        <v>7380</v>
      </c>
      <c r="L240">
        <f t="shared" si="81"/>
        <v>2.8900000000000006</v>
      </c>
      <c r="M240">
        <f t="shared" si="82"/>
        <v>5</v>
      </c>
      <c r="N240" s="2">
        <f>FiberLength!D60*$C$2*PI()</f>
        <v>3.9144244463728818E-4</v>
      </c>
      <c r="O240" s="2">
        <f t="shared" si="83"/>
        <v>3.6078971645082509</v>
      </c>
      <c r="Q240">
        <v>0.89500000000000002</v>
      </c>
      <c r="S240">
        <v>0.96899999999999997</v>
      </c>
      <c r="U240">
        <v>0.97099999999999997</v>
      </c>
      <c r="W240">
        <v>0.98299999999999998</v>
      </c>
      <c r="X240">
        <v>166</v>
      </c>
      <c r="Y240" s="2">
        <f t="shared" si="93"/>
        <v>0.31013213139783924</v>
      </c>
      <c r="Z240" s="2">
        <f t="shared" si="94"/>
        <v>0.76929612210665621</v>
      </c>
      <c r="AB240" s="2">
        <f t="shared" si="85"/>
        <v>2.7210128200101704E-5</v>
      </c>
      <c r="AD240" s="2">
        <f t="shared" si="86"/>
        <v>1.9021439923377959E-5</v>
      </c>
      <c r="AF240" s="2">
        <f t="shared" si="87"/>
        <v>1.4886939822822294E-5</v>
      </c>
      <c r="AH240" s="2">
        <f t="shared" si="88"/>
        <v>1.1131471933633048E-5</v>
      </c>
      <c r="AJ240" s="2">
        <f t="shared" si="95"/>
        <v>1.0342248764915563</v>
      </c>
      <c r="AL240" s="2">
        <f t="shared" si="96"/>
        <v>1.0538937999448106</v>
      </c>
      <c r="AN240" s="2">
        <f t="shared" si="97"/>
        <v>1.0700862679897123</v>
      </c>
      <c r="AP240" s="2">
        <f t="shared" si="98"/>
        <v>1.0972582979476491</v>
      </c>
    </row>
    <row r="241" spans="4:42" x14ac:dyDescent="0.3">
      <c r="E241" t="s">
        <v>7</v>
      </c>
      <c r="F241">
        <v>21.3</v>
      </c>
      <c r="G241">
        <v>5.1100000000000003</v>
      </c>
      <c r="H241">
        <v>4.8899999999999997</v>
      </c>
      <c r="I241">
        <v>14.7</v>
      </c>
      <c r="J241">
        <v>11.8</v>
      </c>
      <c r="K241">
        <v>7380</v>
      </c>
      <c r="L241">
        <f t="shared" si="81"/>
        <v>2.8999999999999986</v>
      </c>
      <c r="M241">
        <f t="shared" si="82"/>
        <v>5</v>
      </c>
      <c r="N241" s="2">
        <f>FiberLength!D61*$C$2*PI()</f>
        <v>3.9144244463728818E-4</v>
      </c>
      <c r="O241" s="2">
        <f t="shared" si="83"/>
        <v>3.6203812377418418</v>
      </c>
      <c r="Q241">
        <v>0.89100000000000001</v>
      </c>
      <c r="S241">
        <v>0.96499999999999997</v>
      </c>
      <c r="U241">
        <v>0.96399999999999997</v>
      </c>
      <c r="W241">
        <v>0.98099999999999998</v>
      </c>
      <c r="X241">
        <v>173</v>
      </c>
      <c r="Y241" s="2">
        <f t="shared" si="93"/>
        <v>0.30876665516379753</v>
      </c>
      <c r="Z241" s="2">
        <f t="shared" si="94"/>
        <v>0.77173335274974464</v>
      </c>
      <c r="AB241" s="2">
        <f t="shared" si="85"/>
        <v>2.7213019259443322E-5</v>
      </c>
      <c r="AD241" s="2">
        <f t="shared" si="86"/>
        <v>1.9024241865209738E-5</v>
      </c>
      <c r="AF241" s="2">
        <f t="shared" si="87"/>
        <v>1.4889673441432954E-5</v>
      </c>
      <c r="AH241" s="2">
        <f t="shared" si="88"/>
        <v>1.1134116584147554E-5</v>
      </c>
      <c r="AJ241" s="2">
        <f t="shared" si="95"/>
        <v>1.0341905644599829</v>
      </c>
      <c r="AL241" s="2">
        <f t="shared" si="96"/>
        <v>1.0538590322827013</v>
      </c>
      <c r="AN241" s="2">
        <f t="shared" si="97"/>
        <v>1.0698254685672404</v>
      </c>
      <c r="AP241" s="2">
        <f t="shared" si="98"/>
        <v>1.0974041820493012</v>
      </c>
    </row>
    <row r="242" spans="4:42" x14ac:dyDescent="0.3">
      <c r="D242">
        <v>14</v>
      </c>
      <c r="E242" t="s">
        <v>4</v>
      </c>
      <c r="F242">
        <v>21.3</v>
      </c>
      <c r="G242">
        <v>5.1100000000000003</v>
      </c>
      <c r="H242">
        <v>4.8899999999999997</v>
      </c>
      <c r="I242">
        <v>14.32</v>
      </c>
      <c r="J242">
        <v>11.79</v>
      </c>
      <c r="K242">
        <v>7380</v>
      </c>
      <c r="L242">
        <f t="shared" si="81"/>
        <v>2.5300000000000011</v>
      </c>
      <c r="M242">
        <f t="shared" si="82"/>
        <v>5</v>
      </c>
      <c r="N242" s="2">
        <f>FiberLength!D62*$C$2*PI()</f>
        <v>3.9144244463728818E-4</v>
      </c>
      <c r="O242" s="2">
        <f t="shared" si="83"/>
        <v>3.1584705280989196</v>
      </c>
      <c r="Q242">
        <v>0.86899999999999999</v>
      </c>
      <c r="S242">
        <v>0.94499999999999995</v>
      </c>
      <c r="U242">
        <v>0.94799999999999995</v>
      </c>
      <c r="W242">
        <v>0.96499999999999997</v>
      </c>
      <c r="X242">
        <v>191</v>
      </c>
      <c r="Y242" s="2">
        <f t="shared" si="93"/>
        <v>0.29995145082294317</v>
      </c>
      <c r="Z242" s="2">
        <f t="shared" si="94"/>
        <v>0.6720080643958336</v>
      </c>
      <c r="AB242" s="2">
        <f t="shared" si="85"/>
        <v>2.710551798536928E-5</v>
      </c>
      <c r="AD242" s="2">
        <f t="shared" si="86"/>
        <v>1.8919965726872643E-5</v>
      </c>
      <c r="AF242" s="2">
        <f t="shared" si="87"/>
        <v>1.4787875018650665E-5</v>
      </c>
      <c r="AH242" s="2">
        <f t="shared" si="88"/>
        <v>1.1035554201014807E-5</v>
      </c>
      <c r="AJ242" s="2">
        <f t="shared" si="95"/>
        <v>1.0290687392578128</v>
      </c>
      <c r="AL242" s="2">
        <f t="shared" si="96"/>
        <v>1.0459522422115963</v>
      </c>
      <c r="AN242" s="2">
        <f t="shared" si="97"/>
        <v>1.059791470569422</v>
      </c>
      <c r="AP242" s="2">
        <f t="shared" si="98"/>
        <v>1.0833460126519112</v>
      </c>
    </row>
    <row r="243" spans="4:42" x14ac:dyDescent="0.3">
      <c r="E243" t="s">
        <v>5</v>
      </c>
      <c r="F243">
        <v>21.3</v>
      </c>
      <c r="G243">
        <v>5.1100000000000003</v>
      </c>
      <c r="H243">
        <v>4.8899999999999997</v>
      </c>
      <c r="I243">
        <v>14.6</v>
      </c>
      <c r="J243">
        <v>11.71</v>
      </c>
      <c r="K243">
        <v>7380</v>
      </c>
      <c r="L243">
        <f t="shared" si="81"/>
        <v>2.8899999999999988</v>
      </c>
      <c r="M243">
        <f t="shared" si="82"/>
        <v>5</v>
      </c>
      <c r="N243" s="2">
        <f>FiberLength!D63*$C$2*PI()</f>
        <v>3.9584067435231396E-4</v>
      </c>
      <c r="O243" s="2">
        <f t="shared" si="83"/>
        <v>3.5678094182359343</v>
      </c>
      <c r="Q243">
        <v>0.872</v>
      </c>
      <c r="S243">
        <v>0.94399999999999995</v>
      </c>
      <c r="U243">
        <v>0.94799999999999995</v>
      </c>
      <c r="W243">
        <v>0.96199999999999997</v>
      </c>
      <c r="X243">
        <v>188</v>
      </c>
      <c r="Y243" s="2">
        <f t="shared" si="93"/>
        <v>0.30209577060174753</v>
      </c>
      <c r="Z243" s="2">
        <f t="shared" si="94"/>
        <v>0.75944703085037768</v>
      </c>
      <c r="AB243" s="2">
        <f t="shared" si="85"/>
        <v>2.7200839421225353E-5</v>
      </c>
      <c r="AD243" s="2">
        <f t="shared" si="86"/>
        <v>1.9012436603350821E-5</v>
      </c>
      <c r="AF243" s="2">
        <f t="shared" si="87"/>
        <v>1.4878155408249021E-5</v>
      </c>
      <c r="AH243" s="2">
        <f t="shared" si="88"/>
        <v>1.1122972672239921E-5</v>
      </c>
      <c r="AJ243" s="2">
        <f t="shared" si="95"/>
        <v>1.0329725272227213</v>
      </c>
      <c r="AL243" s="2">
        <f t="shared" si="96"/>
        <v>1.0519138376492752</v>
      </c>
      <c r="AN243" s="2">
        <f t="shared" si="97"/>
        <v>1.0676543939169381</v>
      </c>
      <c r="AP243" s="2">
        <f t="shared" si="98"/>
        <v>1.094098500452072</v>
      </c>
    </row>
    <row r="244" spans="4:42" x14ac:dyDescent="0.3">
      <c r="E244" t="s">
        <v>6</v>
      </c>
      <c r="N244" s="2"/>
      <c r="O244" s="2"/>
      <c r="Y244" s="2"/>
      <c r="Z244" s="2"/>
      <c r="AB244" s="2"/>
      <c r="AD244" s="2"/>
      <c r="AF244" s="2"/>
      <c r="AH244" s="2"/>
      <c r="AJ244" s="2"/>
      <c r="AL244" s="2"/>
      <c r="AN244" s="2"/>
      <c r="AP244" s="2"/>
    </row>
    <row r="245" spans="4:42" x14ac:dyDescent="0.3">
      <c r="E245" t="s">
        <v>7</v>
      </c>
      <c r="F245">
        <v>21.3</v>
      </c>
      <c r="G245">
        <v>5.1100000000000003</v>
      </c>
      <c r="H245">
        <v>4.8899999999999997</v>
      </c>
      <c r="I245">
        <v>14.29</v>
      </c>
      <c r="J245">
        <v>11.7</v>
      </c>
      <c r="K245">
        <v>7380</v>
      </c>
      <c r="L245">
        <f t="shared" si="81"/>
        <v>2.59</v>
      </c>
      <c r="M245">
        <f t="shared" si="82"/>
        <v>5</v>
      </c>
      <c r="N245" s="2">
        <f>FiberLength!D65*$C$2*PI()</f>
        <v>3.9144244463728818E-4</v>
      </c>
      <c r="O245" s="2">
        <f t="shared" si="83"/>
        <v>3.2333749675004735</v>
      </c>
      <c r="Q245">
        <v>0.86799999999999999</v>
      </c>
      <c r="S245">
        <v>0.94499999999999995</v>
      </c>
      <c r="U245">
        <v>0.94599999999999995</v>
      </c>
      <c r="W245">
        <v>0.96399999999999997</v>
      </c>
      <c r="X245">
        <v>192</v>
      </c>
      <c r="Y245" s="2">
        <f t="shared" si="93"/>
        <v>0.29993067749710978</v>
      </c>
      <c r="Z245" s="2">
        <f t="shared" si="94"/>
        <v>0.68794197396616918</v>
      </c>
      <c r="AB245" s="2">
        <f t="shared" si="85"/>
        <v>2.7123026694846367E-5</v>
      </c>
      <c r="AD245" s="2">
        <f t="shared" si="86"/>
        <v>1.893696185954882E-5</v>
      </c>
      <c r="AF245" s="2">
        <f t="shared" si="87"/>
        <v>1.4804476662131755E-5</v>
      </c>
      <c r="AH245" s="2">
        <f t="shared" si="88"/>
        <v>1.1051639298204955E-5</v>
      </c>
      <c r="AJ245" s="2">
        <f t="shared" si="95"/>
        <v>1.0297276105003064</v>
      </c>
      <c r="AL245" s="2">
        <f t="shared" si="96"/>
        <v>1.0470519562265066</v>
      </c>
      <c r="AN245" s="2">
        <f t="shared" si="97"/>
        <v>1.0610987863862118</v>
      </c>
      <c r="AP245" s="2">
        <f t="shared" si="98"/>
        <v>1.0852738173421645</v>
      </c>
    </row>
    <row r="246" spans="4:42" x14ac:dyDescent="0.3">
      <c r="D246">
        <v>10</v>
      </c>
      <c r="E246" t="s">
        <v>4</v>
      </c>
      <c r="F246">
        <v>20.100000000000001</v>
      </c>
      <c r="G246">
        <v>3.57</v>
      </c>
      <c r="H246">
        <v>3.43</v>
      </c>
      <c r="I246">
        <v>14.5</v>
      </c>
      <c r="J246">
        <v>11.8</v>
      </c>
      <c r="K246">
        <v>7800</v>
      </c>
      <c r="L246">
        <f t="shared" si="81"/>
        <v>2.6999999999999993</v>
      </c>
      <c r="M246">
        <f t="shared" si="82"/>
        <v>3.5</v>
      </c>
      <c r="N246" s="2">
        <f>FiberLength!D50*$C$2*PI()</f>
        <v>3.9364155949480104E-4</v>
      </c>
      <c r="O246" s="2">
        <f t="shared" si="83"/>
        <v>3.1713837916456549</v>
      </c>
      <c r="Q246">
        <v>0.84699999999999998</v>
      </c>
      <c r="S246">
        <v>0.96</v>
      </c>
      <c r="U246">
        <v>0.96599999999999997</v>
      </c>
      <c r="W246">
        <v>0.97399999999999998</v>
      </c>
      <c r="X246">
        <v>196</v>
      </c>
      <c r="Y246" s="2">
        <f t="shared" si="93"/>
        <v>0.29627552496858206</v>
      </c>
      <c r="Z246" s="2">
        <f t="shared" si="94"/>
        <v>0.98990528566429048</v>
      </c>
      <c r="AB246" s="2">
        <f t="shared" si="85"/>
        <v>2.7108538588006823E-5</v>
      </c>
      <c r="AD246" s="2">
        <f t="shared" si="86"/>
        <v>1.8922898262330043E-5</v>
      </c>
      <c r="AF246" s="2">
        <f t="shared" si="87"/>
        <v>1.4790739757094244E-5</v>
      </c>
      <c r="AH246" s="2">
        <f t="shared" si="88"/>
        <v>1.1038330130318842E-5</v>
      </c>
      <c r="AJ246" s="2">
        <f t="shared" si="95"/>
        <v>1.0284492736469406</v>
      </c>
      <c r="AL246" s="2">
        <f t="shared" si="96"/>
        <v>1.046874198988238</v>
      </c>
      <c r="AN246" s="2">
        <f t="shared" si="97"/>
        <v>1.0611790245302961</v>
      </c>
      <c r="AP246" s="2">
        <f t="shared" si="98"/>
        <v>1.0844740122936092</v>
      </c>
    </row>
    <row r="247" spans="4:42" x14ac:dyDescent="0.3">
      <c r="E247" t="s">
        <v>5</v>
      </c>
      <c r="F247">
        <v>20.100000000000001</v>
      </c>
      <c r="G247">
        <v>3.57</v>
      </c>
      <c r="H247">
        <v>3.43</v>
      </c>
      <c r="I247">
        <v>14.22</v>
      </c>
      <c r="J247">
        <v>11.75</v>
      </c>
      <c r="K247">
        <v>7800</v>
      </c>
      <c r="L247">
        <f t="shared" si="81"/>
        <v>2.4700000000000006</v>
      </c>
      <c r="M247">
        <f t="shared" si="82"/>
        <v>3.5</v>
      </c>
      <c r="N247" s="2">
        <f>FiberLength!D51*$C$2*PI()</f>
        <v>3.9144244463728818E-4</v>
      </c>
      <c r="O247" s="2">
        <f t="shared" si="83"/>
        <v>2.9175279146905826</v>
      </c>
      <c r="Q247">
        <v>0.86299999999999999</v>
      </c>
      <c r="S247">
        <v>0.96299999999999997</v>
      </c>
      <c r="U247">
        <v>0.96599999999999997</v>
      </c>
      <c r="W247">
        <v>0.97599999999999998</v>
      </c>
      <c r="X247">
        <v>186</v>
      </c>
      <c r="Y247" s="2">
        <f t="shared" si="93"/>
        <v>0.29934333558264492</v>
      </c>
      <c r="Z247" s="2">
        <f t="shared" si="94"/>
        <v>0.9115404182915342</v>
      </c>
      <c r="AB247" s="2">
        <f t="shared" si="85"/>
        <v>2.704898913468507E-5</v>
      </c>
      <c r="AD247" s="2">
        <f t="shared" si="86"/>
        <v>1.8865056544449038E-5</v>
      </c>
      <c r="AF247" s="2">
        <f t="shared" si="87"/>
        <v>1.4734214095646381E-5</v>
      </c>
      <c r="AH247" s="2">
        <f t="shared" si="88"/>
        <v>1.0983531018115594E-5</v>
      </c>
      <c r="AJ247" s="2">
        <f t="shared" si="95"/>
        <v>1.0266552794609791</v>
      </c>
      <c r="AL247" s="2">
        <f t="shared" si="96"/>
        <v>1.0432265089552941</v>
      </c>
      <c r="AN247" s="2">
        <f t="shared" si="97"/>
        <v>1.0562253530627002</v>
      </c>
      <c r="AP247" s="2">
        <f t="shared" si="98"/>
        <v>1.0777514938115433</v>
      </c>
    </row>
    <row r="248" spans="4:42" x14ac:dyDescent="0.3">
      <c r="E248" t="s">
        <v>6</v>
      </c>
      <c r="F248">
        <v>20.100000000000001</v>
      </c>
      <c r="G248">
        <v>3.57</v>
      </c>
      <c r="H248">
        <v>3.43</v>
      </c>
      <c r="I248">
        <v>14.41</v>
      </c>
      <c r="J248">
        <v>11.78</v>
      </c>
      <c r="K248">
        <v>7800</v>
      </c>
      <c r="L248">
        <f t="shared" si="81"/>
        <v>2.6300000000000008</v>
      </c>
      <c r="M248">
        <f t="shared" si="82"/>
        <v>3.5</v>
      </c>
      <c r="N248" s="2">
        <f>FiberLength!D52*$C$2*PI()</f>
        <v>3.9364155949480104E-4</v>
      </c>
      <c r="O248" s="2">
        <f t="shared" si="83"/>
        <v>3.0891627303807692</v>
      </c>
      <c r="Q248">
        <v>0.86699999999999999</v>
      </c>
      <c r="S248">
        <v>0.97299999999999998</v>
      </c>
      <c r="U248">
        <v>0.97799999999999998</v>
      </c>
      <c r="W248">
        <v>0.98399999999999999</v>
      </c>
      <c r="X248">
        <v>183</v>
      </c>
      <c r="Y248" s="2">
        <f t="shared" si="93"/>
        <v>0.30195050521378658</v>
      </c>
      <c r="Z248" s="2">
        <f t="shared" si="94"/>
        <v>0.96595213282878745</v>
      </c>
      <c r="AB248" s="2">
        <f t="shared" si="85"/>
        <v>2.7089290327193843E-5</v>
      </c>
      <c r="AD248" s="2">
        <f t="shared" si="86"/>
        <v>1.8904208582657674E-5</v>
      </c>
      <c r="AF248" s="2">
        <f t="shared" si="87"/>
        <v>1.4772480223413036E-5</v>
      </c>
      <c r="AH248" s="2">
        <f t="shared" si="88"/>
        <v>1.1020634304833612E-5</v>
      </c>
      <c r="AJ248" s="2">
        <f t="shared" si="95"/>
        <v>1.0283621661768967</v>
      </c>
      <c r="AL248" s="2">
        <f t="shared" si="96"/>
        <v>1.046266599207655</v>
      </c>
      <c r="AN248" s="2">
        <f t="shared" si="97"/>
        <v>1.0603133286587434</v>
      </c>
      <c r="AP248" s="2">
        <f t="shared" si="98"/>
        <v>1.0830866773968628</v>
      </c>
    </row>
    <row r="249" spans="4:42" x14ac:dyDescent="0.3">
      <c r="E249" t="s">
        <v>7</v>
      </c>
      <c r="F249">
        <v>20.100000000000001</v>
      </c>
      <c r="G249">
        <v>3.57</v>
      </c>
      <c r="H249">
        <v>3.43</v>
      </c>
      <c r="I249">
        <v>14.41</v>
      </c>
      <c r="J249">
        <v>11.79</v>
      </c>
      <c r="K249">
        <v>7800</v>
      </c>
      <c r="L249">
        <f t="shared" si="81"/>
        <v>2.620000000000001</v>
      </c>
      <c r="M249">
        <f t="shared" si="82"/>
        <v>3.5</v>
      </c>
      <c r="N249" s="2">
        <f>FiberLength!D53*$C$2*PI()</f>
        <v>3.7165041091967254E-4</v>
      </c>
      <c r="O249" s="2">
        <f t="shared" si="83"/>
        <v>3.2595125369405649</v>
      </c>
      <c r="Q249">
        <v>0.86699999999999999</v>
      </c>
      <c r="S249">
        <v>0.97</v>
      </c>
      <c r="U249">
        <v>0.97399999999999998</v>
      </c>
      <c r="W249">
        <v>0.98</v>
      </c>
      <c r="X249">
        <v>185</v>
      </c>
      <c r="Y249" s="2">
        <f t="shared" si="93"/>
        <v>0.30225785934849109</v>
      </c>
      <c r="Z249" s="2">
        <f t="shared" si="94"/>
        <v>1.0193168784636495</v>
      </c>
      <c r="AB249" s="2">
        <f t="shared" si="85"/>
        <v>2.7129129188612265E-5</v>
      </c>
      <c r="AD249" s="2">
        <f t="shared" si="86"/>
        <v>1.8942884512375919E-5</v>
      </c>
      <c r="AF249" s="2">
        <f t="shared" si="87"/>
        <v>1.4810260968430445E-5</v>
      </c>
      <c r="AH249" s="2">
        <f t="shared" si="88"/>
        <v>1.1057242570648432E-5</v>
      </c>
      <c r="AJ249" s="2">
        <f t="shared" si="95"/>
        <v>1.0299347154947418</v>
      </c>
      <c r="AL249" s="2">
        <f t="shared" si="96"/>
        <v>1.0486907431659971</v>
      </c>
      <c r="AN249" s="2">
        <f t="shared" si="97"/>
        <v>1.0634224610503595</v>
      </c>
      <c r="AP249" s="2">
        <f t="shared" si="98"/>
        <v>1.0874041831433257</v>
      </c>
    </row>
    <row r="250" spans="4:42" x14ac:dyDescent="0.3">
      <c r="D250">
        <v>11</v>
      </c>
      <c r="E250" t="s">
        <v>4</v>
      </c>
      <c r="F250">
        <v>20.100000000000001</v>
      </c>
      <c r="G250">
        <v>3.57</v>
      </c>
      <c r="H250">
        <v>3.43</v>
      </c>
      <c r="I250">
        <v>13.99</v>
      </c>
      <c r="J250">
        <v>11.83</v>
      </c>
      <c r="K250">
        <v>7800</v>
      </c>
      <c r="L250">
        <f t="shared" si="81"/>
        <v>2.16</v>
      </c>
      <c r="M250">
        <f t="shared" si="82"/>
        <v>3.5</v>
      </c>
      <c r="N250" s="2">
        <f>FiberLength!D54*$C$2*PI()</f>
        <v>3.9364155949480104E-4</v>
      </c>
      <c r="O250" s="2">
        <f t="shared" si="83"/>
        <v>2.537107033316524</v>
      </c>
      <c r="Q250">
        <v>0.84399999999999997</v>
      </c>
      <c r="S250">
        <v>0.93200000000000005</v>
      </c>
      <c r="U250">
        <v>0.93500000000000005</v>
      </c>
      <c r="W250">
        <v>0.94499999999999995</v>
      </c>
      <c r="X250">
        <v>207</v>
      </c>
      <c r="Y250" s="2">
        <f t="shared" si="93"/>
        <v>0.29041983602650462</v>
      </c>
      <c r="Z250" s="2">
        <f t="shared" si="94"/>
        <v>0.7904794096731822</v>
      </c>
      <c r="AB250" s="2">
        <f t="shared" si="85"/>
        <v>2.6959053417345367E-5</v>
      </c>
      <c r="AD250" s="2">
        <f t="shared" si="86"/>
        <v>1.8777581493971721E-5</v>
      </c>
      <c r="AF250" s="2">
        <f t="shared" si="87"/>
        <v>1.4648640454595378E-5</v>
      </c>
      <c r="AH250" s="2">
        <f t="shared" si="88"/>
        <v>1.0900461501888873E-5</v>
      </c>
      <c r="AJ250" s="2">
        <f t="shared" si="95"/>
        <v>1.0226557408029158</v>
      </c>
      <c r="AL250" s="2">
        <f t="shared" si="96"/>
        <v>1.0363434413733528</v>
      </c>
      <c r="AN250" s="2">
        <f t="shared" si="97"/>
        <v>1.0472567660496022</v>
      </c>
      <c r="AP250" s="2">
        <f t="shared" si="98"/>
        <v>1.065320671709781</v>
      </c>
    </row>
    <row r="251" spans="4:42" x14ac:dyDescent="0.3">
      <c r="E251" t="s">
        <v>5</v>
      </c>
      <c r="F251">
        <v>20.100000000000001</v>
      </c>
      <c r="G251">
        <v>3.57</v>
      </c>
      <c r="H251">
        <v>3.43</v>
      </c>
      <c r="I251">
        <v>13.99</v>
      </c>
      <c r="J251">
        <v>11.74</v>
      </c>
      <c r="K251">
        <v>7800</v>
      </c>
      <c r="L251">
        <f t="shared" si="81"/>
        <v>2.25</v>
      </c>
      <c r="M251">
        <f t="shared" si="82"/>
        <v>3.5</v>
      </c>
      <c r="N251" s="2">
        <f>FiberLength!D55*$C$2*PI()</f>
        <v>3.9364155949480104E-4</v>
      </c>
      <c r="O251" s="2">
        <f t="shared" si="83"/>
        <v>2.6428198263713791</v>
      </c>
      <c r="Q251">
        <v>0.86</v>
      </c>
      <c r="S251">
        <v>0.95399999999999996</v>
      </c>
      <c r="U251">
        <v>0.95599999999999996</v>
      </c>
      <c r="W251">
        <v>0.96699999999999997</v>
      </c>
      <c r="X251">
        <v>192</v>
      </c>
      <c r="Y251" s="2">
        <f t="shared" si="93"/>
        <v>0.29670867274058221</v>
      </c>
      <c r="Z251" s="2">
        <f t="shared" si="94"/>
        <v>0.8250326168842248</v>
      </c>
      <c r="AB251" s="2">
        <f t="shared" si="85"/>
        <v>2.6984132308310522E-5</v>
      </c>
      <c r="AD251" s="2">
        <f t="shared" si="86"/>
        <v>1.8801989074679683E-5</v>
      </c>
      <c r="AF251" s="2">
        <f t="shared" si="87"/>
        <v>1.4672528703812253E-5</v>
      </c>
      <c r="AH251" s="2">
        <f t="shared" si="88"/>
        <v>1.0923664676568963E-5</v>
      </c>
      <c r="AJ251" s="2">
        <f t="shared" si="95"/>
        <v>1.0240510443618107</v>
      </c>
      <c r="AL251" s="2">
        <f t="shared" si="96"/>
        <v>1.0387620211336182</v>
      </c>
      <c r="AN251" s="2">
        <f t="shared" si="97"/>
        <v>1.0503511793830258</v>
      </c>
      <c r="AP251" s="2">
        <f t="shared" si="98"/>
        <v>1.0696685236654351</v>
      </c>
    </row>
    <row r="252" spans="4:42" x14ac:dyDescent="0.3">
      <c r="E252" t="s">
        <v>6</v>
      </c>
      <c r="F252">
        <v>20.100000000000001</v>
      </c>
      <c r="G252">
        <v>3.57</v>
      </c>
      <c r="H252">
        <v>3.43</v>
      </c>
      <c r="I252">
        <v>13.87</v>
      </c>
      <c r="J252">
        <v>11.7</v>
      </c>
      <c r="K252">
        <v>7800</v>
      </c>
      <c r="L252">
        <f t="shared" si="81"/>
        <v>2.17</v>
      </c>
      <c r="M252">
        <f t="shared" si="82"/>
        <v>3.5</v>
      </c>
      <c r="N252" s="2">
        <f>FiberLength!D56*$C$2*PI()</f>
        <v>3.9364155949480104E-4</v>
      </c>
      <c r="O252" s="2">
        <f t="shared" si="83"/>
        <v>2.548852899211508</v>
      </c>
      <c r="Q252">
        <v>0.85299999999999998</v>
      </c>
      <c r="S252">
        <v>0.94799999999999995</v>
      </c>
      <c r="U252">
        <v>0.95</v>
      </c>
      <c r="W252">
        <v>0.95899999999999996</v>
      </c>
      <c r="X252">
        <v>198</v>
      </c>
      <c r="Y252" s="2">
        <f t="shared" si="93"/>
        <v>0.29410629173737807</v>
      </c>
      <c r="Z252" s="2">
        <f t="shared" si="94"/>
        <v>0.7950522166852545</v>
      </c>
      <c r="AB252" s="2">
        <f t="shared" si="85"/>
        <v>2.6961843372869193E-5</v>
      </c>
      <c r="AD252" s="2">
        <f t="shared" si="86"/>
        <v>1.8780297351013169E-5</v>
      </c>
      <c r="AF252" s="2">
        <f t="shared" si="87"/>
        <v>1.4651298966519131E-5</v>
      </c>
      <c r="AH252" s="2">
        <f t="shared" si="88"/>
        <v>1.0903044325905741E-5</v>
      </c>
      <c r="AJ252" s="2">
        <f t="shared" si="95"/>
        <v>1.0230037508649379</v>
      </c>
      <c r="AL252" s="2">
        <f t="shared" si="96"/>
        <v>1.037139632157845</v>
      </c>
      <c r="AN252" s="2">
        <f t="shared" si="97"/>
        <v>1.0482392775173264</v>
      </c>
      <c r="AP252" s="2">
        <f t="shared" si="98"/>
        <v>1.0665997173418973</v>
      </c>
    </row>
    <row r="253" spans="4:42" x14ac:dyDescent="0.3">
      <c r="E253" t="s">
        <v>7</v>
      </c>
      <c r="F253">
        <v>20.100000000000001</v>
      </c>
      <c r="G253">
        <v>3.57</v>
      </c>
      <c r="H253">
        <v>3.43</v>
      </c>
      <c r="I253">
        <v>13.74</v>
      </c>
      <c r="J253">
        <v>11.7</v>
      </c>
      <c r="K253">
        <v>7800</v>
      </c>
      <c r="L253">
        <f t="shared" si="81"/>
        <v>2.0400000000000009</v>
      </c>
      <c r="M253">
        <f t="shared" si="82"/>
        <v>3.5</v>
      </c>
      <c r="N253" s="2">
        <f>FiberLength!D57*$C$2*PI()</f>
        <v>3.9364155949480104E-4</v>
      </c>
      <c r="O253" s="2">
        <f t="shared" si="83"/>
        <v>2.3961566425767189</v>
      </c>
      <c r="Q253">
        <v>0.86499999999999999</v>
      </c>
      <c r="S253">
        <v>0.96299999999999997</v>
      </c>
      <c r="U253">
        <v>0.96399999999999997</v>
      </c>
      <c r="W253">
        <v>0.97399999999999998</v>
      </c>
      <c r="X253">
        <v>189</v>
      </c>
      <c r="Y253" s="2">
        <f t="shared" si="93"/>
        <v>0.29781198493847777</v>
      </c>
      <c r="Z253" s="2">
        <f t="shared" si="94"/>
        <v>0.74828730583787495</v>
      </c>
      <c r="AB253" s="2">
        <f t="shared" si="85"/>
        <v>2.6925506042459429E-5</v>
      </c>
      <c r="AD253" s="2">
        <f t="shared" si="86"/>
        <v>1.8744913468874281E-5</v>
      </c>
      <c r="AF253" s="2">
        <f t="shared" si="87"/>
        <v>1.4616653375665793E-5</v>
      </c>
      <c r="AH253" s="2">
        <f t="shared" si="88"/>
        <v>1.0869373961839792E-5</v>
      </c>
      <c r="AJ253" s="2">
        <f t="shared" si="95"/>
        <v>1.0219247994226419</v>
      </c>
      <c r="AL253" s="2">
        <f t="shared" si="96"/>
        <v>1.0354533301238669</v>
      </c>
      <c r="AN253" s="2">
        <f t="shared" si="97"/>
        <v>1.0459920438110319</v>
      </c>
      <c r="AP253" s="2">
        <f t="shared" si="98"/>
        <v>1.0635346720538326</v>
      </c>
    </row>
    <row r="254" spans="4:42" x14ac:dyDescent="0.3">
      <c r="D254">
        <v>12</v>
      </c>
      <c r="E254" t="s">
        <v>4</v>
      </c>
      <c r="F254">
        <v>20.100000000000001</v>
      </c>
      <c r="G254">
        <v>3.57</v>
      </c>
      <c r="H254">
        <v>3.43</v>
      </c>
      <c r="I254">
        <v>13.76</v>
      </c>
      <c r="J254">
        <v>11.73</v>
      </c>
      <c r="K254">
        <v>7800</v>
      </c>
      <c r="L254">
        <f t="shared" si="81"/>
        <v>2.0299999999999994</v>
      </c>
      <c r="M254">
        <f t="shared" si="82"/>
        <v>3.5</v>
      </c>
      <c r="N254" s="2">
        <f>FiberLength!D58*$C$2*PI()</f>
        <v>3.9584067435231396E-4</v>
      </c>
      <c r="O254" s="2">
        <f t="shared" si="83"/>
        <v>2.3711640501446118</v>
      </c>
      <c r="Q254">
        <v>0.85399999999999998</v>
      </c>
      <c r="S254">
        <v>0.93500000000000005</v>
      </c>
      <c r="U254">
        <v>0.93700000000000006</v>
      </c>
      <c r="W254">
        <v>0.94599999999999995</v>
      </c>
      <c r="X254">
        <v>204</v>
      </c>
      <c r="Y254" s="2">
        <f t="shared" si="93"/>
        <v>0.29242714331302527</v>
      </c>
      <c r="Z254" s="2">
        <f t="shared" si="94"/>
        <v>0.73923934267037372</v>
      </c>
      <c r="AB254" s="2">
        <f t="shared" si="85"/>
        <v>2.6919544311227737E-5</v>
      </c>
      <c r="AD254" s="2">
        <f t="shared" si="86"/>
        <v>1.8739105729169819E-5</v>
      </c>
      <c r="AF254" s="2">
        <f t="shared" si="87"/>
        <v>1.4610964961515492E-5</v>
      </c>
      <c r="AH254" s="2">
        <f t="shared" si="88"/>
        <v>1.0863843326297535E-5</v>
      </c>
      <c r="AJ254" s="2">
        <f t="shared" si="95"/>
        <v>1.0214194132788044</v>
      </c>
      <c r="AL254" s="2">
        <f t="shared" si="96"/>
        <v>1.0340613219673087</v>
      </c>
      <c r="AN254" s="2">
        <f t="shared" si="97"/>
        <v>1.0442336348432169</v>
      </c>
      <c r="AP254" s="2">
        <f t="shared" si="98"/>
        <v>1.0610561316980898</v>
      </c>
    </row>
    <row r="255" spans="4:42" x14ac:dyDescent="0.3">
      <c r="E255" t="s">
        <v>5</v>
      </c>
      <c r="F255">
        <v>20.100000000000001</v>
      </c>
      <c r="G255">
        <v>3.57</v>
      </c>
      <c r="H255">
        <v>3.43</v>
      </c>
      <c r="I255">
        <v>13.61</v>
      </c>
      <c r="J255">
        <v>11.8</v>
      </c>
      <c r="K255">
        <v>7800</v>
      </c>
      <c r="L255">
        <f t="shared" si="81"/>
        <v>1.8099999999999987</v>
      </c>
      <c r="M255">
        <f t="shared" si="82"/>
        <v>3.5</v>
      </c>
      <c r="N255" s="2">
        <f>FiberLength!D59*$C$2*PI()</f>
        <v>3.9364155949480104E-4</v>
      </c>
      <c r="O255" s="2">
        <f t="shared" si="83"/>
        <v>2.1260017269920857</v>
      </c>
      <c r="Q255">
        <v>0.86399999999999999</v>
      </c>
      <c r="S255">
        <v>0.95499999999999996</v>
      </c>
      <c r="U255">
        <v>0.95599999999999996</v>
      </c>
      <c r="W255">
        <v>0.96899999999999997</v>
      </c>
      <c r="X255">
        <v>190</v>
      </c>
      <c r="Y255" s="2">
        <f t="shared" si="93"/>
        <v>0.2958261808577482</v>
      </c>
      <c r="Z255" s="2">
        <f t="shared" si="94"/>
        <v>0.66351011118404624</v>
      </c>
      <c r="AB255" s="2">
        <f t="shared" si="85"/>
        <v>2.6860843276107374E-5</v>
      </c>
      <c r="AD255" s="2">
        <f t="shared" si="86"/>
        <v>1.868188303062953E-5</v>
      </c>
      <c r="AF255" s="2">
        <f t="shared" si="87"/>
        <v>1.4554888987654573E-5</v>
      </c>
      <c r="AH255" s="2">
        <f t="shared" si="88"/>
        <v>1.0809285851447922E-5</v>
      </c>
      <c r="AJ255" s="2">
        <f t="shared" si="95"/>
        <v>1.0194227192797891</v>
      </c>
      <c r="AL255" s="2">
        <f t="shared" si="96"/>
        <v>1.0311741097727665</v>
      </c>
      <c r="AN255" s="2">
        <f t="shared" si="97"/>
        <v>1.0404295408630508</v>
      </c>
      <c r="AP255" s="2">
        <f t="shared" si="98"/>
        <v>1.0559999930007333</v>
      </c>
    </row>
    <row r="256" spans="4:42" x14ac:dyDescent="0.3">
      <c r="E256" t="s">
        <v>6</v>
      </c>
      <c r="F256">
        <v>20.100000000000001</v>
      </c>
      <c r="G256">
        <v>3.57</v>
      </c>
      <c r="H256">
        <v>3.43</v>
      </c>
      <c r="I256">
        <v>13.59</v>
      </c>
      <c r="J256">
        <v>11.75</v>
      </c>
      <c r="K256">
        <v>7800</v>
      </c>
      <c r="L256">
        <f t="shared" si="81"/>
        <v>1.8399999999999999</v>
      </c>
      <c r="M256">
        <f t="shared" si="82"/>
        <v>3.5</v>
      </c>
      <c r="N256" s="2">
        <f>FiberLength!D60*$C$2*PI()</f>
        <v>3.9144244463728818E-4</v>
      </c>
      <c r="O256" s="2">
        <f t="shared" si="83"/>
        <v>2.1733811186358989</v>
      </c>
      <c r="Q256">
        <v>0.876</v>
      </c>
      <c r="S256">
        <v>0.96199999999999997</v>
      </c>
      <c r="U256">
        <v>0.96499999999999997</v>
      </c>
      <c r="W256">
        <v>0.97599999999999998</v>
      </c>
      <c r="X256">
        <v>178</v>
      </c>
      <c r="Y256" s="2">
        <f t="shared" si="93"/>
        <v>0.29955333143381219</v>
      </c>
      <c r="Z256" s="2">
        <f t="shared" si="94"/>
        <v>0.679086809970054</v>
      </c>
      <c r="AB256" s="2">
        <f t="shared" si="85"/>
        <v>2.6872219449183502E-5</v>
      </c>
      <c r="AD256" s="2">
        <f t="shared" si="86"/>
        <v>1.8692978178011833E-5</v>
      </c>
      <c r="AF256" s="2">
        <f t="shared" si="87"/>
        <v>1.4565765982385498E-5</v>
      </c>
      <c r="AH256" s="2">
        <f t="shared" si="88"/>
        <v>1.0819873655755814E-5</v>
      </c>
      <c r="AJ256" s="2">
        <f t="shared" si="95"/>
        <v>1.0201327073276998</v>
      </c>
      <c r="AL256" s="2">
        <f t="shared" si="96"/>
        <v>1.032106105706408</v>
      </c>
      <c r="AN256" s="2">
        <f t="shared" si="97"/>
        <v>1.0417264602768423</v>
      </c>
      <c r="AP256" s="2">
        <f t="shared" si="98"/>
        <v>1.0576760702182233</v>
      </c>
    </row>
    <row r="257" spans="4:42" x14ac:dyDescent="0.3">
      <c r="E257" t="s">
        <v>7</v>
      </c>
      <c r="F257">
        <v>20.100000000000001</v>
      </c>
      <c r="G257">
        <v>3.57</v>
      </c>
      <c r="H257">
        <v>3.43</v>
      </c>
      <c r="I257">
        <v>13.68</v>
      </c>
      <c r="J257">
        <v>11.72</v>
      </c>
      <c r="K257">
        <v>7800</v>
      </c>
      <c r="L257">
        <f t="shared" si="81"/>
        <v>1.9599999999999991</v>
      </c>
      <c r="M257">
        <f t="shared" si="82"/>
        <v>3.5</v>
      </c>
      <c r="N257" s="2">
        <f>FiberLength!D61*$C$2*PI()</f>
        <v>3.9144244463728818E-4</v>
      </c>
      <c r="O257" s="2">
        <f t="shared" si="83"/>
        <v>2.3151233655034562</v>
      </c>
      <c r="Q257">
        <v>0.86899999999999999</v>
      </c>
      <c r="S257">
        <v>0.96</v>
      </c>
      <c r="U257">
        <v>0.96099999999999997</v>
      </c>
      <c r="W257">
        <v>0.97299999999999998</v>
      </c>
      <c r="X257">
        <v>184</v>
      </c>
      <c r="Y257" s="2">
        <f t="shared" si="93"/>
        <v>0.2981793589414079</v>
      </c>
      <c r="Z257" s="2">
        <f t="shared" si="94"/>
        <v>0.72306466384014112</v>
      </c>
      <c r="AB257" s="2">
        <f t="shared" si="85"/>
        <v>2.6906161541685013E-5</v>
      </c>
      <c r="AD257" s="2">
        <f t="shared" si="86"/>
        <v>1.8726066089633894E-5</v>
      </c>
      <c r="AF257" s="2">
        <f t="shared" si="87"/>
        <v>1.4598191291813718E-5</v>
      </c>
      <c r="AH257" s="2">
        <f t="shared" si="88"/>
        <v>1.0851421494450335E-5</v>
      </c>
      <c r="AJ257" s="2">
        <f t="shared" si="95"/>
        <v>1.0212787393204266</v>
      </c>
      <c r="AL257" s="2">
        <f t="shared" si="96"/>
        <v>1.0341407421943978</v>
      </c>
      <c r="AN257" s="2">
        <f t="shared" si="97"/>
        <v>1.0442855483379343</v>
      </c>
      <c r="AP257" s="2">
        <f t="shared" si="98"/>
        <v>1.0612956571841885</v>
      </c>
    </row>
    <row r="258" spans="4:42" x14ac:dyDescent="0.3">
      <c r="D258">
        <v>14</v>
      </c>
      <c r="E258" t="s">
        <v>4</v>
      </c>
      <c r="F258">
        <v>20.100000000000001</v>
      </c>
      <c r="G258">
        <v>3.57</v>
      </c>
      <c r="H258">
        <v>3.43</v>
      </c>
      <c r="I258">
        <v>13.34</v>
      </c>
      <c r="J258">
        <v>11.71</v>
      </c>
      <c r="K258">
        <v>7800</v>
      </c>
      <c r="L258">
        <f t="shared" si="81"/>
        <v>1.629999999999999</v>
      </c>
      <c r="M258">
        <f t="shared" si="82"/>
        <v>3.5</v>
      </c>
      <c r="N258" s="2">
        <f>FiberLength!D62*$C$2*PI()</f>
        <v>3.9144244463728818E-4</v>
      </c>
      <c r="O258" s="2">
        <f t="shared" si="83"/>
        <v>1.9253321866176702</v>
      </c>
      <c r="Q258">
        <v>0.84599999999999997</v>
      </c>
      <c r="S258">
        <v>0.93899999999999995</v>
      </c>
      <c r="U258">
        <v>0.94299999999999995</v>
      </c>
      <c r="W258">
        <v>0.95899999999999996</v>
      </c>
      <c r="X258">
        <v>202</v>
      </c>
      <c r="Y258" s="2">
        <f t="shared" si="93"/>
        <v>0.28944531647400612</v>
      </c>
      <c r="Z258" s="2">
        <f t="shared" si="94"/>
        <v>0.59968833313973424</v>
      </c>
      <c r="AB258" s="2">
        <f t="shared" si="85"/>
        <v>2.6812484698196845E-5</v>
      </c>
      <c r="AD258" s="2">
        <f t="shared" si="86"/>
        <v>1.863468856950184E-5</v>
      </c>
      <c r="AF258" s="2">
        <f t="shared" si="87"/>
        <v>1.450859902121399E-5</v>
      </c>
      <c r="AH258" s="2">
        <f t="shared" si="88"/>
        <v>1.0764196466668701E-5</v>
      </c>
      <c r="AJ258" s="2">
        <f t="shared" si="95"/>
        <v>1.0172181574842276</v>
      </c>
      <c r="AL258" s="2">
        <f t="shared" si="96"/>
        <v>1.0277455417633259</v>
      </c>
      <c r="AN258" s="2">
        <f t="shared" si="97"/>
        <v>1.036091158346887</v>
      </c>
      <c r="AP258" s="2">
        <f t="shared" si="98"/>
        <v>1.0501386206341596</v>
      </c>
    </row>
    <row r="259" spans="4:42" x14ac:dyDescent="0.3">
      <c r="E259" t="s">
        <v>5</v>
      </c>
      <c r="F259">
        <v>20.100000000000001</v>
      </c>
      <c r="G259">
        <v>3.57</v>
      </c>
      <c r="H259">
        <v>3.43</v>
      </c>
      <c r="I259">
        <v>13.69</v>
      </c>
      <c r="J259">
        <v>11.83</v>
      </c>
      <c r="K259">
        <v>7800</v>
      </c>
      <c r="L259">
        <f t="shared" si="81"/>
        <v>1.8599999999999994</v>
      </c>
      <c r="M259">
        <f t="shared" si="82"/>
        <v>3.5</v>
      </c>
      <c r="N259" s="2">
        <f>FiberLength!D63*$C$2*PI()</f>
        <v>3.9584067435231396E-4</v>
      </c>
      <c r="O259" s="2">
        <f t="shared" si="83"/>
        <v>2.1725936617088566</v>
      </c>
      <c r="Q259">
        <v>0.85099999999999998</v>
      </c>
      <c r="S259">
        <v>0.93799999999999994</v>
      </c>
      <c r="U259">
        <v>0.94299999999999995</v>
      </c>
      <c r="W259">
        <v>0.95599999999999996</v>
      </c>
      <c r="X259">
        <v>201</v>
      </c>
      <c r="Y259" s="2">
        <f t="shared" si="93"/>
        <v>0.29142751402295419</v>
      </c>
      <c r="Z259" s="2">
        <f t="shared" si="94"/>
        <v>0.67712157702657538</v>
      </c>
      <c r="AB259" s="2">
        <f t="shared" si="85"/>
        <v>2.6872030501172324E-5</v>
      </c>
      <c r="AD259" s="2">
        <f t="shared" si="86"/>
        <v>1.8692793919425095E-5</v>
      </c>
      <c r="AF259" s="2">
        <f t="shared" si="87"/>
        <v>1.4565585363437672E-5</v>
      </c>
      <c r="AH259" s="2">
        <f t="shared" si="88"/>
        <v>1.0819697860436843E-5</v>
      </c>
      <c r="AJ259" s="2">
        <f t="shared" si="95"/>
        <v>1.0195510353064179</v>
      </c>
      <c r="AL259" s="2">
        <f t="shared" si="96"/>
        <v>1.0312937196967253</v>
      </c>
      <c r="AN259" s="2">
        <f t="shared" si="97"/>
        <v>1.0407602985615654</v>
      </c>
      <c r="AP259" s="2">
        <f t="shared" si="98"/>
        <v>1.0564734772450504</v>
      </c>
    </row>
    <row r="260" spans="4:42" x14ac:dyDescent="0.3">
      <c r="E260" t="s">
        <v>6</v>
      </c>
      <c r="F260">
        <v>20.100000000000001</v>
      </c>
      <c r="G260">
        <v>3.57</v>
      </c>
      <c r="H260">
        <v>3.43</v>
      </c>
      <c r="I260">
        <v>13.69</v>
      </c>
      <c r="J260">
        <v>11.83</v>
      </c>
      <c r="K260">
        <v>7800</v>
      </c>
      <c r="L260">
        <f t="shared" si="81"/>
        <v>1.8599999999999994</v>
      </c>
      <c r="M260">
        <f t="shared" si="82"/>
        <v>3.5</v>
      </c>
      <c r="N260" s="2">
        <f>FiberLength!D64*$C$2*PI()</f>
        <v>3.9364155949480104E-4</v>
      </c>
      <c r="O260" s="2">
        <f t="shared" si="83"/>
        <v>2.1847310564670064</v>
      </c>
      <c r="Q260">
        <v>0.83699999999999997</v>
      </c>
      <c r="S260">
        <v>0.92100000000000004</v>
      </c>
      <c r="U260">
        <v>0.91900000000000004</v>
      </c>
      <c r="W260">
        <v>0.94299999999999995</v>
      </c>
      <c r="X260">
        <v>226</v>
      </c>
      <c r="Y260" s="2">
        <f t="shared" si="93"/>
        <v>0.28638538735385899</v>
      </c>
      <c r="Z260" s="2">
        <f t="shared" si="94"/>
        <v>0.67983604750541771</v>
      </c>
      <c r="AB260" s="2">
        <f t="shared" si="85"/>
        <v>2.6874942360753295E-5</v>
      </c>
      <c r="AD260" s="2">
        <f t="shared" si="86"/>
        <v>1.8695633429215977E-5</v>
      </c>
      <c r="AF260" s="2">
        <f t="shared" si="87"/>
        <v>1.4568368722229837E-5</v>
      </c>
      <c r="AH260" s="2">
        <f t="shared" si="88"/>
        <v>1.0822406806599336E-5</v>
      </c>
      <c r="AJ260" s="2">
        <f t="shared" si="95"/>
        <v>1.0193371618055755</v>
      </c>
      <c r="AL260" s="2">
        <f t="shared" si="96"/>
        <v>1.0308991282185509</v>
      </c>
      <c r="AN260" s="2">
        <f t="shared" si="97"/>
        <v>1.0399465193360156</v>
      </c>
      <c r="AP260" s="2">
        <f t="shared" si="98"/>
        <v>1.0560203696583579</v>
      </c>
    </row>
    <row r="261" spans="4:42" x14ac:dyDescent="0.3">
      <c r="E261" t="s">
        <v>7</v>
      </c>
      <c r="F261">
        <v>20.100000000000001</v>
      </c>
      <c r="G261">
        <v>3.57</v>
      </c>
      <c r="H261">
        <v>3.43</v>
      </c>
      <c r="I261">
        <v>13.52</v>
      </c>
      <c r="J261">
        <v>11.84</v>
      </c>
      <c r="K261">
        <v>7800</v>
      </c>
      <c r="L261">
        <f t="shared" si="81"/>
        <v>1.6799999999999997</v>
      </c>
      <c r="M261">
        <f t="shared" si="82"/>
        <v>3.5</v>
      </c>
      <c r="N261" s="2">
        <f>FiberLength!D65*$C$2*PI()</f>
        <v>3.9144244463728818E-4</v>
      </c>
      <c r="O261" s="2">
        <f t="shared" si="83"/>
        <v>1.98439145614582</v>
      </c>
      <c r="Q261">
        <v>0.84899999999999998</v>
      </c>
      <c r="S261">
        <v>0.94399999999999995</v>
      </c>
      <c r="U261">
        <v>0.94599999999999995</v>
      </c>
      <c r="W261">
        <v>0.95899999999999996</v>
      </c>
      <c r="X261">
        <v>201</v>
      </c>
      <c r="Y261" s="2">
        <f t="shared" si="93"/>
        <v>0.29075316487948522</v>
      </c>
      <c r="Z261" s="2">
        <f t="shared" si="94"/>
        <v>0.61833556535120848</v>
      </c>
      <c r="AB261" s="2">
        <f t="shared" si="85"/>
        <v>2.6826747338510206E-5</v>
      </c>
      <c r="AD261" s="2">
        <f t="shared" si="86"/>
        <v>1.8648613087695996E-5</v>
      </c>
      <c r="AF261" s="2">
        <f t="shared" si="87"/>
        <v>1.452226068918706E-5</v>
      </c>
      <c r="AH261" s="2">
        <f t="shared" si="88"/>
        <v>1.077750898277106E-5</v>
      </c>
      <c r="AJ261" s="2">
        <f t="shared" si="95"/>
        <v>1.0178107043493847</v>
      </c>
      <c r="AL261" s="2">
        <f t="shared" si="96"/>
        <v>1.0287528447066454</v>
      </c>
      <c r="AN261" s="2">
        <f t="shared" si="97"/>
        <v>1.0373239175985109</v>
      </c>
      <c r="AP261" s="2">
        <f t="shared" si="98"/>
        <v>1.0516922441957892</v>
      </c>
    </row>
  </sheetData>
  <mergeCells count="22">
    <mergeCell ref="I6:K6"/>
    <mergeCell ref="L6:N6"/>
    <mergeCell ref="O6:Q6"/>
    <mergeCell ref="R6:T6"/>
    <mergeCell ref="F7:H7"/>
    <mergeCell ref="I7:K7"/>
    <mergeCell ref="L7:N7"/>
    <mergeCell ref="O7:Q7"/>
    <mergeCell ref="R7:T7"/>
    <mergeCell ref="F35:H35"/>
    <mergeCell ref="I35:K35"/>
    <mergeCell ref="L35:N35"/>
    <mergeCell ref="O35:Q35"/>
    <mergeCell ref="R35:T35"/>
    <mergeCell ref="P68:W68"/>
    <mergeCell ref="AA68:AH68"/>
    <mergeCell ref="AI68:AP68"/>
    <mergeCell ref="AW80:BD80"/>
    <mergeCell ref="I34:K34"/>
    <mergeCell ref="L34:N34"/>
    <mergeCell ref="O34:Q34"/>
    <mergeCell ref="R34:T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FiberLength</vt:lpstr>
      <vt:lpstr>PureWaterPermeability</vt:lpstr>
      <vt:lpstr>MgSO4Retention</vt:lpstr>
      <vt:lpstr>PEGRetention_Support</vt:lpstr>
      <vt:lpstr>PEGRetention_PDADMACPSS</vt:lpstr>
      <vt:lpstr>PEGRetention_PAHPAA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Junker, M.A. (TNW)</dc:creator>
  <cp:lastModifiedBy>Junker, M.A. (TNW)</cp:lastModifiedBy>
  <dcterms:created xsi:type="dcterms:W3CDTF">2023-04-04T07:57:09Z</dcterms:created>
  <dcterms:modified xsi:type="dcterms:W3CDTF">2023-04-04T15:23:12Z</dcterms:modified>
</cp:coreProperties>
</file>