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ren\surfdrive3\0. PHD (surfdrive)\02 Research and tools\Power plant\Dynamic simulation\publish data\"/>
    </mc:Choice>
  </mc:AlternateContent>
  <xr:revisionPtr revIDLastSave="0" documentId="13_ncr:1_{B1427725-7729-461F-93BC-CB64B20C2886}" xr6:coauthVersionLast="47" xr6:coauthVersionMax="47" xr10:uidLastSave="{00000000-0000-0000-0000-000000000000}"/>
  <bookViews>
    <workbookView xWindow="-120" yWindow="-120" windowWidth="29040" windowHeight="15840" activeTab="5" xr2:uid="{C373DDF6-0A40-4027-82CD-912A8E427E9F}"/>
  </bookViews>
  <sheets>
    <sheet name="Components" sheetId="1" r:id="rId1"/>
    <sheet name="Parameters" sheetId="2" r:id="rId2"/>
    <sheet name="Emissions" sheetId="5" r:id="rId3"/>
    <sheet name="Emissions_WTT" sheetId="12" r:id="rId4"/>
    <sheet name="Scenarios" sheetId="3" r:id="rId5"/>
    <sheet name="Overview DS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" i="5" l="1"/>
  <c r="E28" i="1"/>
  <c r="E27" i="1"/>
  <c r="E19" i="1"/>
  <c r="E12" i="1"/>
  <c r="E32" i="1"/>
  <c r="E21" i="1"/>
  <c r="D7" i="12"/>
  <c r="D6" i="12"/>
  <c r="D5" i="12"/>
  <c r="A6" i="12"/>
  <c r="A7" i="12"/>
  <c r="A5" i="12"/>
  <c r="D4" i="12"/>
  <c r="D2" i="12"/>
  <c r="D3" i="12"/>
  <c r="A4" i="12"/>
  <c r="A3" i="12"/>
  <c r="A2" i="12"/>
  <c r="J7" i="1"/>
  <c r="E7" i="1" l="1"/>
  <c r="G7" i="1" s="1"/>
  <c r="E40" i="5"/>
  <c r="E14" i="1" l="1"/>
  <c r="E15" i="1" l="1"/>
  <c r="I14" i="1"/>
  <c r="E8" i="5"/>
  <c r="E9" i="5"/>
  <c r="E10" i="5"/>
  <c r="E11" i="5"/>
  <c r="E12" i="5"/>
  <c r="E13" i="5"/>
  <c r="E2" i="5"/>
  <c r="E3" i="5"/>
  <c r="E4" i="5"/>
  <c r="E5" i="5"/>
  <c r="E6" i="5"/>
  <c r="E7" i="5"/>
  <c r="I39" i="1"/>
  <c r="I40" i="1"/>
  <c r="I42" i="1"/>
  <c r="I43" i="1"/>
  <c r="I44" i="1"/>
  <c r="I45" i="1"/>
  <c r="I46" i="1"/>
  <c r="I47" i="1"/>
  <c r="I48" i="1"/>
  <c r="I38" i="1"/>
  <c r="I37" i="1"/>
  <c r="I36" i="1"/>
  <c r="I34" i="1"/>
  <c r="I33" i="1"/>
  <c r="I32" i="1"/>
  <c r="I31" i="1"/>
  <c r="I23" i="1"/>
  <c r="I24" i="1"/>
  <c r="I21" i="1"/>
  <c r="I17" i="1"/>
  <c r="I18" i="1"/>
  <c r="I16" i="1"/>
  <c r="I3" i="1"/>
  <c r="I4" i="1"/>
  <c r="I5" i="1"/>
  <c r="I6" i="1"/>
  <c r="I7" i="1"/>
  <c r="I8" i="1"/>
  <c r="I2" i="1"/>
  <c r="E16" i="1"/>
  <c r="E17" i="1"/>
  <c r="E41" i="5"/>
  <c r="E43" i="5"/>
  <c r="H21" i="5" l="1"/>
  <c r="I21" i="5"/>
  <c r="H22" i="5"/>
  <c r="I22" i="5"/>
  <c r="H23" i="5"/>
  <c r="I23" i="5"/>
  <c r="H24" i="5"/>
  <c r="I24" i="5"/>
  <c r="E24" i="5" s="1"/>
  <c r="H25" i="5"/>
  <c r="I25" i="5"/>
  <c r="I20" i="5"/>
  <c r="H20" i="5"/>
  <c r="E22" i="5"/>
  <c r="E22" i="1"/>
  <c r="E40" i="1"/>
  <c r="E39" i="1"/>
  <c r="E34" i="1"/>
  <c r="M20" i="1"/>
  <c r="E20" i="1" s="1"/>
  <c r="E30" i="1" s="1"/>
  <c r="E25" i="1"/>
  <c r="X31" i="1"/>
  <c r="Y32" i="1"/>
  <c r="Y31" i="1"/>
  <c r="E31" i="1" s="1"/>
  <c r="J14" i="1"/>
  <c r="E33" i="5"/>
  <c r="E39" i="5" s="1"/>
  <c r="E21" i="5" l="1"/>
  <c r="E25" i="5"/>
  <c r="E20" i="5"/>
  <c r="E23" i="5"/>
  <c r="R5" i="1"/>
  <c r="P11" i="1" l="1"/>
  <c r="P18" i="1"/>
  <c r="E18" i="1" s="1"/>
  <c r="E26" i="1" l="1"/>
  <c r="E15" i="5"/>
  <c r="E16" i="5"/>
  <c r="E17" i="5"/>
  <c r="E18" i="5"/>
  <c r="E19" i="5"/>
  <c r="E26" i="5"/>
  <c r="E27" i="5"/>
  <c r="E28" i="5"/>
  <c r="E29" i="5"/>
  <c r="E30" i="5"/>
  <c r="E31" i="5"/>
  <c r="E14" i="5"/>
  <c r="E37" i="1"/>
  <c r="E36" i="1"/>
  <c r="Q15" i="1"/>
  <c r="E44" i="1" l="1"/>
  <c r="M13" i="1"/>
  <c r="E13" i="1" s="1"/>
  <c r="E29" i="1" s="1"/>
  <c r="J11" i="1"/>
  <c r="N14" i="1"/>
  <c r="T6" i="1"/>
  <c r="S6" i="1"/>
  <c r="R6" i="1"/>
  <c r="J4" i="1"/>
  <c r="N7" i="1"/>
  <c r="W43" i="1" l="1"/>
  <c r="E8" i="1"/>
  <c r="E46" i="1"/>
  <c r="E45" i="1"/>
  <c r="W42" i="1" l="1"/>
  <c r="U8" i="1" l="1"/>
  <c r="T8" i="1"/>
  <c r="S8" i="1"/>
  <c r="N16" i="1"/>
  <c r="N42" i="1"/>
  <c r="N2" i="1"/>
  <c r="N43" i="1"/>
  <c r="N17" i="1"/>
  <c r="N3" i="1"/>
  <c r="J48" i="1"/>
  <c r="E48" i="1" s="1"/>
  <c r="J47" i="1"/>
  <c r="E47" i="1" s="1"/>
  <c r="J10" i="1" l="1"/>
  <c r="E10" i="1" s="1"/>
  <c r="J9" i="1"/>
  <c r="E9" i="1" s="1"/>
  <c r="J3" i="1"/>
  <c r="J2" i="1"/>
  <c r="M10" i="1"/>
  <c r="M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Berend van Veldhuizen</author>
  </authors>
  <commentList>
    <comment ref="X1" authorId="0" shapeId="0" xr:uid="{2382C663-84CB-471D-8579-BDC787F709D5}">
      <text>
        <r>
          <rPr>
            <b/>
            <sz val="9"/>
            <color indexed="81"/>
            <rFont val="Tahoma"/>
            <charset val="1"/>
          </rPr>
          <t>Berend van Veldhuizen:</t>
        </r>
        <r>
          <rPr>
            <sz val="9"/>
            <color indexed="81"/>
            <rFont val="Tahoma"/>
            <charset val="1"/>
          </rPr>
          <t xml:space="preserve">
31DF</t>
        </r>
      </text>
    </comment>
    <comment ref="K2" authorId="0" shapeId="0" xr:uid="{E2EED95C-9F42-484E-8174-E526310D8185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room</t>
        </r>
      </text>
    </comment>
    <comment ref="L2" authorId="0" shapeId="0" xr:uid="{757129B6-B3D6-4F19-BFCA-BCC50DCA7A49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unit</t>
        </r>
      </text>
    </comment>
    <comment ref="R8" authorId="0" shapeId="0" xr:uid="{52E3D732-C559-422E-B4DC-4CE617C3135C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based on efficiency</t>
        </r>
      </text>
    </comment>
    <comment ref="S8" authorId="0" shapeId="0" xr:uid="{EE0971E1-8DF8-44A8-8277-7C619B528F99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based on power</t>
        </r>
      </text>
    </comment>
    <comment ref="T8" authorId="0" shapeId="0" xr:uid="{D6F15FF1-0A53-421A-ADFE-104458C9BCEF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based on power</t>
        </r>
      </text>
    </comment>
    <comment ref="M9" authorId="0" shapeId="0" xr:uid="{EB5A7A59-02AA-4010-AE0A-F8742F0CF5F3}">
      <text>
        <r>
          <rPr>
            <b/>
            <sz val="9"/>
            <color indexed="81"/>
            <rFont val="Tahoma"/>
            <charset val="1"/>
          </rPr>
          <t>Berend van Veldhuizen:</t>
        </r>
        <r>
          <rPr>
            <sz val="9"/>
            <color indexed="81"/>
            <rFont val="Tahoma"/>
            <charset val="1"/>
          </rPr>
          <t xml:space="preserve">
combination of HS
 engine and generator Mitsubishi S16R-T2</t>
        </r>
      </text>
    </comment>
    <comment ref="M10" authorId="0" shapeId="0" xr:uid="{D38E7666-B14F-4B01-8C29-B8DA5380EB9E}">
      <text>
        <r>
          <rPr>
            <b/>
            <sz val="9"/>
            <color indexed="81"/>
            <rFont val="Tahoma"/>
            <charset val="1"/>
          </rPr>
          <t>Berend van Veldhuizen:</t>
        </r>
        <r>
          <rPr>
            <sz val="9"/>
            <color indexed="81"/>
            <rFont val="Tahoma"/>
            <charset val="1"/>
          </rPr>
          <t xml:space="preserve">
combination of HS engine and generator Mitsubishi S16R-T2</t>
        </r>
      </text>
    </comment>
    <comment ref="E12" authorId="0" shapeId="0" xr:uid="{69183A92-E5F9-434D-B6B3-5EF501ADCE50}">
      <text>
        <r>
          <rPr>
            <b/>
            <sz val="9"/>
            <color indexed="81"/>
            <rFont val="Tahoma"/>
            <charset val="1"/>
          </rPr>
          <t>Berend van Veldhuizen:</t>
        </r>
        <r>
          <rPr>
            <sz val="9"/>
            <color indexed="81"/>
            <rFont val="Tahoma"/>
            <charset val="1"/>
          </rPr>
          <t xml:space="preserve">
According to Cichowicz (2015)</t>
        </r>
      </text>
    </comment>
    <comment ref="Q15" authorId="0" shapeId="0" xr:uid="{98986537-521E-4FFB-985B-E4D4ACB9F5D8}">
      <text>
        <r>
          <rPr>
            <b/>
            <sz val="9"/>
            <color indexed="81"/>
            <rFont val="Tahoma"/>
            <charset val="1"/>
          </rPr>
          <t>Berend van Veldhuizen:</t>
        </r>
        <r>
          <rPr>
            <sz val="9"/>
            <color indexed="81"/>
            <rFont val="Tahoma"/>
            <charset val="1"/>
          </rPr>
          <t xml:space="preserve">
heat profiles amandine during sailing</t>
        </r>
      </text>
    </comment>
    <comment ref="M20" authorId="0" shapeId="0" xr:uid="{92DC478D-FC7D-4506-A46D-7FFA8B9F4907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Might be different for gas engine</t>
        </r>
      </text>
    </comment>
    <comment ref="X31" authorId="0" shapeId="0" xr:uid="{33C6ADB9-EB4E-484C-8F7E-56578C79C75F}">
      <text>
        <r>
          <rPr>
            <b/>
            <sz val="9"/>
            <color indexed="81"/>
            <rFont val="Tahoma"/>
            <charset val="1"/>
          </rPr>
          <t>Berend van Veldhuizen:</t>
        </r>
        <r>
          <rPr>
            <sz val="9"/>
            <color indexed="81"/>
            <rFont val="Tahoma"/>
            <charset val="1"/>
          </rPr>
          <t xml:space="preserve">
Normal start up takes 5 minutes</t>
        </r>
      </text>
    </comment>
    <comment ref="Y31" authorId="0" shapeId="0" xr:uid="{A8612094-AF0C-4D77-BA7A-9AB63865480A}">
      <text>
        <r>
          <rPr>
            <b/>
            <sz val="9"/>
            <color indexed="81"/>
            <rFont val="Tahoma"/>
            <charset val="1"/>
          </rPr>
          <t>Berend van Veldhuizen:</t>
        </r>
        <r>
          <rPr>
            <sz val="9"/>
            <color indexed="81"/>
            <rFont val="Tahoma"/>
            <charset val="1"/>
          </rPr>
          <t xml:space="preserve">
From loading curves</t>
        </r>
      </text>
    </comment>
    <comment ref="Z31" authorId="0" shapeId="0" xr:uid="{1234E01D-E64A-4619-BA6F-C75F5A881AA8}">
      <text>
        <r>
          <rPr>
            <b/>
            <sz val="9"/>
            <color indexed="81"/>
            <rFont val="Tahoma"/>
            <charset val="1"/>
          </rPr>
          <t>Berend van Veldhuizen:</t>
        </r>
        <r>
          <rPr>
            <sz val="9"/>
            <color indexed="81"/>
            <rFont val="Tahoma"/>
            <charset val="1"/>
          </rPr>
          <t xml:space="preserve">
From step load</t>
        </r>
      </text>
    </comment>
    <comment ref="Z32" authorId="0" shapeId="0" xr:uid="{D0B043C2-353F-4AC9-A4FC-EF1A9D859669}">
      <text>
        <r>
          <rPr>
            <b/>
            <sz val="9"/>
            <color indexed="81"/>
            <rFont val="Tahoma"/>
            <charset val="1"/>
          </rPr>
          <t>Berend van Veldhuizen:</t>
        </r>
        <r>
          <rPr>
            <sz val="9"/>
            <color indexed="81"/>
            <rFont val="Tahoma"/>
            <charset val="1"/>
          </rPr>
          <t xml:space="preserve">
from step load curve</t>
        </r>
      </text>
    </comment>
    <comment ref="P38" authorId="0" shapeId="0" xr:uid="{58DDA417-C161-4D3F-9051-05E5AB6022B8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personal communication</t>
        </r>
      </text>
    </comment>
    <comment ref="P45" authorId="0" shapeId="0" xr:uid="{00A87890-78B3-4021-BECA-EE19F1640CF5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review paper</t>
        </r>
      </text>
    </comment>
    <comment ref="P46" authorId="0" shapeId="0" xr:uid="{A9816EBC-81B0-488B-BE77-F61B4759D6D5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review paper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Berend van Veldhuizen</author>
  </authors>
  <commentList>
    <comment ref="E40" authorId="0" shapeId="0" xr:uid="{F802650D-F463-4693-ACD7-3B4AE07E2F12}">
      <text>
        <r>
          <rPr>
            <b/>
            <sz val="9"/>
            <color indexed="81"/>
            <rFont val="Tahoma"/>
            <charset val="1"/>
          </rPr>
          <t>Berend van Veldhuizen:</t>
        </r>
        <r>
          <rPr>
            <sz val="9"/>
            <color indexed="81"/>
            <rFont val="Tahoma"/>
            <charset val="1"/>
          </rPr>
          <t xml:space="preserve">
According to Alfa laval Aalborg 3 pass</t>
        </r>
      </text>
    </comment>
  </commentList>
</comments>
</file>

<file path=xl/sharedStrings.xml><?xml version="1.0" encoding="utf-8"?>
<sst xmlns="http://schemas.openxmlformats.org/spreadsheetml/2006/main" count="642" uniqueCount="162">
  <si>
    <t>Symbol</t>
  </si>
  <si>
    <t>Value</t>
  </si>
  <si>
    <t>Variable</t>
  </si>
  <si>
    <t>Component</t>
  </si>
  <si>
    <t>SOFC</t>
  </si>
  <si>
    <t>p_vol</t>
  </si>
  <si>
    <t>p_grav</t>
  </si>
  <si>
    <t>Unit</t>
  </si>
  <si>
    <t>kW/ton</t>
  </si>
  <si>
    <t>kW/m3</t>
  </si>
  <si>
    <t>e_vol</t>
  </si>
  <si>
    <t>e_grav</t>
  </si>
  <si>
    <t>LNG</t>
  </si>
  <si>
    <t>kWh/m3</t>
  </si>
  <si>
    <t>kWh/ton</t>
  </si>
  <si>
    <t>Volumetric power density</t>
  </si>
  <si>
    <t>Gravimetric power denstiy</t>
  </si>
  <si>
    <t>Volumetric energy density</t>
  </si>
  <si>
    <t>Gravimetric energy denstiy</t>
  </si>
  <si>
    <t>Safety margin fuel capacity</t>
  </si>
  <si>
    <t>Safety margin installed power</t>
  </si>
  <si>
    <t>DG</t>
  </si>
  <si>
    <t>BAT</t>
  </si>
  <si>
    <t>Reinout</t>
  </si>
  <si>
    <t>Baldi</t>
  </si>
  <si>
    <t>BOIL</t>
  </si>
  <si>
    <t>A</t>
  </si>
  <si>
    <t>B</t>
  </si>
  <si>
    <t>C</t>
  </si>
  <si>
    <t>Hotel</t>
  </si>
  <si>
    <t>Propulsion</t>
  </si>
  <si>
    <t>Full ship</t>
  </si>
  <si>
    <t>x</t>
  </si>
  <si>
    <t>Note</t>
  </si>
  <si>
    <t>Veldhuizen review</t>
  </si>
  <si>
    <t>Scaling analysis</t>
  </si>
  <si>
    <t>Haseltalab</t>
  </si>
  <si>
    <t>Lithium ion battery</t>
  </si>
  <si>
    <t>Type</t>
  </si>
  <si>
    <t>GG</t>
  </si>
  <si>
    <t>Transient capability</t>
  </si>
  <si>
    <t>a_trans</t>
  </si>
  <si>
    <t>Heat production ratio</t>
  </si>
  <si>
    <t>a_heat</t>
  </si>
  <si>
    <t>FCE 250kW</t>
  </si>
  <si>
    <t>Bosch</t>
  </si>
  <si>
    <t>Convion C60</t>
  </si>
  <si>
    <t>Bloom</t>
  </si>
  <si>
    <t>Solydera BG-60</t>
  </si>
  <si>
    <t>Average electric efficiency</t>
  </si>
  <si>
    <t>eta_el_avg</t>
  </si>
  <si>
    <t>Average heat efficiency</t>
  </si>
  <si>
    <t>Lindert</t>
  </si>
  <si>
    <t>Average thermal efficiency</t>
  </si>
  <si>
    <t>eta_th_avg</t>
  </si>
  <si>
    <t>Corvus orca</t>
  </si>
  <si>
    <t>MGO</t>
  </si>
  <si>
    <t>Installed power</t>
  </si>
  <si>
    <t>a_power</t>
  </si>
  <si>
    <t>a_fuel</t>
  </si>
  <si>
    <t>D</t>
  </si>
  <si>
    <t>All operations</t>
  </si>
  <si>
    <t>Manoeuvring</t>
  </si>
  <si>
    <t>Man</t>
  </si>
  <si>
    <t>Design scenario</t>
  </si>
  <si>
    <t>Hotel only</t>
  </si>
  <si>
    <t>/s</t>
  </si>
  <si>
    <t>of total power</t>
  </si>
  <si>
    <t>-</t>
  </si>
  <si>
    <t>kW/kWe</t>
  </si>
  <si>
    <t>Charge and discharge rate</t>
  </si>
  <si>
    <t>C_rate</t>
  </si>
  <si>
    <t>Project partners</t>
  </si>
  <si>
    <t>DS</t>
  </si>
  <si>
    <t>GHG</t>
  </si>
  <si>
    <t>TTW</t>
  </si>
  <si>
    <t>WTT</t>
  </si>
  <si>
    <t>NOx</t>
  </si>
  <si>
    <t>SOx</t>
  </si>
  <si>
    <t>Chain</t>
  </si>
  <si>
    <t>g/kWhe</t>
  </si>
  <si>
    <t>g CO2-eq/kWhe</t>
  </si>
  <si>
    <t>LB</t>
  </si>
  <si>
    <t>UB</t>
  </si>
  <si>
    <t>Fuel</t>
  </si>
  <si>
    <t>eta_el_eol</t>
  </si>
  <si>
    <t>End of life electric efficiency</t>
  </si>
  <si>
    <t>Alfa laval</t>
  </si>
  <si>
    <t>g/kWh heat</t>
  </si>
  <si>
    <t>g CO2-eq/kWh heat</t>
  </si>
  <si>
    <t>Low sulphur oil &lt;0.1% S</t>
  </si>
  <si>
    <t>DFG</t>
  </si>
  <si>
    <t>Wartsilla</t>
  </si>
  <si>
    <t>MAN</t>
  </si>
  <si>
    <t>CSI</t>
  </si>
  <si>
    <t>Pilot fuel ratio</t>
  </si>
  <si>
    <t>a_pilot</t>
  </si>
  <si>
    <t>All_power</t>
  </si>
  <si>
    <t>Benchmark 1</t>
  </si>
  <si>
    <t>Benchmark 2</t>
  </si>
  <si>
    <t>GEN</t>
  </si>
  <si>
    <t>100% DFG</t>
  </si>
  <si>
    <t>100% GG</t>
  </si>
  <si>
    <t>GG has lower transient capability so required battery capacity increases</t>
  </si>
  <si>
    <t>Implication</t>
  </si>
  <si>
    <t>Remainder GG</t>
  </si>
  <si>
    <t>Remainder DFG</t>
  </si>
  <si>
    <t>Gas engines only aboard to fullfill power requirements</t>
  </si>
  <si>
    <t>Run GG on LNG</t>
  </si>
  <si>
    <t>Run aux SOFC on LNG
Run prop DFG on LNG with pilot fuel</t>
  </si>
  <si>
    <t>Run aux and man SOFC on LNG
Run prop - man DFG on LNG with pilot fuel</t>
  </si>
  <si>
    <t>Run with SOFC on LNG</t>
  </si>
  <si>
    <t>Used same emissions as LNG-fueled GG</t>
  </si>
  <si>
    <t>Fuel tank dimensioning</t>
  </si>
  <si>
    <t>Operation standard iternary</t>
  </si>
  <si>
    <t>LNG: Sufficient for standard itinerary on DFG
MGO: Pilot fuel + extend range to requirements</t>
  </si>
  <si>
    <t>LNG: full range requirement on GG</t>
  </si>
  <si>
    <t>LNG: aux and man for full range on SOFC + propulsion of standard itinerary with DFG
MGO: pilot fuel + extend to range requirement for propulsion</t>
  </si>
  <si>
    <t>LNG: aux for full range on SOFC + propulsion of standard itinerary with DFG
MGO: pilot fuel + extend to range requirement for propulsion</t>
  </si>
  <si>
    <t>LNG: Full range requirement with SOFC</t>
  </si>
  <si>
    <t>Dual fuel gensets</t>
  </si>
  <si>
    <t>Gas gensets</t>
  </si>
  <si>
    <t>SOFC for hotel load</t>
  </si>
  <si>
    <t>SOFC for hotel and maneuvring</t>
  </si>
  <si>
    <t>SOFC for main operations</t>
  </si>
  <si>
    <t>Fully SOFC powered ship</t>
  </si>
  <si>
    <t>Mean</t>
  </si>
  <si>
    <t>MGO gensets</t>
  </si>
  <si>
    <t>100% DG</t>
  </si>
  <si>
    <t xml:space="preserve">
MGO: Pilot fuel + extend range to requirements</t>
  </si>
  <si>
    <t>Benchmark 3</t>
  </si>
  <si>
    <t xml:space="preserve"> </t>
  </si>
  <si>
    <t xml:space="preserve">  </t>
  </si>
  <si>
    <t>Generator efficiency</t>
  </si>
  <si>
    <t>eff_gen</t>
  </si>
  <si>
    <t>Source</t>
  </si>
  <si>
    <t>Baldi (2020)</t>
  </si>
  <si>
    <t>Inverter efficiency</t>
  </si>
  <si>
    <t>eff_ACDC</t>
  </si>
  <si>
    <t>eff_DCDC</t>
  </si>
  <si>
    <t>Converter efficiency</t>
  </si>
  <si>
    <t>Main operations</t>
  </si>
  <si>
    <t>Run DG on MGO</t>
  </si>
  <si>
    <t>Run DFG on LNG with MGO pilot fuel</t>
  </si>
  <si>
    <t>All operations DG</t>
  </si>
  <si>
    <t>Main operations DFG</t>
  </si>
  <si>
    <t>All operations GG</t>
  </si>
  <si>
    <t>Hotel SOFC
Propulsion DFG</t>
  </si>
  <si>
    <t>Pilot fuel DFG
Range extender DFG</t>
  </si>
  <si>
    <t>AUX &amp; MAN SOFC
Remainder DFG</t>
  </si>
  <si>
    <t>Fuel dimensioning</t>
  </si>
  <si>
    <t>P_AUX</t>
  </si>
  <si>
    <t>P_AUX+P_MAN</t>
  </si>
  <si>
    <t>P_AUX+P_PROP</t>
  </si>
  <si>
    <t>Haseltaleb</t>
  </si>
  <si>
    <t>Veldhuizen - hyper</t>
  </si>
  <si>
    <t>kg/kg</t>
  </si>
  <si>
    <t>Reference 1</t>
  </si>
  <si>
    <t>Reference 2</t>
  </si>
  <si>
    <t>Reference 3</t>
  </si>
  <si>
    <t>from SOFC map</t>
  </si>
  <si>
    <t>from SOFC map includes generator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</si>
</sst>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000"/>
    <numFmt numFmtId="165" formatCode="_ * #,##0_ ;_ * \-#,##0_ ;_ * &quot;-&quot;??_ ;_ @_ "/>
    <numFmt numFmtId="167" formatCode="0.0%"/>
    <numFmt numFmtId="168" formatCode="0.00000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1" fontId="0" fillId="0" borderId="0" xfId="0" applyNumberFormat="1"/>
    <xf numFmtId="43" fontId="0" fillId="0" borderId="0" xfId="1" applyFont="1"/>
    <xf numFmtId="43" fontId="1" fillId="0" borderId="0" xfId="1" applyFont="1"/>
    <xf numFmtId="2" fontId="0" fillId="0" borderId="0" xfId="0" applyNumberFormat="1"/>
    <xf numFmtId="164" fontId="0" fillId="0" borderId="0" xfId="0" applyNumberFormat="1"/>
    <xf numFmtId="164" fontId="0" fillId="0" borderId="0" xfId="1" applyNumberFormat="1" applyFont="1"/>
    <xf numFmtId="165" fontId="0" fillId="0" borderId="0" xfId="1" applyNumberFormat="1" applyFont="1"/>
    <xf numFmtId="0" fontId="0" fillId="0" borderId="0" xfId="0" applyAlignment="1">
      <alignment horizontal="center"/>
    </xf>
    <xf numFmtId="43" fontId="0" fillId="0" borderId="0" xfId="1" applyFont="1" applyFill="1" applyBorder="1"/>
    <xf numFmtId="43" fontId="0" fillId="0" borderId="0" xfId="0" applyNumberFormat="1"/>
    <xf numFmtId="0" fontId="8" fillId="2" borderId="0" xfId="0" applyFont="1" applyFill="1"/>
    <xf numFmtId="2" fontId="8" fillId="2" borderId="0" xfId="0" applyNumberFormat="1" applyFont="1" applyFill="1"/>
    <xf numFmtId="43" fontId="8" fillId="2" borderId="0" xfId="1" applyFont="1" applyFill="1"/>
    <xf numFmtId="164" fontId="8" fillId="2" borderId="0" xfId="0" applyNumberFormat="1" applyFont="1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3" fontId="0" fillId="0" borderId="0" xfId="1" applyFont="1" applyFill="1"/>
    <xf numFmtId="0" fontId="7" fillId="0" borderId="0" xfId="0" applyFont="1"/>
    <xf numFmtId="43" fontId="7" fillId="0" borderId="0" xfId="1" applyFont="1" applyFill="1"/>
    <xf numFmtId="0" fontId="0" fillId="0" borderId="0" xfId="0" applyAlignment="1">
      <alignment vertical="center"/>
    </xf>
    <xf numFmtId="0" fontId="0" fillId="0" borderId="0" xfId="0" quotePrefix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8" fillId="3" borderId="0" xfId="0" applyFont="1" applyFill="1"/>
    <xf numFmtId="2" fontId="8" fillId="3" borderId="0" xfId="0" applyNumberFormat="1" applyFont="1" applyFill="1"/>
    <xf numFmtId="43" fontId="8" fillId="3" borderId="0" xfId="1" applyFont="1" applyFill="1"/>
    <xf numFmtId="167" fontId="0" fillId="0" borderId="0" xfId="2" applyNumberFormat="1" applyFont="1"/>
    <xf numFmtId="168" fontId="0" fillId="0" borderId="0" xfId="2" applyNumberFormat="1" applyFont="1"/>
    <xf numFmtId="0" fontId="0" fillId="0" borderId="0" xfId="0" quotePrefix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quotePrefix="1" applyAlignment="1">
      <alignment horizontal="center"/>
    </xf>
    <xf numFmtId="0" fontId="1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3B96E-A86C-4E8F-B06A-DA037AC45F45}">
  <dimension ref="A1:AC48"/>
  <sheetViews>
    <sheetView topLeftCell="A19" workbookViewId="0">
      <selection activeCell="E37" sqref="E37"/>
    </sheetView>
  </sheetViews>
  <sheetFormatPr defaultRowHeight="15" x14ac:dyDescent="0.25"/>
  <cols>
    <col min="1" max="1" width="28.85546875" bestFit="1" customWidth="1"/>
    <col min="2" max="2" width="11.42578125" bestFit="1" customWidth="1"/>
    <col min="3" max="3" width="11.42578125" customWidth="1"/>
    <col min="4" max="4" width="12" bestFit="1" customWidth="1"/>
    <col min="6" max="6" width="10.7109375" bestFit="1" customWidth="1"/>
    <col min="7" max="7" width="18.140625" bestFit="1" customWidth="1"/>
    <col min="8" max="8" width="13.7109375" bestFit="1" customWidth="1"/>
    <col min="10" max="10" width="18" bestFit="1" customWidth="1"/>
    <col min="13" max="13" width="14.7109375" bestFit="1" customWidth="1"/>
    <col min="14" max="14" width="10.28515625" style="3" bestFit="1" customWidth="1"/>
    <col min="17" max="17" width="16.7109375" bestFit="1" customWidth="1"/>
    <col min="18" max="18" width="14.5703125" bestFit="1" customWidth="1"/>
    <col min="21" max="21" width="11.85546875" bestFit="1" customWidth="1"/>
    <col min="23" max="23" width="12" bestFit="1" customWidth="1"/>
    <col min="24" max="24" width="12" customWidth="1"/>
  </cols>
  <sheetData>
    <row r="1" spans="1:29" x14ac:dyDescent="0.25">
      <c r="A1" s="1" t="s">
        <v>2</v>
      </c>
      <c r="B1" s="1" t="s">
        <v>3</v>
      </c>
      <c r="C1" s="1" t="s">
        <v>84</v>
      </c>
      <c r="D1" s="1" t="s">
        <v>0</v>
      </c>
      <c r="E1" s="1" t="s">
        <v>1</v>
      </c>
      <c r="F1" s="1" t="s">
        <v>7</v>
      </c>
      <c r="G1" s="1" t="s">
        <v>38</v>
      </c>
      <c r="H1" s="1" t="s">
        <v>33</v>
      </c>
      <c r="I1" s="1" t="s">
        <v>126</v>
      </c>
      <c r="J1" s="1" t="s">
        <v>34</v>
      </c>
      <c r="K1" s="1" t="s">
        <v>35</v>
      </c>
      <c r="L1" s="1"/>
      <c r="M1" s="1" t="s">
        <v>24</v>
      </c>
      <c r="N1" s="4" t="s">
        <v>36</v>
      </c>
      <c r="O1" s="1" t="s">
        <v>23</v>
      </c>
      <c r="P1" s="1" t="s">
        <v>52</v>
      </c>
      <c r="Q1" s="1" t="s">
        <v>72</v>
      </c>
      <c r="R1" s="1" t="s">
        <v>48</v>
      </c>
      <c r="S1" s="1" t="s">
        <v>44</v>
      </c>
      <c r="T1" s="1" t="s">
        <v>45</v>
      </c>
      <c r="U1" s="1" t="s">
        <v>46</v>
      </c>
      <c r="V1" s="1" t="s">
        <v>47</v>
      </c>
      <c r="W1" s="1" t="s">
        <v>55</v>
      </c>
      <c r="X1" s="1" t="s">
        <v>92</v>
      </c>
      <c r="Z1" s="1"/>
      <c r="AA1" s="1" t="s">
        <v>93</v>
      </c>
      <c r="AB1" s="1" t="s">
        <v>94</v>
      </c>
      <c r="AC1" s="1" t="s">
        <v>87</v>
      </c>
    </row>
    <row r="2" spans="1:29" x14ac:dyDescent="0.25">
      <c r="A2" t="s">
        <v>15</v>
      </c>
      <c r="B2" t="s">
        <v>4</v>
      </c>
      <c r="C2" t="s">
        <v>12</v>
      </c>
      <c r="D2" t="s">
        <v>5</v>
      </c>
      <c r="E2">
        <v>15</v>
      </c>
      <c r="F2" t="s">
        <v>9</v>
      </c>
      <c r="I2" s="5">
        <f>GEOMEAN(J2:AS2)</f>
        <v>7.4189172736570264</v>
      </c>
      <c r="J2">
        <f>(2+28)/2</f>
        <v>15</v>
      </c>
      <c r="K2">
        <v>5.7</v>
      </c>
      <c r="L2">
        <v>17.399999999999999</v>
      </c>
      <c r="M2">
        <v>5</v>
      </c>
      <c r="N2" s="3">
        <f>1/50*1000</f>
        <v>20</v>
      </c>
      <c r="R2">
        <v>3.5</v>
      </c>
      <c r="S2">
        <v>4.4000000000000004</v>
      </c>
      <c r="T2">
        <v>5.2</v>
      </c>
      <c r="U2">
        <v>4</v>
      </c>
      <c r="V2">
        <v>10.6</v>
      </c>
    </row>
    <row r="3" spans="1:29" x14ac:dyDescent="0.25">
      <c r="A3" t="s">
        <v>16</v>
      </c>
      <c r="B3" t="s">
        <v>4</v>
      </c>
      <c r="C3" t="s">
        <v>12</v>
      </c>
      <c r="D3" t="s">
        <v>6</v>
      </c>
      <c r="E3">
        <v>25</v>
      </c>
      <c r="F3" t="s">
        <v>8</v>
      </c>
      <c r="I3" s="5">
        <f t="shared" ref="I3:I8" si="0">GEOMEAN(J3:AS3)</f>
        <v>22.767843342835526</v>
      </c>
      <c r="J3">
        <f>(5+30)/2</f>
        <v>17.5</v>
      </c>
      <c r="M3">
        <v>60</v>
      </c>
      <c r="N3" s="3">
        <f>1/30*1000</f>
        <v>33.333333333333336</v>
      </c>
      <c r="R3">
        <v>9.1999999999999993</v>
      </c>
      <c r="V3">
        <v>19</v>
      </c>
    </row>
    <row r="4" spans="1:29" x14ac:dyDescent="0.25">
      <c r="A4" t="s">
        <v>49</v>
      </c>
      <c r="B4" t="s">
        <v>4</v>
      </c>
      <c r="C4" t="s">
        <v>12</v>
      </c>
      <c r="D4" t="s">
        <v>50</v>
      </c>
      <c r="E4">
        <v>0.55000000000000004</v>
      </c>
      <c r="F4" t="s">
        <v>68</v>
      </c>
      <c r="I4" s="5">
        <f t="shared" si="0"/>
        <v>0.54497706373754851</v>
      </c>
      <c r="J4">
        <f>(0.43+0.65)/2</f>
        <v>0.54</v>
      </c>
      <c r="P4">
        <v>0.55000000000000004</v>
      </c>
    </row>
    <row r="5" spans="1:29" x14ac:dyDescent="0.25">
      <c r="A5" t="s">
        <v>86</v>
      </c>
      <c r="B5" t="s">
        <v>4</v>
      </c>
      <c r="C5" t="s">
        <v>12</v>
      </c>
      <c r="D5" t="s">
        <v>85</v>
      </c>
      <c r="E5" s="5">
        <v>0.4945</v>
      </c>
      <c r="F5" t="s">
        <v>68</v>
      </c>
      <c r="H5" t="s">
        <v>160</v>
      </c>
      <c r="I5" s="5">
        <f t="shared" si="0"/>
        <v>0.48</v>
      </c>
      <c r="R5">
        <f>0.8*0.6</f>
        <v>0.48</v>
      </c>
    </row>
    <row r="6" spans="1:29" s="26" customFormat="1" x14ac:dyDescent="0.25">
      <c r="A6" s="26" t="s">
        <v>53</v>
      </c>
      <c r="B6" s="26" t="s">
        <v>4</v>
      </c>
      <c r="C6" s="26" t="s">
        <v>12</v>
      </c>
      <c r="D6" s="26" t="s">
        <v>54</v>
      </c>
      <c r="E6" s="26">
        <v>0.27</v>
      </c>
      <c r="F6" s="26" t="s">
        <v>68</v>
      </c>
      <c r="I6" s="27">
        <f t="shared" si="0"/>
        <v>0.27829421135795079</v>
      </c>
      <c r="M6" s="26">
        <v>0.27</v>
      </c>
      <c r="N6" s="28"/>
      <c r="R6" s="26">
        <f>0.89-0.57</f>
        <v>0.32000000000000006</v>
      </c>
      <c r="S6" s="26">
        <f>0.9-0.62</f>
        <v>0.28000000000000003</v>
      </c>
      <c r="T6" s="26">
        <f>0.9-0.6</f>
        <v>0.30000000000000004</v>
      </c>
      <c r="U6" s="26">
        <v>0.23</v>
      </c>
    </row>
    <row r="7" spans="1:29" x14ac:dyDescent="0.25">
      <c r="A7" t="s">
        <v>40</v>
      </c>
      <c r="B7" t="s">
        <v>4</v>
      </c>
      <c r="C7" t="s">
        <v>12</v>
      </c>
      <c r="D7" t="s">
        <v>41</v>
      </c>
      <c r="E7" s="6">
        <f>J7</f>
        <v>1E-3</v>
      </c>
      <c r="F7" t="s">
        <v>66</v>
      </c>
      <c r="G7" s="29">
        <f>E7*60</f>
        <v>0.06</v>
      </c>
      <c r="H7" t="s">
        <v>67</v>
      </c>
      <c r="I7" s="6">
        <f t="shared" si="0"/>
        <v>8.9188258501584478E-4</v>
      </c>
      <c r="J7" s="6">
        <f>(2+10)/2/60/100</f>
        <v>1E-3</v>
      </c>
      <c r="K7" s="6"/>
      <c r="L7" s="6"/>
      <c r="M7" s="6"/>
      <c r="N7" s="7">
        <f>1/(880/70)/100</f>
        <v>7.9545454545454548E-4</v>
      </c>
    </row>
    <row r="8" spans="1:29" x14ac:dyDescent="0.25">
      <c r="A8" t="s">
        <v>42</v>
      </c>
      <c r="B8" t="s">
        <v>4</v>
      </c>
      <c r="C8" t="s">
        <v>12</v>
      </c>
      <c r="D8" t="s">
        <v>43</v>
      </c>
      <c r="E8">
        <f>0.45</f>
        <v>0.45</v>
      </c>
      <c r="F8" t="s">
        <v>69</v>
      </c>
      <c r="I8" s="5">
        <f t="shared" si="0"/>
        <v>0.44810535186290529</v>
      </c>
      <c r="J8" s="30"/>
      <c r="R8">
        <v>0.45</v>
      </c>
      <c r="S8">
        <f>112/250</f>
        <v>0.44800000000000001</v>
      </c>
      <c r="T8">
        <f>50/100</f>
        <v>0.5</v>
      </c>
      <c r="U8">
        <f>24/60</f>
        <v>0.4</v>
      </c>
    </row>
    <row r="9" spans="1:29" x14ac:dyDescent="0.25">
      <c r="A9" t="s">
        <v>15</v>
      </c>
      <c r="B9" t="s">
        <v>21</v>
      </c>
      <c r="C9" t="s">
        <v>56</v>
      </c>
      <c r="D9" t="s">
        <v>5</v>
      </c>
      <c r="E9">
        <f>J9</f>
        <v>45</v>
      </c>
      <c r="F9" t="s">
        <v>9</v>
      </c>
      <c r="J9">
        <f>(30+60)/2</f>
        <v>45</v>
      </c>
      <c r="M9">
        <f>1/(1/195+1/125)</f>
        <v>76.171875</v>
      </c>
      <c r="N9"/>
    </row>
    <row r="10" spans="1:29" x14ac:dyDescent="0.25">
      <c r="A10" t="s">
        <v>16</v>
      </c>
      <c r="B10" t="s">
        <v>21</v>
      </c>
      <c r="C10" t="s">
        <v>56</v>
      </c>
      <c r="D10" t="s">
        <v>6</v>
      </c>
      <c r="E10">
        <f>J10</f>
        <v>60</v>
      </c>
      <c r="F10" t="s">
        <v>8</v>
      </c>
      <c r="J10">
        <f>(45+75)/2</f>
        <v>60</v>
      </c>
      <c r="M10">
        <f>1/(1/250+1/212)</f>
        <v>114.71861471861473</v>
      </c>
      <c r="N10"/>
    </row>
    <row r="11" spans="1:29" x14ac:dyDescent="0.25">
      <c r="A11" t="s">
        <v>49</v>
      </c>
      <c r="B11" t="s">
        <v>21</v>
      </c>
      <c r="C11" t="s">
        <v>56</v>
      </c>
      <c r="D11" t="s">
        <v>50</v>
      </c>
      <c r="E11">
        <v>0.39</v>
      </c>
      <c r="F11" t="s">
        <v>68</v>
      </c>
      <c r="J11">
        <f>(30+45)/2/100</f>
        <v>0.375</v>
      </c>
      <c r="N11"/>
      <c r="P11">
        <f>(0.35+0.45)/2</f>
        <v>0.4</v>
      </c>
    </row>
    <row r="12" spans="1:29" x14ac:dyDescent="0.25">
      <c r="A12" t="s">
        <v>86</v>
      </c>
      <c r="B12" t="s">
        <v>21</v>
      </c>
      <c r="C12" t="s">
        <v>56</v>
      </c>
      <c r="D12" t="s">
        <v>85</v>
      </c>
      <c r="E12">
        <f>0.95*0.383</f>
        <v>0.36385000000000001</v>
      </c>
      <c r="F12" t="s">
        <v>68</v>
      </c>
      <c r="H12" t="s">
        <v>161</v>
      </c>
      <c r="N12"/>
    </row>
    <row r="13" spans="1:29" s="12" customFormat="1" x14ac:dyDescent="0.25">
      <c r="A13" s="12" t="s">
        <v>53</v>
      </c>
      <c r="B13" s="12" t="s">
        <v>21</v>
      </c>
      <c r="C13" s="12" t="s">
        <v>56</v>
      </c>
      <c r="D13" s="12" t="s">
        <v>54</v>
      </c>
      <c r="E13" s="13">
        <f>M13</f>
        <v>0.28700000000000003</v>
      </c>
      <c r="F13" s="12" t="s">
        <v>68</v>
      </c>
      <c r="M13" s="13">
        <f>(0.156+0.131)</f>
        <v>0.28700000000000003</v>
      </c>
      <c r="N13" s="14"/>
    </row>
    <row r="14" spans="1:29" x14ac:dyDescent="0.25">
      <c r="A14" t="s">
        <v>40</v>
      </c>
      <c r="B14" t="s">
        <v>21</v>
      </c>
      <c r="C14" t="s">
        <v>56</v>
      </c>
      <c r="D14" t="s">
        <v>41</v>
      </c>
      <c r="E14" s="6">
        <f>E31</f>
        <v>2.6562499999999999E-2</v>
      </c>
      <c r="F14" t="s">
        <v>66</v>
      </c>
      <c r="G14" s="29"/>
      <c r="H14" t="s">
        <v>67</v>
      </c>
      <c r="I14" s="6">
        <f>GEOMEAN(J14:AS14)</f>
        <v>2.4152294576982401E-3</v>
      </c>
      <c r="J14">
        <f>(10+20)/2/60/100</f>
        <v>2.5000000000000001E-3</v>
      </c>
      <c r="N14">
        <f>1/(300/70)/100</f>
        <v>2.3333333333333335E-3</v>
      </c>
    </row>
    <row r="15" spans="1:29" x14ac:dyDescent="0.25">
      <c r="A15" t="s">
        <v>42</v>
      </c>
      <c r="B15" t="s">
        <v>21</v>
      </c>
      <c r="C15" t="s">
        <v>56</v>
      </c>
      <c r="D15" t="s">
        <v>43</v>
      </c>
      <c r="E15" s="5">
        <f>E33</f>
        <v>0.3</v>
      </c>
      <c r="F15" t="s">
        <v>69</v>
      </c>
      <c r="N15"/>
      <c r="Q15">
        <f>(10104+9724)/40915</f>
        <v>0.48461444458022729</v>
      </c>
    </row>
    <row r="16" spans="1:29" x14ac:dyDescent="0.25">
      <c r="A16" t="s">
        <v>15</v>
      </c>
      <c r="B16" t="s">
        <v>39</v>
      </c>
      <c r="C16" t="s">
        <v>12</v>
      </c>
      <c r="D16" t="s">
        <v>5</v>
      </c>
      <c r="E16">
        <f>E23</f>
        <v>40</v>
      </c>
      <c r="F16" t="s">
        <v>9</v>
      </c>
      <c r="I16">
        <f>GEOMEAN(J16:AS16)</f>
        <v>50</v>
      </c>
      <c r="N16">
        <f>1/20*1000</f>
        <v>50</v>
      </c>
    </row>
    <row r="17" spans="1:28" x14ac:dyDescent="0.25">
      <c r="A17" t="s">
        <v>16</v>
      </c>
      <c r="B17" t="s">
        <v>39</v>
      </c>
      <c r="C17" t="s">
        <v>12</v>
      </c>
      <c r="D17" t="s">
        <v>6</v>
      </c>
      <c r="E17" s="11">
        <f>E24</f>
        <v>50</v>
      </c>
      <c r="F17" t="s">
        <v>8</v>
      </c>
      <c r="I17" s="5">
        <f t="shared" ref="I17:I18" si="1">GEOMEAN(J17:AS17)</f>
        <v>66.666666666666671</v>
      </c>
      <c r="M17" s="2"/>
      <c r="N17" s="20">
        <f>1/15*1000</f>
        <v>66.666666666666671</v>
      </c>
    </row>
    <row r="18" spans="1:28" s="21" customFormat="1" x14ac:dyDescent="0.25">
      <c r="A18" s="21" t="s">
        <v>49</v>
      </c>
      <c r="B18" s="21" t="s">
        <v>39</v>
      </c>
      <c r="C18" s="21" t="s">
        <v>12</v>
      </c>
      <c r="D18" s="21" t="s">
        <v>50</v>
      </c>
      <c r="E18" s="21">
        <f>P18</f>
        <v>0.41</v>
      </c>
      <c r="F18" s="21" t="s">
        <v>68</v>
      </c>
      <c r="I18" s="5">
        <f t="shared" si="1"/>
        <v>0.41</v>
      </c>
      <c r="N18" s="22"/>
      <c r="P18" s="21">
        <f>(0.35+0.47)/2</f>
        <v>0.41</v>
      </c>
    </row>
    <row r="19" spans="1:28" x14ac:dyDescent="0.25">
      <c r="A19" t="s">
        <v>86</v>
      </c>
      <c r="B19" t="s">
        <v>39</v>
      </c>
      <c r="C19" t="s">
        <v>12</v>
      </c>
      <c r="D19" t="s">
        <v>85</v>
      </c>
      <c r="E19" s="6">
        <f>0.95*0.3661</f>
        <v>0.34779499999999997</v>
      </c>
      <c r="F19" t="s">
        <v>68</v>
      </c>
      <c r="H19" t="s">
        <v>161</v>
      </c>
      <c r="I19" s="5"/>
      <c r="N19" s="20"/>
    </row>
    <row r="20" spans="1:28" s="12" customFormat="1" x14ac:dyDescent="0.25">
      <c r="A20" s="12" t="s">
        <v>53</v>
      </c>
      <c r="B20" s="12" t="s">
        <v>39</v>
      </c>
      <c r="C20" s="12" t="s">
        <v>12</v>
      </c>
      <c r="D20" s="12" t="s">
        <v>54</v>
      </c>
      <c r="E20" s="13">
        <f>M20</f>
        <v>0.28700000000000003</v>
      </c>
      <c r="F20" s="12" t="s">
        <v>68</v>
      </c>
      <c r="M20" s="13">
        <f>(0.156+0.131)</f>
        <v>0.28700000000000003</v>
      </c>
      <c r="N20" s="14"/>
    </row>
    <row r="21" spans="1:28" x14ac:dyDescent="0.25">
      <c r="A21" t="s">
        <v>40</v>
      </c>
      <c r="B21" t="s">
        <v>39</v>
      </c>
      <c r="C21" t="s">
        <v>12</v>
      </c>
      <c r="D21" t="s">
        <v>41</v>
      </c>
      <c r="E21" s="6">
        <f>E32</f>
        <v>1.3492063492063491E-2</v>
      </c>
      <c r="F21" t="s">
        <v>66</v>
      </c>
      <c r="G21" s="29"/>
      <c r="I21" s="6">
        <f>GEOMEAN(J21:AS21)</f>
        <v>1.8E-3</v>
      </c>
      <c r="J21" s="6">
        <v>1.8E-3</v>
      </c>
      <c r="M21" s="2"/>
      <c r="N21" s="20"/>
    </row>
    <row r="22" spans="1:28" x14ac:dyDescent="0.25">
      <c r="A22" t="s">
        <v>42</v>
      </c>
      <c r="B22" t="s">
        <v>39</v>
      </c>
      <c r="C22" t="s">
        <v>12</v>
      </c>
      <c r="D22" t="s">
        <v>43</v>
      </c>
      <c r="E22" s="5">
        <f>E34</f>
        <v>0.36</v>
      </c>
      <c r="F22" t="s">
        <v>69</v>
      </c>
      <c r="I22" s="5"/>
      <c r="J22" s="5"/>
      <c r="M22" s="2"/>
      <c r="N22" s="10"/>
    </row>
    <row r="23" spans="1:28" x14ac:dyDescent="0.25">
      <c r="A23" t="s">
        <v>15</v>
      </c>
      <c r="B23" t="s">
        <v>91</v>
      </c>
      <c r="C23" t="s">
        <v>68</v>
      </c>
      <c r="D23" t="s">
        <v>5</v>
      </c>
      <c r="E23" s="11">
        <v>40</v>
      </c>
      <c r="F23" t="s">
        <v>9</v>
      </c>
      <c r="I23" s="5">
        <f t="shared" ref="I23:I24" si="2">GEOMEAN(J23:AS23)</f>
        <v>39.105961353082378</v>
      </c>
      <c r="J23" s="5"/>
      <c r="M23" s="2"/>
      <c r="N23" s="10"/>
      <c r="X23">
        <v>38.17</v>
      </c>
      <c r="Y23">
        <v>45.65</v>
      </c>
      <c r="AA23">
        <v>40.040999999999997</v>
      </c>
      <c r="AB23">
        <v>33.520000000000003</v>
      </c>
    </row>
    <row r="24" spans="1:28" x14ac:dyDescent="0.25">
      <c r="A24" t="s">
        <v>16</v>
      </c>
      <c r="B24" t="s">
        <v>91</v>
      </c>
      <c r="C24" t="s">
        <v>68</v>
      </c>
      <c r="D24" t="s">
        <v>6</v>
      </c>
      <c r="E24" s="11">
        <v>50</v>
      </c>
      <c r="F24" t="s">
        <v>8</v>
      </c>
      <c r="I24" s="5">
        <f t="shared" si="2"/>
        <v>51.371628723313215</v>
      </c>
      <c r="J24" s="5"/>
      <c r="M24" s="2"/>
      <c r="N24" s="10"/>
      <c r="X24">
        <v>57.41</v>
      </c>
      <c r="Y24">
        <v>61.44</v>
      </c>
      <c r="AA24">
        <v>40.229999999999997</v>
      </c>
      <c r="AB24">
        <v>49.08</v>
      </c>
    </row>
    <row r="25" spans="1:28" x14ac:dyDescent="0.25">
      <c r="A25" t="s">
        <v>49</v>
      </c>
      <c r="B25" t="s">
        <v>91</v>
      </c>
      <c r="C25" t="s">
        <v>56</v>
      </c>
      <c r="D25" t="s">
        <v>50</v>
      </c>
      <c r="E25">
        <f>E11</f>
        <v>0.39</v>
      </c>
      <c r="F25" t="s">
        <v>68</v>
      </c>
      <c r="I25" s="5"/>
      <c r="J25" s="5"/>
      <c r="M25" s="2"/>
      <c r="N25" s="10"/>
    </row>
    <row r="26" spans="1:28" x14ac:dyDescent="0.25">
      <c r="A26" t="s">
        <v>49</v>
      </c>
      <c r="B26" t="s">
        <v>91</v>
      </c>
      <c r="C26" t="s">
        <v>12</v>
      </c>
      <c r="D26" t="s">
        <v>50</v>
      </c>
      <c r="E26">
        <f>E18</f>
        <v>0.41</v>
      </c>
      <c r="F26" t="s">
        <v>68</v>
      </c>
      <c r="I26" s="5"/>
      <c r="J26" s="5"/>
      <c r="M26" s="2"/>
      <c r="N26" s="10"/>
    </row>
    <row r="27" spans="1:28" x14ac:dyDescent="0.25">
      <c r="A27" t="s">
        <v>86</v>
      </c>
      <c r="B27" t="s">
        <v>91</v>
      </c>
      <c r="C27" t="s">
        <v>56</v>
      </c>
      <c r="D27" t="s">
        <v>85</v>
      </c>
      <c r="E27" s="6">
        <f>E12</f>
        <v>0.36385000000000001</v>
      </c>
      <c r="F27" t="s">
        <v>68</v>
      </c>
      <c r="I27" s="5"/>
      <c r="J27" s="5"/>
      <c r="M27" s="2"/>
      <c r="N27" s="10"/>
    </row>
    <row r="28" spans="1:28" x14ac:dyDescent="0.25">
      <c r="A28" t="s">
        <v>86</v>
      </c>
      <c r="B28" t="s">
        <v>91</v>
      </c>
      <c r="C28" t="s">
        <v>12</v>
      </c>
      <c r="D28" t="s">
        <v>85</v>
      </c>
      <c r="E28" s="6">
        <f>E19</f>
        <v>0.34779499999999997</v>
      </c>
      <c r="F28" t="s">
        <v>68</v>
      </c>
      <c r="H28" t="s">
        <v>161</v>
      </c>
      <c r="I28" s="5"/>
      <c r="J28" s="5"/>
      <c r="M28" s="2"/>
      <c r="N28" s="10"/>
    </row>
    <row r="29" spans="1:28" s="12" customFormat="1" x14ac:dyDescent="0.25">
      <c r="A29" s="12" t="s">
        <v>53</v>
      </c>
      <c r="B29" s="12" t="s">
        <v>91</v>
      </c>
      <c r="C29" s="12" t="s">
        <v>56</v>
      </c>
      <c r="D29" s="12" t="s">
        <v>54</v>
      </c>
      <c r="E29" s="13">
        <f>E13</f>
        <v>0.28700000000000003</v>
      </c>
      <c r="F29" s="12" t="s">
        <v>68</v>
      </c>
    </row>
    <row r="30" spans="1:28" s="12" customFormat="1" x14ac:dyDescent="0.25">
      <c r="A30" s="12" t="s">
        <v>53</v>
      </c>
      <c r="B30" s="12" t="s">
        <v>91</v>
      </c>
      <c r="C30" s="12" t="s">
        <v>12</v>
      </c>
      <c r="D30" s="12" t="s">
        <v>54</v>
      </c>
      <c r="E30" s="15">
        <f>E20</f>
        <v>0.28700000000000003</v>
      </c>
      <c r="F30" s="12" t="s">
        <v>68</v>
      </c>
    </row>
    <row r="31" spans="1:28" x14ac:dyDescent="0.25">
      <c r="A31" t="s">
        <v>40</v>
      </c>
      <c r="B31" t="s">
        <v>91</v>
      </c>
      <c r="C31" t="s">
        <v>56</v>
      </c>
      <c r="D31" t="s">
        <v>41</v>
      </c>
      <c r="E31" s="6">
        <f>Y31</f>
        <v>2.6562499999999999E-2</v>
      </c>
      <c r="F31" t="s">
        <v>66</v>
      </c>
      <c r="I31" s="5">
        <f>GEOMEAN(J31:AS31)</f>
        <v>1.8012080368036303E-2</v>
      </c>
      <c r="J31" s="5"/>
      <c r="M31" s="2"/>
      <c r="N31" s="10"/>
      <c r="X31">
        <f>1/(5*60)</f>
        <v>3.3333333333333335E-3</v>
      </c>
      <c r="Y31">
        <f>1*0.85/32</f>
        <v>2.6562499999999999E-2</v>
      </c>
      <c r="Z31">
        <v>6.6000000000000003E-2</v>
      </c>
    </row>
    <row r="32" spans="1:28" x14ac:dyDescent="0.25">
      <c r="A32" t="s">
        <v>40</v>
      </c>
      <c r="B32" t="s">
        <v>91</v>
      </c>
      <c r="C32" t="s">
        <v>12</v>
      </c>
      <c r="D32" t="s">
        <v>41</v>
      </c>
      <c r="E32" s="6">
        <f>Y32</f>
        <v>1.3492063492063491E-2</v>
      </c>
      <c r="F32" t="s">
        <v>66</v>
      </c>
      <c r="I32" s="5">
        <f t="shared" ref="I32:I48" si="3">GEOMEAN(J32:AS32)</f>
        <v>7.3463088669245297E-3</v>
      </c>
      <c r="J32" s="5"/>
      <c r="M32" s="2"/>
      <c r="N32" s="10"/>
      <c r="Y32">
        <f>1*0.85/63</f>
        <v>1.3492063492063491E-2</v>
      </c>
      <c r="Z32">
        <v>4.0000000000000001E-3</v>
      </c>
    </row>
    <row r="33" spans="1:29" x14ac:dyDescent="0.25">
      <c r="A33" s="2" t="s">
        <v>42</v>
      </c>
      <c r="B33" s="2" t="s">
        <v>91</v>
      </c>
      <c r="C33" s="2" t="s">
        <v>56</v>
      </c>
      <c r="D33" s="2" t="s">
        <v>43</v>
      </c>
      <c r="E33" s="5">
        <v>0.3</v>
      </c>
      <c r="F33" s="2" t="s">
        <v>69</v>
      </c>
      <c r="I33" s="5">
        <f t="shared" si="3"/>
        <v>0.22500000000000001</v>
      </c>
      <c r="J33" s="5"/>
      <c r="M33" s="2"/>
      <c r="N33" s="10"/>
      <c r="X33">
        <v>0.22500000000000001</v>
      </c>
    </row>
    <row r="34" spans="1:29" x14ac:dyDescent="0.25">
      <c r="A34" s="2" t="s">
        <v>42</v>
      </c>
      <c r="B34" s="2" t="s">
        <v>91</v>
      </c>
      <c r="C34" s="2" t="s">
        <v>12</v>
      </c>
      <c r="D34" s="2" t="s">
        <v>43</v>
      </c>
      <c r="E34" s="5">
        <f>(X34+AA34)/2</f>
        <v>0.36</v>
      </c>
      <c r="F34" s="2" t="s">
        <v>69</v>
      </c>
      <c r="I34" s="5">
        <f t="shared" si="3"/>
        <v>0.35777087639996635</v>
      </c>
      <c r="J34" s="5"/>
      <c r="M34" s="2"/>
      <c r="N34" s="10"/>
      <c r="X34">
        <v>0.32</v>
      </c>
      <c r="AA34">
        <v>0.4</v>
      </c>
    </row>
    <row r="35" spans="1:29" x14ac:dyDescent="0.25">
      <c r="A35" s="2" t="s">
        <v>95</v>
      </c>
      <c r="B35" s="2" t="s">
        <v>91</v>
      </c>
      <c r="C35" s="2" t="s">
        <v>56</v>
      </c>
      <c r="D35" s="2" t="s">
        <v>96</v>
      </c>
      <c r="E35" s="5">
        <v>0.03</v>
      </c>
      <c r="F35" s="2" t="s">
        <v>68</v>
      </c>
      <c r="I35" s="5"/>
      <c r="J35" s="5"/>
      <c r="M35" s="2"/>
      <c r="N35" s="10"/>
    </row>
    <row r="36" spans="1:29" x14ac:dyDescent="0.25">
      <c r="A36" t="s">
        <v>15</v>
      </c>
      <c r="B36" t="s">
        <v>25</v>
      </c>
      <c r="C36" t="s">
        <v>56</v>
      </c>
      <c r="D36" t="s">
        <v>5</v>
      </c>
      <c r="E36">
        <f>M36</f>
        <v>104</v>
      </c>
      <c r="F36" t="s">
        <v>9</v>
      </c>
      <c r="I36" s="5">
        <f t="shared" si="3"/>
        <v>110.63814893606997</v>
      </c>
      <c r="M36">
        <v>104</v>
      </c>
      <c r="AC36">
        <v>117.7</v>
      </c>
    </row>
    <row r="37" spans="1:29" x14ac:dyDescent="0.25">
      <c r="A37" t="s">
        <v>16</v>
      </c>
      <c r="B37" t="s">
        <v>25</v>
      </c>
      <c r="C37" t="s">
        <v>56</v>
      </c>
      <c r="D37" t="s">
        <v>6</v>
      </c>
      <c r="E37">
        <f>M37</f>
        <v>360</v>
      </c>
      <c r="F37" t="s">
        <v>8</v>
      </c>
      <c r="I37" s="5">
        <f t="shared" si="3"/>
        <v>421.82603049124407</v>
      </c>
      <c r="M37">
        <v>360</v>
      </c>
      <c r="AC37">
        <v>494.27</v>
      </c>
    </row>
    <row r="38" spans="1:29" x14ac:dyDescent="0.25">
      <c r="A38" t="s">
        <v>51</v>
      </c>
      <c r="B38" t="s">
        <v>25</v>
      </c>
      <c r="C38" t="s">
        <v>56</v>
      </c>
      <c r="D38" t="s">
        <v>54</v>
      </c>
      <c r="E38">
        <v>0.85</v>
      </c>
      <c r="F38" t="s">
        <v>68</v>
      </c>
      <c r="I38" s="5">
        <f t="shared" si="3"/>
        <v>0.87464278422679509</v>
      </c>
      <c r="M38">
        <v>0.85</v>
      </c>
      <c r="P38">
        <v>0.9</v>
      </c>
    </row>
    <row r="39" spans="1:29" x14ac:dyDescent="0.25">
      <c r="A39" t="s">
        <v>15</v>
      </c>
      <c r="B39" t="s">
        <v>25</v>
      </c>
      <c r="C39" t="s">
        <v>12</v>
      </c>
      <c r="D39" t="s">
        <v>5</v>
      </c>
      <c r="E39">
        <f>AC39</f>
        <v>75</v>
      </c>
      <c r="F39" t="s">
        <v>9</v>
      </c>
      <c r="I39" s="5">
        <f t="shared" si="3"/>
        <v>75</v>
      </c>
      <c r="AC39">
        <v>75</v>
      </c>
    </row>
    <row r="40" spans="1:29" x14ac:dyDescent="0.25">
      <c r="A40" t="s">
        <v>16</v>
      </c>
      <c r="B40" t="s">
        <v>25</v>
      </c>
      <c r="C40" t="s">
        <v>12</v>
      </c>
      <c r="D40" t="s">
        <v>6</v>
      </c>
      <c r="E40">
        <f>AC40</f>
        <v>310</v>
      </c>
      <c r="F40" t="s">
        <v>8</v>
      </c>
      <c r="I40" s="5">
        <f t="shared" si="3"/>
        <v>310</v>
      </c>
      <c r="AC40">
        <v>310</v>
      </c>
    </row>
    <row r="41" spans="1:29" x14ac:dyDescent="0.25">
      <c r="A41" t="s">
        <v>51</v>
      </c>
      <c r="B41" t="s">
        <v>25</v>
      </c>
      <c r="C41" t="s">
        <v>12</v>
      </c>
      <c r="D41" t="s">
        <v>54</v>
      </c>
      <c r="E41">
        <v>0.9</v>
      </c>
      <c r="F41" t="s">
        <v>68</v>
      </c>
      <c r="I41" s="5"/>
    </row>
    <row r="42" spans="1:29" x14ac:dyDescent="0.25">
      <c r="A42" t="s">
        <v>17</v>
      </c>
      <c r="B42" t="s">
        <v>22</v>
      </c>
      <c r="C42" t="s">
        <v>68</v>
      </c>
      <c r="D42" t="s">
        <v>10</v>
      </c>
      <c r="E42">
        <v>90</v>
      </c>
      <c r="F42" t="s">
        <v>13</v>
      </c>
      <c r="G42" t="s">
        <v>37</v>
      </c>
      <c r="I42" s="5">
        <f t="shared" si="3"/>
        <v>76.461482161598639</v>
      </c>
      <c r="M42">
        <v>91</v>
      </c>
      <c r="N42" s="3">
        <f>1/30*1000</f>
        <v>33.333333333333336</v>
      </c>
      <c r="O42">
        <v>130</v>
      </c>
      <c r="W42" s="2">
        <f>124/(2.241*0.865*0.738)</f>
        <v>86.677696123892957</v>
      </c>
      <c r="X42" s="2"/>
    </row>
    <row r="43" spans="1:29" x14ac:dyDescent="0.25">
      <c r="A43" t="s">
        <v>18</v>
      </c>
      <c r="B43" t="s">
        <v>22</v>
      </c>
      <c r="C43" t="s">
        <v>68</v>
      </c>
      <c r="D43" t="s">
        <v>11</v>
      </c>
      <c r="E43">
        <v>80</v>
      </c>
      <c r="F43" t="s">
        <v>14</v>
      </c>
      <c r="G43" t="s">
        <v>37</v>
      </c>
      <c r="I43" s="5">
        <f t="shared" si="3"/>
        <v>67.288744526691232</v>
      </c>
      <c r="M43">
        <v>80</v>
      </c>
      <c r="N43" s="3">
        <f>1/20*1000</f>
        <v>50</v>
      </c>
      <c r="W43">
        <f>124/1.628</f>
        <v>76.167076167076175</v>
      </c>
    </row>
    <row r="44" spans="1:29" x14ac:dyDescent="0.25">
      <c r="A44" t="s">
        <v>70</v>
      </c>
      <c r="B44" t="s">
        <v>22</v>
      </c>
      <c r="C44" t="s">
        <v>68</v>
      </c>
      <c r="D44" t="s">
        <v>71</v>
      </c>
      <c r="E44">
        <f>W44</f>
        <v>3</v>
      </c>
      <c r="F44" t="s">
        <v>68</v>
      </c>
      <c r="G44" t="s">
        <v>37</v>
      </c>
      <c r="I44" s="5">
        <f t="shared" si="3"/>
        <v>2.0800838230519041</v>
      </c>
      <c r="N44" s="8">
        <v>3</v>
      </c>
      <c r="O44">
        <v>1</v>
      </c>
      <c r="W44">
        <v>3</v>
      </c>
    </row>
    <row r="45" spans="1:29" x14ac:dyDescent="0.25">
      <c r="A45" t="s">
        <v>17</v>
      </c>
      <c r="B45" t="s">
        <v>68</v>
      </c>
      <c r="C45" t="s">
        <v>56</v>
      </c>
      <c r="D45" t="s">
        <v>10</v>
      </c>
      <c r="E45">
        <f>P45</f>
        <v>8200</v>
      </c>
      <c r="F45" t="s">
        <v>13</v>
      </c>
      <c r="I45" s="5">
        <f t="shared" si="3"/>
        <v>8200</v>
      </c>
      <c r="P45">
        <v>8200</v>
      </c>
    </row>
    <row r="46" spans="1:29" x14ac:dyDescent="0.25">
      <c r="A46" t="s">
        <v>18</v>
      </c>
      <c r="B46" t="s">
        <v>68</v>
      </c>
      <c r="C46" t="s">
        <v>56</v>
      </c>
      <c r="D46" t="s">
        <v>11</v>
      </c>
      <c r="E46">
        <f>P46</f>
        <v>8300</v>
      </c>
      <c r="F46" t="s">
        <v>14</v>
      </c>
      <c r="I46" s="5">
        <f t="shared" si="3"/>
        <v>8300</v>
      </c>
      <c r="P46">
        <v>8300</v>
      </c>
    </row>
    <row r="47" spans="1:29" x14ac:dyDescent="0.25">
      <c r="A47" t="s">
        <v>17</v>
      </c>
      <c r="B47" t="s">
        <v>68</v>
      </c>
      <c r="C47" t="s">
        <v>12</v>
      </c>
      <c r="D47" t="s">
        <v>10</v>
      </c>
      <c r="E47">
        <f>J47</f>
        <v>3443</v>
      </c>
      <c r="F47" t="s">
        <v>13</v>
      </c>
      <c r="I47" s="5">
        <f t="shared" si="3"/>
        <v>3443</v>
      </c>
      <c r="J47">
        <f>3443</f>
        <v>3443</v>
      </c>
    </row>
    <row r="48" spans="1:29" x14ac:dyDescent="0.25">
      <c r="A48" t="s">
        <v>18</v>
      </c>
      <c r="B48" t="s">
        <v>68</v>
      </c>
      <c r="C48" t="s">
        <v>12</v>
      </c>
      <c r="D48" t="s">
        <v>11</v>
      </c>
      <c r="E48">
        <f>J48</f>
        <v>8050</v>
      </c>
      <c r="F48" t="s">
        <v>14</v>
      </c>
      <c r="I48" s="5">
        <f t="shared" si="3"/>
        <v>8050</v>
      </c>
      <c r="J48">
        <f>8050</f>
        <v>8050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FD428-BBE0-48EC-BBEB-A5E7F948B547}">
  <dimension ref="A1:E6"/>
  <sheetViews>
    <sheetView workbookViewId="0">
      <selection activeCell="C4" sqref="C4"/>
    </sheetView>
  </sheetViews>
  <sheetFormatPr defaultRowHeight="15" x14ac:dyDescent="0.25"/>
  <cols>
    <col min="1" max="1" width="28" bestFit="1" customWidth="1"/>
    <col min="2" max="2" width="16.5703125" bestFit="1" customWidth="1"/>
  </cols>
  <sheetData>
    <row r="1" spans="1:5" x14ac:dyDescent="0.25">
      <c r="A1" s="1" t="s">
        <v>2</v>
      </c>
      <c r="B1" s="1" t="s">
        <v>0</v>
      </c>
      <c r="C1" s="1" t="s">
        <v>1</v>
      </c>
      <c r="D1" s="1" t="s">
        <v>7</v>
      </c>
      <c r="E1" s="1" t="s">
        <v>135</v>
      </c>
    </row>
    <row r="2" spans="1:5" x14ac:dyDescent="0.25">
      <c r="A2" t="s">
        <v>20</v>
      </c>
      <c r="B2" t="s">
        <v>58</v>
      </c>
      <c r="C2">
        <v>0.1</v>
      </c>
      <c r="D2" t="s">
        <v>68</v>
      </c>
      <c r="E2" t="s">
        <v>155</v>
      </c>
    </row>
    <row r="3" spans="1:5" x14ac:dyDescent="0.25">
      <c r="A3" t="s">
        <v>19</v>
      </c>
      <c r="B3" t="s">
        <v>59</v>
      </c>
      <c r="C3">
        <v>0.1</v>
      </c>
      <c r="D3" t="s">
        <v>68</v>
      </c>
      <c r="E3" t="s">
        <v>155</v>
      </c>
    </row>
    <row r="4" spans="1:5" x14ac:dyDescent="0.25">
      <c r="A4" t="s">
        <v>133</v>
      </c>
      <c r="B4" t="s">
        <v>134</v>
      </c>
      <c r="C4">
        <v>0.95</v>
      </c>
      <c r="D4" t="s">
        <v>68</v>
      </c>
      <c r="E4" t="s">
        <v>136</v>
      </c>
    </row>
    <row r="5" spans="1:5" x14ac:dyDescent="0.25">
      <c r="A5" t="s">
        <v>137</v>
      </c>
      <c r="B5" t="s">
        <v>138</v>
      </c>
      <c r="C5">
        <v>0.96</v>
      </c>
      <c r="D5" t="s">
        <v>68</v>
      </c>
    </row>
    <row r="6" spans="1:5" x14ac:dyDescent="0.25">
      <c r="A6" t="s">
        <v>140</v>
      </c>
      <c r="B6" t="s">
        <v>139</v>
      </c>
      <c r="C6">
        <v>0.98</v>
      </c>
      <c r="D6" t="s">
        <v>68</v>
      </c>
      <c r="E6" t="s">
        <v>154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7A24C-E6B9-4ACC-BAD8-C1F7EC579F42}">
  <dimension ref="A1:I43"/>
  <sheetViews>
    <sheetView workbookViewId="0">
      <selection activeCell="H17" sqref="H17"/>
    </sheetView>
  </sheetViews>
  <sheetFormatPr defaultRowHeight="15" x14ac:dyDescent="0.25"/>
  <cols>
    <col min="3" max="3" width="11.42578125" bestFit="1" customWidth="1"/>
    <col min="4" max="4" width="10.140625" bestFit="1" customWidth="1"/>
    <col min="5" max="5" width="11" bestFit="1" customWidth="1"/>
    <col min="6" max="6" width="18.5703125" bestFit="1" customWidth="1"/>
    <col min="7" max="7" width="36.5703125" bestFit="1" customWidth="1"/>
  </cols>
  <sheetData>
    <row r="1" spans="1:9" x14ac:dyDescent="0.25">
      <c r="A1" t="s">
        <v>38</v>
      </c>
      <c r="B1" t="s">
        <v>79</v>
      </c>
      <c r="C1" t="s">
        <v>3</v>
      </c>
      <c r="D1" t="s">
        <v>84</v>
      </c>
      <c r="E1" t="s">
        <v>1</v>
      </c>
      <c r="F1" t="s">
        <v>7</v>
      </c>
      <c r="G1" t="s">
        <v>33</v>
      </c>
      <c r="H1" t="s">
        <v>82</v>
      </c>
      <c r="I1" t="s">
        <v>83</v>
      </c>
    </row>
    <row r="2" spans="1:9" x14ac:dyDescent="0.25">
      <c r="A2" t="s">
        <v>74</v>
      </c>
      <c r="B2" t="s">
        <v>75</v>
      </c>
      <c r="C2" t="s">
        <v>21</v>
      </c>
      <c r="D2" t="s">
        <v>56</v>
      </c>
      <c r="E2">
        <f t="shared" ref="E2:E7" si="0">(H2+I2)/2</f>
        <v>629</v>
      </c>
      <c r="F2" t="s">
        <v>81</v>
      </c>
      <c r="H2">
        <v>597</v>
      </c>
      <c r="I2">
        <v>661</v>
      </c>
    </row>
    <row r="3" spans="1:9" x14ac:dyDescent="0.25">
      <c r="A3" t="s">
        <v>74</v>
      </c>
      <c r="B3" t="s">
        <v>76</v>
      </c>
      <c r="C3" t="s">
        <v>21</v>
      </c>
      <c r="D3" t="s">
        <v>56</v>
      </c>
      <c r="E3">
        <f t="shared" si="0"/>
        <v>156.5</v>
      </c>
      <c r="F3" t="s">
        <v>81</v>
      </c>
      <c r="H3">
        <v>117</v>
      </c>
      <c r="I3">
        <v>196</v>
      </c>
    </row>
    <row r="4" spans="1:9" x14ac:dyDescent="0.25">
      <c r="A4" t="s">
        <v>77</v>
      </c>
      <c r="B4" t="s">
        <v>75</v>
      </c>
      <c r="C4" t="s">
        <v>21</v>
      </c>
      <c r="D4" t="s">
        <v>56</v>
      </c>
      <c r="E4">
        <f t="shared" si="0"/>
        <v>9.48</v>
      </c>
      <c r="F4" t="s">
        <v>80</v>
      </c>
      <c r="H4">
        <v>9</v>
      </c>
      <c r="I4">
        <v>9.9600000000000009</v>
      </c>
    </row>
    <row r="5" spans="1:9" x14ac:dyDescent="0.25">
      <c r="A5" t="s">
        <v>77</v>
      </c>
      <c r="B5" t="s">
        <v>76</v>
      </c>
      <c r="C5" t="s">
        <v>21</v>
      </c>
      <c r="D5" t="s">
        <v>56</v>
      </c>
      <c r="E5">
        <f t="shared" si="0"/>
        <v>0</v>
      </c>
      <c r="F5" t="s">
        <v>80</v>
      </c>
      <c r="H5">
        <v>0</v>
      </c>
      <c r="I5">
        <v>0</v>
      </c>
    </row>
    <row r="6" spans="1:9" x14ac:dyDescent="0.25">
      <c r="A6" t="s">
        <v>78</v>
      </c>
      <c r="B6" t="s">
        <v>75</v>
      </c>
      <c r="C6" t="s">
        <v>21</v>
      </c>
      <c r="D6" t="s">
        <v>56</v>
      </c>
      <c r="E6">
        <f t="shared" si="0"/>
        <v>0.38</v>
      </c>
      <c r="F6" t="s">
        <v>80</v>
      </c>
      <c r="H6">
        <v>0.36</v>
      </c>
      <c r="I6">
        <v>0.4</v>
      </c>
    </row>
    <row r="7" spans="1:9" x14ac:dyDescent="0.25">
      <c r="A7" t="s">
        <v>78</v>
      </c>
      <c r="B7" t="s">
        <v>76</v>
      </c>
      <c r="C7" t="s">
        <v>21</v>
      </c>
      <c r="D7" t="s">
        <v>56</v>
      </c>
      <c r="E7">
        <f t="shared" si="0"/>
        <v>0</v>
      </c>
      <c r="F7" t="s">
        <v>80</v>
      </c>
      <c r="H7">
        <v>0</v>
      </c>
      <c r="I7">
        <v>0</v>
      </c>
    </row>
    <row r="8" spans="1:9" x14ac:dyDescent="0.25">
      <c r="A8" t="s">
        <v>74</v>
      </c>
      <c r="B8" t="s">
        <v>75</v>
      </c>
      <c r="C8" t="s">
        <v>91</v>
      </c>
      <c r="D8" t="s">
        <v>56</v>
      </c>
      <c r="E8">
        <f>E2</f>
        <v>629</v>
      </c>
      <c r="F8" t="s">
        <v>81</v>
      </c>
    </row>
    <row r="9" spans="1:9" x14ac:dyDescent="0.25">
      <c r="A9" t="s">
        <v>74</v>
      </c>
      <c r="B9" t="s">
        <v>76</v>
      </c>
      <c r="C9" t="s">
        <v>91</v>
      </c>
      <c r="D9" t="s">
        <v>56</v>
      </c>
      <c r="E9">
        <f t="shared" ref="E9:E13" si="1">E3</f>
        <v>156.5</v>
      </c>
      <c r="F9" t="s">
        <v>81</v>
      </c>
    </row>
    <row r="10" spans="1:9" x14ac:dyDescent="0.25">
      <c r="A10" t="s">
        <v>77</v>
      </c>
      <c r="B10" t="s">
        <v>75</v>
      </c>
      <c r="C10" t="s">
        <v>91</v>
      </c>
      <c r="D10" t="s">
        <v>56</v>
      </c>
      <c r="E10">
        <f t="shared" si="1"/>
        <v>9.48</v>
      </c>
      <c r="F10" t="s">
        <v>80</v>
      </c>
    </row>
    <row r="11" spans="1:9" x14ac:dyDescent="0.25">
      <c r="A11" t="s">
        <v>77</v>
      </c>
      <c r="B11" t="s">
        <v>76</v>
      </c>
      <c r="C11" t="s">
        <v>91</v>
      </c>
      <c r="D11" t="s">
        <v>56</v>
      </c>
      <c r="E11">
        <f t="shared" si="1"/>
        <v>0</v>
      </c>
      <c r="F11" t="s">
        <v>80</v>
      </c>
    </row>
    <row r="12" spans="1:9" x14ac:dyDescent="0.25">
      <c r="A12" t="s">
        <v>78</v>
      </c>
      <c r="B12" t="s">
        <v>75</v>
      </c>
      <c r="C12" t="s">
        <v>91</v>
      </c>
      <c r="D12" t="s">
        <v>56</v>
      </c>
      <c r="E12">
        <f t="shared" si="1"/>
        <v>0.38</v>
      </c>
      <c r="F12" t="s">
        <v>80</v>
      </c>
      <c r="G12" t="s">
        <v>90</v>
      </c>
    </row>
    <row r="13" spans="1:9" x14ac:dyDescent="0.25">
      <c r="A13" t="s">
        <v>78</v>
      </c>
      <c r="B13" t="s">
        <v>76</v>
      </c>
      <c r="C13" t="s">
        <v>91</v>
      </c>
      <c r="D13" t="s">
        <v>56</v>
      </c>
      <c r="E13">
        <f t="shared" si="1"/>
        <v>0</v>
      </c>
      <c r="F13" t="s">
        <v>80</v>
      </c>
      <c r="G13" t="s">
        <v>90</v>
      </c>
    </row>
    <row r="14" spans="1:9" x14ac:dyDescent="0.25">
      <c r="A14" t="s">
        <v>74</v>
      </c>
      <c r="B14" t="s">
        <v>75</v>
      </c>
      <c r="C14" t="s">
        <v>91</v>
      </c>
      <c r="D14" t="s">
        <v>12</v>
      </c>
      <c r="E14">
        <f>(H14+I14)/2</f>
        <v>518</v>
      </c>
      <c r="F14" t="s">
        <v>81</v>
      </c>
      <c r="G14" t="s">
        <v>112</v>
      </c>
      <c r="H14">
        <v>488</v>
      </c>
      <c r="I14">
        <v>548</v>
      </c>
    </row>
    <row r="15" spans="1:9" x14ac:dyDescent="0.25">
      <c r="A15" t="s">
        <v>74</v>
      </c>
      <c r="B15" t="s">
        <v>76</v>
      </c>
      <c r="C15" t="s">
        <v>91</v>
      </c>
      <c r="D15" t="s">
        <v>12</v>
      </c>
      <c r="E15">
        <f t="shared" ref="E15:E31" si="2">(H15+I15)/2</f>
        <v>100.5</v>
      </c>
      <c r="F15" t="s">
        <v>81</v>
      </c>
      <c r="G15" t="s">
        <v>112</v>
      </c>
      <c r="H15">
        <v>65</v>
      </c>
      <c r="I15">
        <v>136</v>
      </c>
    </row>
    <row r="16" spans="1:9" x14ac:dyDescent="0.25">
      <c r="A16" t="s">
        <v>77</v>
      </c>
      <c r="B16" t="s">
        <v>75</v>
      </c>
      <c r="C16" t="s">
        <v>91</v>
      </c>
      <c r="D16" t="s">
        <v>12</v>
      </c>
      <c r="E16">
        <f t="shared" si="2"/>
        <v>1.645</v>
      </c>
      <c r="F16" t="s">
        <v>80</v>
      </c>
      <c r="G16" t="s">
        <v>112</v>
      </c>
      <c r="H16">
        <v>1.2</v>
      </c>
      <c r="I16">
        <v>2.09</v>
      </c>
    </row>
    <row r="17" spans="1:9" x14ac:dyDescent="0.25">
      <c r="A17" t="s">
        <v>77</v>
      </c>
      <c r="B17" t="s">
        <v>76</v>
      </c>
      <c r="C17" t="s">
        <v>91</v>
      </c>
      <c r="D17" t="s">
        <v>12</v>
      </c>
      <c r="E17">
        <f t="shared" si="2"/>
        <v>4.0000000000000001E-3</v>
      </c>
      <c r="F17" t="s">
        <v>80</v>
      </c>
      <c r="G17" t="s">
        <v>112</v>
      </c>
      <c r="H17">
        <v>4.0000000000000001E-3</v>
      </c>
      <c r="I17">
        <v>4.0000000000000001E-3</v>
      </c>
    </row>
    <row r="18" spans="1:9" x14ac:dyDescent="0.25">
      <c r="A18" t="s">
        <v>78</v>
      </c>
      <c r="B18" t="s">
        <v>75</v>
      </c>
      <c r="C18" t="s">
        <v>91</v>
      </c>
      <c r="D18" t="s">
        <v>12</v>
      </c>
      <c r="E18">
        <f t="shared" si="2"/>
        <v>8.0000000000000002E-3</v>
      </c>
      <c r="F18" t="s">
        <v>80</v>
      </c>
      <c r="G18" t="s">
        <v>112</v>
      </c>
      <c r="H18">
        <v>0</v>
      </c>
      <c r="I18">
        <v>1.6E-2</v>
      </c>
    </row>
    <row r="19" spans="1:9" x14ac:dyDescent="0.25">
      <c r="A19" t="s">
        <v>78</v>
      </c>
      <c r="B19" t="s">
        <v>76</v>
      </c>
      <c r="C19" t="s">
        <v>91</v>
      </c>
      <c r="D19" t="s">
        <v>12</v>
      </c>
      <c r="E19">
        <f t="shared" si="2"/>
        <v>2E-3</v>
      </c>
      <c r="F19" t="s">
        <v>80</v>
      </c>
      <c r="G19" t="s">
        <v>112</v>
      </c>
      <c r="H19">
        <v>2E-3</v>
      </c>
      <c r="I19">
        <v>2E-3</v>
      </c>
    </row>
    <row r="20" spans="1:9" x14ac:dyDescent="0.25">
      <c r="A20" t="s">
        <v>74</v>
      </c>
      <c r="B20" t="s">
        <v>75</v>
      </c>
      <c r="C20" t="s">
        <v>39</v>
      </c>
      <c r="D20" t="s">
        <v>12</v>
      </c>
      <c r="E20">
        <f>(H20+I20)/2</f>
        <v>518</v>
      </c>
      <c r="F20" t="s">
        <v>81</v>
      </c>
      <c r="H20">
        <f>H14</f>
        <v>488</v>
      </c>
      <c r="I20">
        <f>I14</f>
        <v>548</v>
      </c>
    </row>
    <row r="21" spans="1:9" x14ac:dyDescent="0.25">
      <c r="A21" t="s">
        <v>74</v>
      </c>
      <c r="B21" t="s">
        <v>76</v>
      </c>
      <c r="C21" t="s">
        <v>39</v>
      </c>
      <c r="D21" t="s">
        <v>12</v>
      </c>
      <c r="E21">
        <f t="shared" ref="E21:E25" si="3">(H21+I21)/2</f>
        <v>100.5</v>
      </c>
      <c r="F21" t="s">
        <v>81</v>
      </c>
      <c r="H21">
        <f t="shared" ref="H21:I21" si="4">H15</f>
        <v>65</v>
      </c>
      <c r="I21">
        <f t="shared" si="4"/>
        <v>136</v>
      </c>
    </row>
    <row r="22" spans="1:9" x14ac:dyDescent="0.25">
      <c r="A22" t="s">
        <v>77</v>
      </c>
      <c r="B22" t="s">
        <v>75</v>
      </c>
      <c r="C22" t="s">
        <v>39</v>
      </c>
      <c r="D22" t="s">
        <v>12</v>
      </c>
      <c r="E22">
        <f t="shared" si="3"/>
        <v>1.645</v>
      </c>
      <c r="F22" t="s">
        <v>80</v>
      </c>
      <c r="H22">
        <f t="shared" ref="H22:I22" si="5">H16</f>
        <v>1.2</v>
      </c>
      <c r="I22">
        <f t="shared" si="5"/>
        <v>2.09</v>
      </c>
    </row>
    <row r="23" spans="1:9" x14ac:dyDescent="0.25">
      <c r="A23" t="s">
        <v>77</v>
      </c>
      <c r="B23" t="s">
        <v>76</v>
      </c>
      <c r="C23" t="s">
        <v>39</v>
      </c>
      <c r="D23" t="s">
        <v>12</v>
      </c>
      <c r="E23">
        <f t="shared" si="3"/>
        <v>4.0000000000000001E-3</v>
      </c>
      <c r="F23" t="s">
        <v>80</v>
      </c>
      <c r="H23">
        <f t="shared" ref="H23:I23" si="6">H17</f>
        <v>4.0000000000000001E-3</v>
      </c>
      <c r="I23">
        <f t="shared" si="6"/>
        <v>4.0000000000000001E-3</v>
      </c>
    </row>
    <row r="24" spans="1:9" x14ac:dyDescent="0.25">
      <c r="A24" t="s">
        <v>78</v>
      </c>
      <c r="B24" t="s">
        <v>75</v>
      </c>
      <c r="C24" t="s">
        <v>39</v>
      </c>
      <c r="D24" t="s">
        <v>12</v>
      </c>
      <c r="E24">
        <f t="shared" si="3"/>
        <v>8.0000000000000002E-3</v>
      </c>
      <c r="F24" t="s">
        <v>80</v>
      </c>
      <c r="H24">
        <f t="shared" ref="H24:I24" si="7">H18</f>
        <v>0</v>
      </c>
      <c r="I24">
        <f t="shared" si="7"/>
        <v>1.6E-2</v>
      </c>
    </row>
    <row r="25" spans="1:9" x14ac:dyDescent="0.25">
      <c r="A25" t="s">
        <v>78</v>
      </c>
      <c r="B25" t="s">
        <v>76</v>
      </c>
      <c r="C25" t="s">
        <v>39</v>
      </c>
      <c r="D25" t="s">
        <v>12</v>
      </c>
      <c r="E25">
        <f t="shared" si="3"/>
        <v>2E-3</v>
      </c>
      <c r="F25" t="s">
        <v>80</v>
      </c>
      <c r="H25">
        <f t="shared" ref="H25:I25" si="8">H19</f>
        <v>2E-3</v>
      </c>
      <c r="I25">
        <f t="shared" si="8"/>
        <v>2E-3</v>
      </c>
    </row>
    <row r="26" spans="1:9" x14ac:dyDescent="0.25">
      <c r="A26" t="s">
        <v>74</v>
      </c>
      <c r="B26" t="s">
        <v>75</v>
      </c>
      <c r="C26" t="s">
        <v>4</v>
      </c>
      <c r="D26" t="s">
        <v>12</v>
      </c>
      <c r="E26">
        <f t="shared" si="2"/>
        <v>295</v>
      </c>
      <c r="F26" t="s">
        <v>81</v>
      </c>
      <c r="H26">
        <v>200</v>
      </c>
      <c r="I26">
        <v>390</v>
      </c>
    </row>
    <row r="27" spans="1:9" x14ac:dyDescent="0.25">
      <c r="A27" t="s">
        <v>74</v>
      </c>
      <c r="B27" t="s">
        <v>76</v>
      </c>
      <c r="C27" t="s">
        <v>4</v>
      </c>
      <c r="D27" t="s">
        <v>12</v>
      </c>
      <c r="E27">
        <f t="shared" si="2"/>
        <v>80</v>
      </c>
      <c r="F27" t="s">
        <v>81</v>
      </c>
      <c r="H27">
        <v>67</v>
      </c>
      <c r="I27">
        <v>93</v>
      </c>
    </row>
    <row r="28" spans="1:9" x14ac:dyDescent="0.25">
      <c r="A28" t="s">
        <v>77</v>
      </c>
      <c r="B28" t="s">
        <v>75</v>
      </c>
      <c r="C28" t="s">
        <v>4</v>
      </c>
      <c r="D28" t="s">
        <v>12</v>
      </c>
      <c r="E28">
        <f t="shared" si="2"/>
        <v>2.29E-2</v>
      </c>
      <c r="F28" t="s">
        <v>80</v>
      </c>
      <c r="H28">
        <v>8.0000000000000004E-4</v>
      </c>
      <c r="I28">
        <v>4.4999999999999998E-2</v>
      </c>
    </row>
    <row r="29" spans="1:9" x14ac:dyDescent="0.25">
      <c r="A29" t="s">
        <v>77</v>
      </c>
      <c r="B29" t="s">
        <v>76</v>
      </c>
      <c r="C29" t="s">
        <v>4</v>
      </c>
      <c r="D29" t="s">
        <v>12</v>
      </c>
      <c r="E29">
        <f t="shared" si="2"/>
        <v>3.0000000000000001E-3</v>
      </c>
      <c r="F29" t="s">
        <v>80</v>
      </c>
      <c r="H29">
        <v>3.0000000000000001E-3</v>
      </c>
      <c r="I29">
        <v>3.0000000000000001E-3</v>
      </c>
    </row>
    <row r="30" spans="1:9" x14ac:dyDescent="0.25">
      <c r="A30" t="s">
        <v>78</v>
      </c>
      <c r="B30" t="s">
        <v>75</v>
      </c>
      <c r="C30" t="s">
        <v>4</v>
      </c>
      <c r="D30" t="s">
        <v>12</v>
      </c>
      <c r="E30">
        <f t="shared" si="2"/>
        <v>0</v>
      </c>
      <c r="F30" t="s">
        <v>80</v>
      </c>
      <c r="H30">
        <v>0</v>
      </c>
      <c r="I30">
        <v>0</v>
      </c>
    </row>
    <row r="31" spans="1:9" x14ac:dyDescent="0.25">
      <c r="A31" t="s">
        <v>78</v>
      </c>
      <c r="B31" t="s">
        <v>76</v>
      </c>
      <c r="C31" t="s">
        <v>4</v>
      </c>
      <c r="D31" t="s">
        <v>12</v>
      </c>
      <c r="E31">
        <f t="shared" si="2"/>
        <v>2E-3</v>
      </c>
      <c r="F31" t="s">
        <v>80</v>
      </c>
      <c r="H31">
        <v>2E-3</v>
      </c>
      <c r="I31">
        <v>2E-3</v>
      </c>
    </row>
    <row r="32" spans="1:9" x14ac:dyDescent="0.25">
      <c r="A32" t="s">
        <v>74</v>
      </c>
      <c r="B32" t="s">
        <v>75</v>
      </c>
      <c r="C32" t="s">
        <v>25</v>
      </c>
      <c r="D32" t="s">
        <v>56</v>
      </c>
      <c r="E32">
        <v>314</v>
      </c>
      <c r="F32" t="s">
        <v>89</v>
      </c>
    </row>
    <row r="33" spans="1:9" x14ac:dyDescent="0.25">
      <c r="A33" t="s">
        <v>74</v>
      </c>
      <c r="B33" t="s">
        <v>76</v>
      </c>
      <c r="C33" t="s">
        <v>25</v>
      </c>
      <c r="D33" t="s">
        <v>56</v>
      </c>
      <c r="E33" s="2">
        <f>E9*Components!E11/Components!E38</f>
        <v>71.805882352941182</v>
      </c>
      <c r="F33" t="s">
        <v>89</v>
      </c>
    </row>
    <row r="34" spans="1:9" x14ac:dyDescent="0.25">
      <c r="A34" t="s">
        <v>77</v>
      </c>
      <c r="B34" t="s">
        <v>75</v>
      </c>
      <c r="C34" t="s">
        <v>25</v>
      </c>
      <c r="D34" t="s">
        <v>56</v>
      </c>
      <c r="E34">
        <v>0.3</v>
      </c>
      <c r="F34" t="s">
        <v>88</v>
      </c>
      <c r="G34" t="s">
        <v>132</v>
      </c>
      <c r="I34" t="s">
        <v>131</v>
      </c>
    </row>
    <row r="35" spans="1:9" x14ac:dyDescent="0.25">
      <c r="A35" t="s">
        <v>77</v>
      </c>
      <c r="B35" t="s">
        <v>76</v>
      </c>
      <c r="C35" t="s">
        <v>25</v>
      </c>
      <c r="D35" t="s">
        <v>56</v>
      </c>
      <c r="E35">
        <v>0</v>
      </c>
      <c r="F35" t="s">
        <v>88</v>
      </c>
    </row>
    <row r="36" spans="1:9" x14ac:dyDescent="0.25">
      <c r="A36" t="s">
        <v>78</v>
      </c>
      <c r="B36" t="s">
        <v>75</v>
      </c>
      <c r="C36" t="s">
        <v>25</v>
      </c>
      <c r="D36" t="s">
        <v>56</v>
      </c>
      <c r="E36">
        <v>0.1</v>
      </c>
      <c r="F36" t="s">
        <v>88</v>
      </c>
      <c r="G36" t="s">
        <v>90</v>
      </c>
    </row>
    <row r="37" spans="1:9" x14ac:dyDescent="0.25">
      <c r="A37" t="s">
        <v>78</v>
      </c>
      <c r="B37" t="s">
        <v>76</v>
      </c>
      <c r="C37" t="s">
        <v>25</v>
      </c>
      <c r="D37" t="s">
        <v>56</v>
      </c>
      <c r="E37">
        <v>0</v>
      </c>
      <c r="F37" t="s">
        <v>88</v>
      </c>
    </row>
    <row r="38" spans="1:9" x14ac:dyDescent="0.25">
      <c r="A38" t="s">
        <v>74</v>
      </c>
      <c r="B38" t="s">
        <v>75</v>
      </c>
      <c r="C38" t="s">
        <v>25</v>
      </c>
      <c r="D38" t="s">
        <v>12</v>
      </c>
      <c r="E38">
        <f>E32</f>
        <v>314</v>
      </c>
      <c r="F38" t="s">
        <v>89</v>
      </c>
    </row>
    <row r="39" spans="1:9" x14ac:dyDescent="0.25">
      <c r="A39" t="s">
        <v>74</v>
      </c>
      <c r="B39" t="s">
        <v>76</v>
      </c>
      <c r="C39" t="s">
        <v>25</v>
      </c>
      <c r="D39" t="s">
        <v>12</v>
      </c>
      <c r="E39" s="2">
        <f>E33</f>
        <v>71.805882352941182</v>
      </c>
      <c r="F39" t="s">
        <v>89</v>
      </c>
    </row>
    <row r="40" spans="1:9" x14ac:dyDescent="0.25">
      <c r="A40" t="s">
        <v>77</v>
      </c>
      <c r="B40" t="s">
        <v>75</v>
      </c>
      <c r="C40" t="s">
        <v>25</v>
      </c>
      <c r="D40" t="s">
        <v>12</v>
      </c>
      <c r="E40">
        <f>70/100*E34</f>
        <v>0.21</v>
      </c>
      <c r="F40" t="s">
        <v>88</v>
      </c>
    </row>
    <row r="41" spans="1:9" x14ac:dyDescent="0.25">
      <c r="A41" t="s">
        <v>77</v>
      </c>
      <c r="B41" t="s">
        <v>76</v>
      </c>
      <c r="C41" t="s">
        <v>25</v>
      </c>
      <c r="D41" t="s">
        <v>12</v>
      </c>
      <c r="E41">
        <f t="shared" ref="E41:E43" si="9">E35</f>
        <v>0</v>
      </c>
      <c r="F41" t="s">
        <v>88</v>
      </c>
    </row>
    <row r="42" spans="1:9" x14ac:dyDescent="0.25">
      <c r="A42" t="s">
        <v>78</v>
      </c>
      <c r="B42" t="s">
        <v>75</v>
      </c>
      <c r="C42" t="s">
        <v>25</v>
      </c>
      <c r="D42" t="s">
        <v>12</v>
      </c>
      <c r="E42">
        <v>0</v>
      </c>
      <c r="F42" t="s">
        <v>88</v>
      </c>
    </row>
    <row r="43" spans="1:9" x14ac:dyDescent="0.25">
      <c r="A43" t="s">
        <v>78</v>
      </c>
      <c r="B43" t="s">
        <v>76</v>
      </c>
      <c r="C43" t="s">
        <v>25</v>
      </c>
      <c r="D43" t="s">
        <v>12</v>
      </c>
      <c r="E43">
        <f t="shared" si="9"/>
        <v>0</v>
      </c>
      <c r="F43" t="s">
        <v>88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4C63C-F46C-47E3-8A9C-F7222D2C7F6E}">
  <dimension ref="A1:E7"/>
  <sheetViews>
    <sheetView workbookViewId="0">
      <selection activeCell="D9" sqref="D9"/>
    </sheetView>
  </sheetViews>
  <sheetFormatPr defaultRowHeight="15" x14ac:dyDescent="0.25"/>
  <cols>
    <col min="4" max="4" width="12" bestFit="1" customWidth="1"/>
  </cols>
  <sheetData>
    <row r="1" spans="1:5" s="1" customFormat="1" x14ac:dyDescent="0.25">
      <c r="A1" s="1" t="s">
        <v>38</v>
      </c>
      <c r="B1" s="1" t="s">
        <v>79</v>
      </c>
      <c r="C1" s="1" t="s">
        <v>84</v>
      </c>
      <c r="D1" s="1" t="s">
        <v>1</v>
      </c>
      <c r="E1" s="1" t="s">
        <v>7</v>
      </c>
    </row>
    <row r="2" spans="1:5" x14ac:dyDescent="0.25">
      <c r="A2" t="str">
        <f>Emissions!A2</f>
        <v>GHG</v>
      </c>
      <c r="B2" t="s">
        <v>76</v>
      </c>
      <c r="C2" t="s">
        <v>56</v>
      </c>
      <c r="D2">
        <f>Emissions!E3*0.001*0.43*(42800/1000/3.6)</f>
        <v>0.80006277777777757</v>
      </c>
      <c r="E2" t="s">
        <v>156</v>
      </c>
    </row>
    <row r="3" spans="1:5" x14ac:dyDescent="0.25">
      <c r="A3" t="str">
        <f>Emissions!A4</f>
        <v>NOx</v>
      </c>
      <c r="B3" t="s">
        <v>76</v>
      </c>
      <c r="C3" t="s">
        <v>56</v>
      </c>
      <c r="D3">
        <f>Emissions!E5*0.001*0.43*(42800/1000/3.6)</f>
        <v>0</v>
      </c>
      <c r="E3" t="s">
        <v>156</v>
      </c>
    </row>
    <row r="4" spans="1:5" x14ac:dyDescent="0.25">
      <c r="A4" t="str">
        <f>Emissions!A6</f>
        <v>SOx</v>
      </c>
      <c r="B4" t="s">
        <v>76</v>
      </c>
      <c r="C4" t="s">
        <v>56</v>
      </c>
      <c r="D4">
        <f>Emissions!E7*0.001*0.43*(42800/1000/3.6)</f>
        <v>0</v>
      </c>
      <c r="E4" t="s">
        <v>156</v>
      </c>
    </row>
    <row r="5" spans="1:5" x14ac:dyDescent="0.25">
      <c r="A5" t="str">
        <f>A2</f>
        <v>GHG</v>
      </c>
      <c r="B5" t="s">
        <v>76</v>
      </c>
      <c r="C5" t="s">
        <v>12</v>
      </c>
      <c r="D5">
        <f>Emissions!E15*0.001*0.43*(50000/1000/3.6)</f>
        <v>0.60020833333333334</v>
      </c>
      <c r="E5" t="s">
        <v>156</v>
      </c>
    </row>
    <row r="6" spans="1:5" x14ac:dyDescent="0.25">
      <c r="A6" t="str">
        <f t="shared" ref="A6:A7" si="0">A3</f>
        <v>NOx</v>
      </c>
      <c r="B6" t="s">
        <v>76</v>
      </c>
      <c r="C6" t="s">
        <v>12</v>
      </c>
      <c r="D6">
        <f>Emissions!E17*0.001*0.43*(50000/1000/3.6)</f>
        <v>2.3888888888888889E-5</v>
      </c>
      <c r="E6" t="s">
        <v>156</v>
      </c>
    </row>
    <row r="7" spans="1:5" x14ac:dyDescent="0.25">
      <c r="A7" t="str">
        <f t="shared" si="0"/>
        <v>SOx</v>
      </c>
      <c r="B7" t="s">
        <v>76</v>
      </c>
      <c r="C7" t="s">
        <v>12</v>
      </c>
      <c r="D7">
        <f>Emissions!E19*0.001*0.43*(50000/1000/3.6)</f>
        <v>1.1944444444444444E-5</v>
      </c>
      <c r="E7" t="s">
        <v>156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CD4A4-9B84-462C-9F8B-068F0C9179E6}">
  <dimension ref="A1:F8"/>
  <sheetViews>
    <sheetView workbookViewId="0">
      <selection activeCell="G11" sqref="G11"/>
    </sheetView>
  </sheetViews>
  <sheetFormatPr defaultRowHeight="15" x14ac:dyDescent="0.25"/>
  <cols>
    <col min="1" max="1" width="17.42578125" bestFit="1" customWidth="1"/>
    <col min="4" max="4" width="7.7109375" customWidth="1"/>
    <col min="5" max="5" width="10.5703125" bestFit="1" customWidth="1"/>
    <col min="6" max="6" width="10.140625" bestFit="1" customWidth="1"/>
  </cols>
  <sheetData>
    <row r="1" spans="1:6" x14ac:dyDescent="0.25">
      <c r="A1" s="1" t="s">
        <v>64</v>
      </c>
      <c r="B1" s="16" t="s">
        <v>73</v>
      </c>
      <c r="C1" s="16" t="s">
        <v>29</v>
      </c>
      <c r="D1" s="16" t="s">
        <v>63</v>
      </c>
      <c r="E1" s="16" t="s">
        <v>30</v>
      </c>
      <c r="F1" s="16" t="s">
        <v>97</v>
      </c>
    </row>
    <row r="2" spans="1:6" x14ac:dyDescent="0.25">
      <c r="A2" t="s">
        <v>157</v>
      </c>
      <c r="B2" s="33">
        <v>1</v>
      </c>
      <c r="C2" s="16"/>
      <c r="D2" s="16"/>
      <c r="E2" s="16"/>
      <c r="F2" s="16"/>
    </row>
    <row r="3" spans="1:6" x14ac:dyDescent="0.25">
      <c r="A3" t="s">
        <v>158</v>
      </c>
      <c r="B3" s="33">
        <v>2</v>
      </c>
      <c r="C3" s="16"/>
      <c r="D3" s="16"/>
      <c r="E3" s="16"/>
      <c r="F3" s="16"/>
    </row>
    <row r="4" spans="1:6" x14ac:dyDescent="0.25">
      <c r="A4" t="s">
        <v>159</v>
      </c>
      <c r="B4" s="33">
        <v>3</v>
      </c>
      <c r="C4" s="16"/>
      <c r="D4" s="16"/>
      <c r="E4" s="16"/>
      <c r="F4" s="16"/>
    </row>
    <row r="5" spans="1:6" x14ac:dyDescent="0.25">
      <c r="A5" t="s">
        <v>65</v>
      </c>
      <c r="B5" s="9" t="s">
        <v>26</v>
      </c>
      <c r="C5" s="9" t="s">
        <v>32</v>
      </c>
      <c r="D5" s="9"/>
      <c r="E5" s="9"/>
      <c r="F5" s="9"/>
    </row>
    <row r="6" spans="1:6" x14ac:dyDescent="0.25">
      <c r="A6" t="s">
        <v>62</v>
      </c>
      <c r="B6" s="9" t="s">
        <v>27</v>
      </c>
      <c r="C6" s="9" t="s">
        <v>32</v>
      </c>
      <c r="D6" s="9" t="s">
        <v>32</v>
      </c>
      <c r="E6" s="9"/>
      <c r="F6" s="9"/>
    </row>
    <row r="7" spans="1:6" x14ac:dyDescent="0.25">
      <c r="A7" t="s">
        <v>61</v>
      </c>
      <c r="B7" s="9" t="s">
        <v>28</v>
      </c>
      <c r="C7" s="9" t="s">
        <v>32</v>
      </c>
      <c r="D7" s="9" t="s">
        <v>32</v>
      </c>
      <c r="E7" s="9" t="s">
        <v>32</v>
      </c>
      <c r="F7" s="9"/>
    </row>
    <row r="8" spans="1:6" x14ac:dyDescent="0.25">
      <c r="A8" t="s">
        <v>31</v>
      </c>
      <c r="B8" s="9" t="s">
        <v>60</v>
      </c>
      <c r="C8" s="9" t="s">
        <v>32</v>
      </c>
      <c r="D8" s="9" t="s">
        <v>32</v>
      </c>
      <c r="E8" s="9" t="s">
        <v>32</v>
      </c>
      <c r="F8" s="9" t="s">
        <v>32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FB382-FA62-4632-B2D3-AAA94F109E1C}">
  <dimension ref="A1:J9"/>
  <sheetViews>
    <sheetView tabSelected="1" workbookViewId="0">
      <selection activeCell="H18" sqref="H18"/>
    </sheetView>
  </sheetViews>
  <sheetFormatPr defaultRowHeight="15" x14ac:dyDescent="0.25"/>
  <cols>
    <col min="1" max="1" width="15" bestFit="1" customWidth="1"/>
    <col min="2" max="2" width="5.85546875" customWidth="1"/>
    <col min="3" max="3" width="17.42578125" customWidth="1"/>
    <col min="4" max="4" width="15" style="9" bestFit="1" customWidth="1"/>
    <col min="5" max="5" width="14.85546875" style="9" bestFit="1" customWidth="1"/>
    <col min="6" max="7" width="24.28515625" style="9" customWidth="1"/>
    <col min="8" max="8" width="26.140625" style="9" bestFit="1" customWidth="1"/>
    <col min="9" max="9" width="56.42578125" style="18" customWidth="1"/>
    <col min="10" max="10" width="65.5703125" bestFit="1" customWidth="1"/>
  </cols>
  <sheetData>
    <row r="1" spans="1:10" x14ac:dyDescent="0.25">
      <c r="A1" s="1" t="s">
        <v>64</v>
      </c>
      <c r="B1" s="16" t="s">
        <v>73</v>
      </c>
      <c r="C1" s="1" t="s">
        <v>64</v>
      </c>
      <c r="D1" s="1" t="s">
        <v>57</v>
      </c>
      <c r="E1" s="1"/>
      <c r="F1" s="34" t="s">
        <v>150</v>
      </c>
      <c r="G1" s="34"/>
      <c r="H1" s="17" t="s">
        <v>114</v>
      </c>
      <c r="I1" s="17" t="s">
        <v>113</v>
      </c>
      <c r="J1" s="1" t="s">
        <v>104</v>
      </c>
    </row>
    <row r="2" spans="1:10" x14ac:dyDescent="0.25">
      <c r="A2" s="1"/>
      <c r="B2" s="16"/>
      <c r="C2" s="16"/>
      <c r="D2" s="16" t="s">
        <v>4</v>
      </c>
      <c r="E2" s="16" t="s">
        <v>100</v>
      </c>
      <c r="F2" s="16" t="s">
        <v>56</v>
      </c>
      <c r="G2" s="16" t="s">
        <v>12</v>
      </c>
      <c r="H2" s="17"/>
      <c r="I2" s="17"/>
    </row>
    <row r="3" spans="1:10" ht="30" x14ac:dyDescent="0.25">
      <c r="A3" s="23" t="s">
        <v>98</v>
      </c>
      <c r="B3" s="24">
        <v>1</v>
      </c>
      <c r="C3" s="31" t="s">
        <v>127</v>
      </c>
      <c r="D3" s="25">
        <v>0</v>
      </c>
      <c r="E3" s="18" t="s">
        <v>128</v>
      </c>
      <c r="F3" s="25" t="s">
        <v>144</v>
      </c>
      <c r="G3" s="25" t="s">
        <v>68</v>
      </c>
      <c r="H3" s="19" t="s">
        <v>142</v>
      </c>
      <c r="I3" s="19" t="s">
        <v>129</v>
      </c>
    </row>
    <row r="4" spans="1:10" s="23" customFormat="1" ht="30" x14ac:dyDescent="0.25">
      <c r="A4" s="23" t="s">
        <v>99</v>
      </c>
      <c r="B4" s="24">
        <v>2</v>
      </c>
      <c r="C4" s="31" t="s">
        <v>120</v>
      </c>
      <c r="D4" s="25">
        <v>0</v>
      </c>
      <c r="E4" s="18" t="s">
        <v>101</v>
      </c>
      <c r="F4" s="19" t="s">
        <v>148</v>
      </c>
      <c r="G4" s="25" t="s">
        <v>145</v>
      </c>
      <c r="H4" s="19" t="s">
        <v>143</v>
      </c>
      <c r="I4" s="19" t="s">
        <v>115</v>
      </c>
    </row>
    <row r="5" spans="1:10" s="23" customFormat="1" ht="29.25" customHeight="1" x14ac:dyDescent="0.25">
      <c r="A5" s="23" t="s">
        <v>130</v>
      </c>
      <c r="B5" s="24">
        <v>3</v>
      </c>
      <c r="C5" s="31" t="s">
        <v>121</v>
      </c>
      <c r="D5" s="25">
        <v>0</v>
      </c>
      <c r="E5" s="18" t="s">
        <v>102</v>
      </c>
      <c r="F5" s="18" t="s">
        <v>68</v>
      </c>
      <c r="G5" s="18" t="s">
        <v>146</v>
      </c>
      <c r="H5" s="18" t="s">
        <v>108</v>
      </c>
      <c r="I5" s="18" t="s">
        <v>116</v>
      </c>
      <c r="J5" s="23" t="s">
        <v>103</v>
      </c>
    </row>
    <row r="6" spans="1:10" s="23" customFormat="1" ht="42.75" customHeight="1" x14ac:dyDescent="0.25">
      <c r="A6" s="23" t="s">
        <v>65</v>
      </c>
      <c r="B6" s="18" t="s">
        <v>26</v>
      </c>
      <c r="C6" s="32" t="s">
        <v>122</v>
      </c>
      <c r="D6" s="18" t="s">
        <v>151</v>
      </c>
      <c r="E6" s="18" t="s">
        <v>106</v>
      </c>
      <c r="F6" s="19" t="s">
        <v>148</v>
      </c>
      <c r="G6" s="19" t="s">
        <v>147</v>
      </c>
      <c r="H6" s="19" t="s">
        <v>109</v>
      </c>
      <c r="I6" s="19" t="s">
        <v>118</v>
      </c>
    </row>
    <row r="7" spans="1:10" s="23" customFormat="1" ht="42.75" customHeight="1" x14ac:dyDescent="0.25">
      <c r="A7" s="23" t="s">
        <v>62</v>
      </c>
      <c r="B7" s="18" t="s">
        <v>27</v>
      </c>
      <c r="C7" s="32" t="s">
        <v>123</v>
      </c>
      <c r="D7" s="18" t="s">
        <v>152</v>
      </c>
      <c r="E7" s="18" t="s">
        <v>106</v>
      </c>
      <c r="F7" s="19" t="s">
        <v>148</v>
      </c>
      <c r="G7" s="19" t="s">
        <v>149</v>
      </c>
      <c r="H7" s="19" t="s">
        <v>110</v>
      </c>
      <c r="I7" s="19" t="s">
        <v>117</v>
      </c>
    </row>
    <row r="8" spans="1:10" s="23" customFormat="1" ht="29.25" customHeight="1" x14ac:dyDescent="0.25">
      <c r="A8" s="23" t="s">
        <v>141</v>
      </c>
      <c r="B8" s="18" t="s">
        <v>28</v>
      </c>
      <c r="C8" s="32" t="s">
        <v>124</v>
      </c>
      <c r="D8" s="18" t="s">
        <v>153</v>
      </c>
      <c r="E8" s="18" t="s">
        <v>105</v>
      </c>
      <c r="F8" s="18"/>
      <c r="G8" s="18" t="s">
        <v>61</v>
      </c>
      <c r="H8" s="18" t="s">
        <v>111</v>
      </c>
      <c r="I8" s="18" t="s">
        <v>119</v>
      </c>
      <c r="J8" s="23" t="s">
        <v>107</v>
      </c>
    </row>
    <row r="9" spans="1:10" s="23" customFormat="1" ht="29.25" customHeight="1" x14ac:dyDescent="0.25">
      <c r="A9" s="23" t="s">
        <v>31</v>
      </c>
      <c r="B9" s="18" t="s">
        <v>60</v>
      </c>
      <c r="C9" s="32" t="s">
        <v>125</v>
      </c>
      <c r="D9" s="25">
        <v>1</v>
      </c>
      <c r="E9" s="25">
        <v>0</v>
      </c>
      <c r="F9" s="18" t="s">
        <v>68</v>
      </c>
      <c r="G9" s="18" t="s">
        <v>61</v>
      </c>
      <c r="H9" s="18" t="s">
        <v>111</v>
      </c>
      <c r="I9" s="18" t="s">
        <v>119</v>
      </c>
    </row>
  </sheetData>
  <mergeCells count="1">
    <mergeCell ref="F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Components</vt:lpstr>
      <vt:lpstr>Parameters</vt:lpstr>
      <vt:lpstr>Emissions</vt:lpstr>
      <vt:lpstr>Emissions_WTT</vt:lpstr>
      <vt:lpstr>Scenarios</vt:lpstr>
      <vt:lpstr>Overview DS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Berend van Veldhuizen</dc:creator>
  <cp:lastModifiedBy>Berend Veldhuizen</cp:lastModifiedBy>
  <dcterms:created xsi:type="dcterms:W3CDTF">2023-07-26T15:39:34Z</dcterms:created>
  <dcterms:modified xsi:type="dcterms:W3CDTF">2024-08-19T14:06:32Z</dcterms:modified>
</cp:coreProperties>
</file>