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66925"/>
  <mc:AlternateContent xmlns:mc="http://schemas.openxmlformats.org/markup-compatibility/2006">
    <mc:Choice Requires="x15">
      <x15ac:absPath xmlns:x15ac="http://schemas.microsoft.com/office/spreadsheetml/2010/11/ac" url="C:\9999_Office\conferences\COPRI_CoastalStruct_2019\Appendix_suppl_data\"/>
    </mc:Choice>
  </mc:AlternateContent>
  <xr:revisionPtr revIDLastSave="0" documentId="13_ncr:1_{9EFD5798-A50C-4F4C-8149-01BBB710FC0A}" xr6:coauthVersionLast="41" xr6:coauthVersionMax="41" xr10:uidLastSave="{00000000-0000-0000-0000-000000000000}"/>
  <bookViews>
    <workbookView xWindow="-120" yWindow="-120" windowWidth="29040" windowHeight="15990" tabRatio="481" xr2:uid="{00000000-000D-0000-FFFF-FFFF00000000}"/>
  </bookViews>
  <sheets>
    <sheet name="Appendix A1" sheetId="12" r:id="rId1"/>
    <sheet name="Appendix A2" sheetId="1" r:id="rId2"/>
    <sheet name="Appendix A3" sheetId="11" r:id="rId3"/>
    <sheet name="readme"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2" i="1" l="1"/>
  <c r="E22" i="1"/>
  <c r="F22" i="1"/>
  <c r="G22" i="1"/>
  <c r="H22" i="1"/>
  <c r="I22" i="1"/>
  <c r="J22" i="1"/>
  <c r="K22" i="1"/>
  <c r="L22" i="1"/>
  <c r="M22" i="1"/>
  <c r="N22" i="1"/>
  <c r="O22" i="1"/>
  <c r="P22" i="1"/>
  <c r="Q22" i="1"/>
  <c r="R22" i="1"/>
  <c r="S22" i="1"/>
  <c r="T22" i="1"/>
  <c r="U22" i="1"/>
  <c r="C22" i="1"/>
  <c r="D95" i="1" l="1"/>
  <c r="E95" i="1"/>
  <c r="G95" i="1"/>
  <c r="H95" i="1"/>
  <c r="I95" i="1"/>
  <c r="J95" i="1"/>
  <c r="K95" i="1"/>
  <c r="L95" i="1"/>
  <c r="M95" i="1"/>
  <c r="N95" i="1"/>
  <c r="O95" i="1"/>
  <c r="P95" i="1"/>
  <c r="Q95" i="1"/>
  <c r="R95" i="1"/>
  <c r="S95" i="1"/>
  <c r="T95" i="1"/>
  <c r="U95" i="1"/>
  <c r="C95" i="1"/>
  <c r="L8" i="11"/>
  <c r="J9" i="11"/>
  <c r="J10" i="11" s="1"/>
  <c r="J11" i="11" s="1"/>
  <c r="J12" i="11" s="1"/>
  <c r="J13" i="11" s="1"/>
  <c r="D14" i="1" l="1"/>
  <c r="E14" i="1"/>
  <c r="F14" i="1"/>
  <c r="G14" i="1"/>
  <c r="H14" i="1"/>
  <c r="I14" i="1"/>
  <c r="J14" i="1"/>
  <c r="K14" i="1"/>
  <c r="L14" i="1"/>
  <c r="M14" i="1"/>
  <c r="N14" i="1"/>
  <c r="O14" i="1"/>
  <c r="P14" i="1"/>
  <c r="Q14" i="1"/>
  <c r="R14" i="1"/>
  <c r="S14" i="1"/>
  <c r="T14" i="1"/>
  <c r="U14" i="1"/>
  <c r="C14" i="1"/>
  <c r="K9" i="11" l="1"/>
  <c r="K10" i="11" l="1"/>
  <c r="L9" i="11"/>
  <c r="K11" i="11" l="1"/>
  <c r="L10" i="11"/>
  <c r="M10" i="11" s="1"/>
  <c r="M9" i="11"/>
  <c r="K12" i="11" l="1"/>
  <c r="L11" i="11"/>
  <c r="M11" i="11" s="1"/>
  <c r="M8" i="11"/>
  <c r="K13" i="11" l="1"/>
  <c r="L12" i="11"/>
  <c r="M12" i="11" s="1"/>
  <c r="O8" i="11"/>
  <c r="T36" i="1"/>
  <c r="C12" i="1" l="1"/>
  <c r="C96" i="1" s="1"/>
  <c r="K14" i="11"/>
  <c r="L13" i="11"/>
  <c r="M13" i="11" s="1"/>
  <c r="O13" i="11" s="1"/>
  <c r="Q8" i="11"/>
  <c r="D18" i="1"/>
  <c r="D23" i="1"/>
  <c r="Q13" i="11" l="1"/>
  <c r="I12" i="1"/>
  <c r="K15" i="11"/>
  <c r="L14" i="11"/>
  <c r="M14" i="11" s="1"/>
  <c r="O14" i="11" s="1"/>
  <c r="Q14" i="11" l="1"/>
  <c r="J12" i="1"/>
  <c r="I96" i="1"/>
  <c r="K16" i="11"/>
  <c r="L15" i="11"/>
  <c r="M15" i="11" l="1"/>
  <c r="J96" i="1"/>
  <c r="K17" i="11"/>
  <c r="L16" i="11"/>
  <c r="M16" i="11" s="1"/>
  <c r="O16" i="11" s="1"/>
  <c r="D11" i="1"/>
  <c r="R55" i="1"/>
  <c r="R49" i="1"/>
  <c r="Q61" i="1"/>
  <c r="Q55" i="1"/>
  <c r="Q16" i="11" l="1"/>
  <c r="L12" i="1"/>
  <c r="K18" i="11"/>
  <c r="L17" i="11"/>
  <c r="M17" i="11" s="1"/>
  <c r="O17" i="11" s="1"/>
  <c r="N30" i="1"/>
  <c r="Q17" i="11" l="1"/>
  <c r="M12" i="1"/>
  <c r="K19" i="11"/>
  <c r="L18" i="11"/>
  <c r="L96" i="1"/>
  <c r="P18" i="1"/>
  <c r="O18" i="1"/>
  <c r="N18" i="1"/>
  <c r="M18" i="1"/>
  <c r="L18" i="1"/>
  <c r="K18" i="1"/>
  <c r="J18" i="1"/>
  <c r="I18" i="1"/>
  <c r="H18" i="1"/>
  <c r="G18" i="1"/>
  <c r="F18" i="1"/>
  <c r="E18" i="1"/>
  <c r="C18" i="1"/>
  <c r="K20" i="11" l="1"/>
  <c r="L19" i="11"/>
  <c r="M19" i="11" s="1"/>
  <c r="O19" i="11" s="1"/>
  <c r="M18" i="11"/>
  <c r="O18" i="11" s="1"/>
  <c r="M96" i="1"/>
  <c r="S31" i="1"/>
  <c r="S29" i="1"/>
  <c r="S18" i="1" s="1"/>
  <c r="T29" i="1"/>
  <c r="T18" i="1" s="1"/>
  <c r="T31" i="1"/>
  <c r="P31" i="1"/>
  <c r="N31" i="1"/>
  <c r="Q18" i="11" l="1"/>
  <c r="N12" i="1"/>
  <c r="Q19" i="11"/>
  <c r="O12" i="1"/>
  <c r="K21" i="11"/>
  <c r="L20" i="11"/>
  <c r="M20" i="11" s="1"/>
  <c r="O15" i="11"/>
  <c r="R30" i="1"/>
  <c r="R29" i="1"/>
  <c r="Q30" i="1"/>
  <c r="Q29" i="1"/>
  <c r="Q18" i="1" s="1"/>
  <c r="R18" i="1" l="1"/>
  <c r="O96" i="1"/>
  <c r="N96" i="1"/>
  <c r="K22" i="11"/>
  <c r="L21" i="11"/>
  <c r="M21" i="11" s="1"/>
  <c r="Q15" i="11"/>
  <c r="K12" i="1"/>
  <c r="E31" i="1"/>
  <c r="K23" i="11" l="1"/>
  <c r="L22" i="11"/>
  <c r="M22" i="11" s="1"/>
  <c r="O22" i="11" s="1"/>
  <c r="K96" i="1"/>
  <c r="O20" i="11"/>
  <c r="R31" i="1"/>
  <c r="Q31" i="1"/>
  <c r="G31" i="1"/>
  <c r="U43" i="1"/>
  <c r="T43" i="1"/>
  <c r="S43" i="1"/>
  <c r="R43" i="1"/>
  <c r="Q43" i="1"/>
  <c r="P43" i="1"/>
  <c r="O43" i="1"/>
  <c r="N43" i="1"/>
  <c r="M43" i="1"/>
  <c r="L43" i="1"/>
  <c r="L31" i="1" s="1"/>
  <c r="K43" i="1"/>
  <c r="J43" i="1"/>
  <c r="I43" i="1"/>
  <c r="H43" i="1"/>
  <c r="G43" i="1"/>
  <c r="F43" i="1"/>
  <c r="E43" i="1"/>
  <c r="C43" i="1"/>
  <c r="Q20" i="11" l="1"/>
  <c r="P12" i="1"/>
  <c r="Q22" i="11"/>
  <c r="R12" i="1"/>
  <c r="K24" i="11"/>
  <c r="L23" i="11"/>
  <c r="M23" i="11" s="1"/>
  <c r="O23" i="11" s="1"/>
  <c r="O10" i="11"/>
  <c r="I31" i="1"/>
  <c r="J31" i="1"/>
  <c r="C31" i="1"/>
  <c r="M31" i="1"/>
  <c r="R96" i="1" l="1"/>
  <c r="S12" i="1"/>
  <c r="Q23" i="11"/>
  <c r="K25" i="11"/>
  <c r="L24" i="11"/>
  <c r="P96" i="1"/>
  <c r="Q10" i="11"/>
  <c r="E12" i="1"/>
  <c r="O21" i="11"/>
  <c r="E34" i="1"/>
  <c r="Q21" i="11" l="1"/>
  <c r="Q12" i="1"/>
  <c r="S96" i="1"/>
  <c r="J25" i="11"/>
  <c r="L25" i="11" s="1"/>
  <c r="M25" i="11" s="1"/>
  <c r="O25" i="11" s="1"/>
  <c r="E96" i="1"/>
  <c r="M24" i="11"/>
  <c r="O12" i="11"/>
  <c r="Q25" i="11" l="1"/>
  <c r="U12" i="1"/>
  <c r="Q12" i="11"/>
  <c r="H12" i="1"/>
  <c r="Q96" i="1"/>
  <c r="O24" i="11"/>
  <c r="O11" i="11"/>
  <c r="Q11" i="11" l="1"/>
  <c r="G12" i="1"/>
  <c r="H96" i="1"/>
  <c r="U96" i="1"/>
  <c r="Q24" i="11"/>
  <c r="T12" i="1"/>
  <c r="O9" i="11"/>
  <c r="D12" i="1" l="1"/>
  <c r="T96" i="1"/>
  <c r="G96" i="1"/>
  <c r="Q9" i="11"/>
  <c r="D96" i="1" l="1"/>
  <c r="V96" i="1" s="1"/>
</calcChain>
</file>

<file path=xl/sharedStrings.xml><?xml version="1.0" encoding="utf-8"?>
<sst xmlns="http://schemas.openxmlformats.org/spreadsheetml/2006/main" count="1172" uniqueCount="328">
  <si>
    <t>Barrier Name</t>
  </si>
  <si>
    <t>Barrier Length</t>
  </si>
  <si>
    <t>m</t>
  </si>
  <si>
    <t>System Design safety level</t>
  </si>
  <si>
    <t>1/year</t>
  </si>
  <si>
    <t>Design Water Level - Flood side</t>
  </si>
  <si>
    <t>Design Water Level - Protected side</t>
  </si>
  <si>
    <t>Tidal Range</t>
  </si>
  <si>
    <t>Tidal Volume</t>
  </si>
  <si>
    <t>Wet Cross-section</t>
  </si>
  <si>
    <t>m2</t>
  </si>
  <si>
    <t>Foundation type</t>
  </si>
  <si>
    <t>Gate 1 - Type</t>
  </si>
  <si>
    <t>Gate 1 - Span</t>
  </si>
  <si>
    <t>S1</t>
  </si>
  <si>
    <t>S10</t>
  </si>
  <si>
    <t>1/yr</t>
  </si>
  <si>
    <t>Surface Area Tidal Basin</t>
  </si>
  <si>
    <t>Pile Foundation</t>
  </si>
  <si>
    <t>Navigation</t>
  </si>
  <si>
    <t>Navigation through Lock and Gates</t>
  </si>
  <si>
    <t>Gate 2 - Type</t>
  </si>
  <si>
    <t>Gate 2 - Span</t>
  </si>
  <si>
    <t>source</t>
  </si>
  <si>
    <t>Overview and Design Considerations of Storm Surge Barriers</t>
  </si>
  <si>
    <t>DOI: 10.1061/(ASCE)WW.1943-5460.0000383</t>
  </si>
  <si>
    <t>supplemental_data_ww.1943-5460.0000383_mooyaart.pdf</t>
  </si>
  <si>
    <t>ASCE Journal of Waterway, Port, Coastal and Ocean Engineering</t>
  </si>
  <si>
    <t>Supplemental Data</t>
  </si>
  <si>
    <t>Shallow foundation on rock ledge</t>
  </si>
  <si>
    <t>Sector</t>
  </si>
  <si>
    <t>Through sector gate</t>
  </si>
  <si>
    <t>S2</t>
  </si>
  <si>
    <t xml:space="preserve"> New Bedford hurricane barrier (USA, MA)</t>
  </si>
  <si>
    <t>m3</t>
  </si>
  <si>
    <t xml:space="preserve"> Billwerder Bucht barrier (Germany)</t>
  </si>
  <si>
    <t>-</t>
  </si>
  <si>
    <t>Tension piles ~ 5m</t>
  </si>
  <si>
    <t>Through deep double flap gates</t>
  </si>
  <si>
    <t>Double flap gate (axis above water table)</t>
  </si>
  <si>
    <t>S3</t>
  </si>
  <si>
    <t>S4</t>
  </si>
  <si>
    <t>Stamford hurricane barrier (USA, CT)</t>
  </si>
  <si>
    <t>Unknown</t>
  </si>
  <si>
    <t>Through flap gate</t>
  </si>
  <si>
    <t>S5</t>
  </si>
  <si>
    <t>Eider barrier (Germany)</t>
  </si>
  <si>
    <t>Pile foundation</t>
  </si>
  <si>
    <t>Through adjacent lock</t>
  </si>
  <si>
    <t>S6</t>
  </si>
  <si>
    <t>Hull barrier (UK)</t>
  </si>
  <si>
    <t>Mass concrete monoliths supporting the hoisting towers</t>
  </si>
  <si>
    <t>Through vertical lift gate</t>
  </si>
  <si>
    <t>Vertical lift</t>
  </si>
  <si>
    <t>S7</t>
  </si>
  <si>
    <t>Thames barrier (UK)</t>
  </si>
  <si>
    <t>Soil improvement (chalk removal) and pile foundation</t>
  </si>
  <si>
    <t>Navigation through rotary segment gates</t>
  </si>
  <si>
    <t>Rotary segment</t>
  </si>
  <si>
    <t>Gate 1 - Number</t>
  </si>
  <si>
    <t>Gate 2 - Number</t>
  </si>
  <si>
    <t>Gate 3 - Type</t>
  </si>
  <si>
    <t>Gate 3 - Number</t>
  </si>
  <si>
    <t>Gate 3 - Sill Elevation</t>
  </si>
  <si>
    <t>S8</t>
  </si>
  <si>
    <t>Eastern Scheldt barrier (The Netherlands)</t>
  </si>
  <si>
    <t>Design wave height</t>
  </si>
  <si>
    <t>Pre-construction Wet cross-section (below MSL)</t>
  </si>
  <si>
    <t>Post-construction Wet cross-section (below MSL)</t>
  </si>
  <si>
    <t>Soil compaction, soil improvement and shallow foundation</t>
  </si>
  <si>
    <t>Roompotsluis, width: 16 meter (lock)</t>
  </si>
  <si>
    <t>Total Number of Gates</t>
  </si>
  <si>
    <t>Gate 4 - Type</t>
  </si>
  <si>
    <t>Gate 4 - Number</t>
  </si>
  <si>
    <t>Gate 4 - Span</t>
  </si>
  <si>
    <t>Gate 5 - Sill Elevation</t>
  </si>
  <si>
    <t>Gate 5 - Type</t>
  </si>
  <si>
    <t>Gate 5 - Number</t>
  </si>
  <si>
    <t>Gate 5 - Span</t>
  </si>
  <si>
    <t>Gate 4 - Sill Elevation</t>
  </si>
  <si>
    <t>Gate 6 - Type</t>
  </si>
  <si>
    <t>Gate 6 - Number</t>
  </si>
  <si>
    <t>Gate 6 - Span</t>
  </si>
  <si>
    <t>Gate 6 - Sill Elevation</t>
  </si>
  <si>
    <t>Gate 7 - Type</t>
  </si>
  <si>
    <t>Gate 7 - Number</t>
  </si>
  <si>
    <t>Gate 7 - Span</t>
  </si>
  <si>
    <t>Gate 7 - Sill Elevation</t>
  </si>
  <si>
    <t>Maeslant barrier (The Netherlands)</t>
  </si>
  <si>
    <t>S9</t>
  </si>
  <si>
    <t>Design requirements safety- Structural failure</t>
  </si>
  <si>
    <t>Design requirements safety- Failure to close</t>
  </si>
  <si>
    <t>Design requirements safety- Failure to open</t>
  </si>
  <si>
    <t>Spherical hinges with a soil improvement</t>
  </si>
  <si>
    <t>Floating sector</t>
  </si>
  <si>
    <t>Gate 1 - Sill Elevation- MSL</t>
  </si>
  <si>
    <t>Gate 2 - Sill Elevation- MSL</t>
  </si>
  <si>
    <t>Ramspol barrier (The Netherlands)</t>
  </si>
  <si>
    <t>S11</t>
  </si>
  <si>
    <t>S12</t>
  </si>
  <si>
    <t>S13</t>
  </si>
  <si>
    <t>S14</t>
  </si>
  <si>
    <t>S15</t>
  </si>
  <si>
    <t>Inland navigation through one section, recreational through other.</t>
  </si>
  <si>
    <t>Inflatable rubber</t>
  </si>
  <si>
    <t>Ems barrier (Germany)</t>
  </si>
  <si>
    <t>Navigation through HSO and BSO</t>
  </si>
  <si>
    <t>St. Petersburg barrier (Russia)</t>
  </si>
  <si>
    <t>Caisson (S1) and pile foundation (B1-B6), S2 unknown</t>
  </si>
  <si>
    <t>Navigation through S1 and S2</t>
  </si>
  <si>
    <t>IHNC barrier (USA, LA)</t>
  </si>
  <si>
    <t>Barge gate</t>
  </si>
  <si>
    <t>S16</t>
  </si>
  <si>
    <t>S17</t>
  </si>
  <si>
    <t>S18</t>
  </si>
  <si>
    <t>Seabrook Floodgate Complex (USA, LA)</t>
  </si>
  <si>
    <t>Unknown, pile foundation</t>
  </si>
  <si>
    <t>Harvey Canal floodgate (USA, LA)</t>
  </si>
  <si>
    <t>GIWW-West Closure Complex (USA, LA)</t>
  </si>
  <si>
    <t>Venice / MOSE-project (Italy)</t>
  </si>
  <si>
    <t>Navigation through Chiogga, Malamocco, Treporti</t>
  </si>
  <si>
    <t>Start Construction Period</t>
  </si>
  <si>
    <t>End Construction Period</t>
  </si>
  <si>
    <t>Hollandsche IJssel (The Netherlands)</t>
  </si>
  <si>
    <t>Hartel barrier (The Netherlands)</t>
  </si>
  <si>
    <t>Vertical rising</t>
  </si>
  <si>
    <t>Flap</t>
  </si>
  <si>
    <t>Navigation through sector gate and vertical lift</t>
  </si>
  <si>
    <t>Lowest Sill Elevation - MSL</t>
  </si>
  <si>
    <t>Tainter</t>
  </si>
  <si>
    <t>Top of Barrier</t>
  </si>
  <si>
    <t>Gate 3 - Span</t>
  </si>
  <si>
    <t>Peak Flow</t>
  </si>
  <si>
    <t>m3/s</t>
  </si>
  <si>
    <t>deg</t>
  </si>
  <si>
    <t>Gate 1  - Nav</t>
  </si>
  <si>
    <t>Gate 2  - Nav</t>
  </si>
  <si>
    <t>Gate 3 - Nav</t>
  </si>
  <si>
    <t>Gate 4 - Nav</t>
  </si>
  <si>
    <t>Gate 5 - Nav</t>
  </si>
  <si>
    <t>Gate 6 - Nav</t>
  </si>
  <si>
    <t>Gate 7 - Nav</t>
  </si>
  <si>
    <t>yes</t>
  </si>
  <si>
    <t>no</t>
  </si>
  <si>
    <t>Gate 1  - Pier Width</t>
  </si>
  <si>
    <t>Gate 2 - Pier Width</t>
  </si>
  <si>
    <t>10.4</t>
  </si>
  <si>
    <t>7.4</t>
  </si>
  <si>
    <t>Gate 3 - Pier Width</t>
  </si>
  <si>
    <t>Gate 4 - Pier Width</t>
  </si>
  <si>
    <t>Gate 5 - Pier Width</t>
  </si>
  <si>
    <t>Gate 6 - Pier Width</t>
  </si>
  <si>
    <t>Gate 7 - Pier Width</t>
  </si>
  <si>
    <t>Coastal Setting</t>
  </si>
  <si>
    <t>Estuary</t>
  </si>
  <si>
    <t>River</t>
  </si>
  <si>
    <t>Harbor/Canal</t>
  </si>
  <si>
    <t>S19</t>
  </si>
  <si>
    <t>Fox Point Barrier (USA, RI)</t>
  </si>
  <si>
    <t>Barge Gate</t>
  </si>
  <si>
    <t>Navigable Area*</t>
  </si>
  <si>
    <t>Auxiliary Flow Area*</t>
  </si>
  <si>
    <t>Construction Duration</t>
  </si>
  <si>
    <t>Yr</t>
  </si>
  <si>
    <t>Construction Cost</t>
  </si>
  <si>
    <t>Design Head Differential</t>
  </si>
  <si>
    <t>*Navigable or Auxiliary Span or Area corresponds with opening and adjacent structural features related to the function of the gate.</t>
  </si>
  <si>
    <t>Main Function(s)</t>
  </si>
  <si>
    <t>Navigation and Tidal Exchange</t>
  </si>
  <si>
    <t>m MSL</t>
  </si>
  <si>
    <t xml:space="preserve">Conservative Closure frequency </t>
  </si>
  <si>
    <t>ID</t>
  </si>
  <si>
    <t>km2</t>
  </si>
  <si>
    <t>Tidal Exchange, road connection</t>
  </si>
  <si>
    <t>Navigation, Tidal Exchage</t>
  </si>
  <si>
    <t>Tidal Exchange, Road Connection</t>
  </si>
  <si>
    <t>Navigation, Water exchange</t>
  </si>
  <si>
    <t>Navigation, Road Connection, Tidal Exchange, River Discharge</t>
  </si>
  <si>
    <t>Navigation, Tidal Exchange</t>
  </si>
  <si>
    <t>Navigation, Tidal Echange</t>
  </si>
  <si>
    <t>Abbreviation</t>
  </si>
  <si>
    <t>NEWBED</t>
  </si>
  <si>
    <t>STMFRD</t>
  </si>
  <si>
    <t>EIDER</t>
  </si>
  <si>
    <t>HULL</t>
  </si>
  <si>
    <t>THAMES</t>
  </si>
  <si>
    <t>MAES</t>
  </si>
  <si>
    <t>HRTL</t>
  </si>
  <si>
    <t>RMSPL</t>
  </si>
  <si>
    <t>EMS</t>
  </si>
  <si>
    <t>IHNC</t>
  </si>
  <si>
    <t>SEABRK</t>
  </si>
  <si>
    <t>WCC</t>
  </si>
  <si>
    <t>MOSE</t>
  </si>
  <si>
    <t>HRVY CNL</t>
  </si>
  <si>
    <t>ST.PBRG</t>
  </si>
  <si>
    <t>FOX PT.</t>
  </si>
  <si>
    <t>Foundation depth</t>
  </si>
  <si>
    <t>Accompanying Pumpstation</t>
  </si>
  <si>
    <t>Through Tainter Gates</t>
  </si>
  <si>
    <t>Pump Station Capacity</t>
  </si>
  <si>
    <t>Type of Navigation</t>
  </si>
  <si>
    <t>small craft and barges</t>
  </si>
  <si>
    <t>Static Barrier Area*</t>
  </si>
  <si>
    <t>BBUCHT</t>
  </si>
  <si>
    <t>HOL IJSL</t>
  </si>
  <si>
    <t>E SCHLT</t>
  </si>
  <si>
    <t>ocean going vessel</t>
  </si>
  <si>
    <t>inland vessels</t>
  </si>
  <si>
    <t>fishery</t>
  </si>
  <si>
    <t>small craft</t>
  </si>
  <si>
    <t>Longitude</t>
  </si>
  <si>
    <t>Latitude</t>
  </si>
  <si>
    <t>Navigable Span*</t>
  </si>
  <si>
    <t>Auxiliary Flow Span*</t>
  </si>
  <si>
    <t>Name</t>
  </si>
  <si>
    <t>*** 1.15 US$ = 1.00 €, 2019 Quarter-1</t>
  </si>
  <si>
    <t>Hydraulic Gate Type</t>
  </si>
  <si>
    <t>Pictogram section</t>
  </si>
  <si>
    <t>Pictogram plan view</t>
  </si>
  <si>
    <t>Description</t>
  </si>
  <si>
    <t>Example Location</t>
  </si>
  <si>
    <t>Vertical Lift Gate</t>
  </si>
  <si>
    <t>Vertical lift gates are moved vertically towards the sill. A tower supports the gate during its operation. Overhead cables, sheaves and bull wheels or hydraulic cylinders lift the gate</t>
  </si>
  <si>
    <t>Seabrook (USA), IHNC (USA), Eastern Scheldt (NL), Hollandse IJssel (NL), Ems (GER)</t>
  </si>
  <si>
    <t>Vertical rising gates rest beneath the sill in open position. The gates are lifted vertically to close the barrier. Both in open and in closed position the gates are for the most part submerged. In most applications, gates can be lifted above water to allow for maintenance.</t>
  </si>
  <si>
    <t>St. Petersburg Barrier (RU)</t>
  </si>
  <si>
    <t>The tainter gate rotates around a horizontal axis, which passes through the bearing center. In closed position, the tainter gate rests on the sill and in open position it is lifted and locked. It is also referred to as a radial or segment gate</t>
  </si>
  <si>
    <t>Rotating Segment Gate</t>
  </si>
  <si>
    <t>Similar to a tainter gate the rotary segment gate has a horizontal axis. However, in recessed positions, it rests in a concrete sill housing at or near the river bed. Thus, it is possible for maritime traffic to pass over the gate in opened position. Operation of the gate is achieved by approximately 90 degree rotation to raise the gate to the flood protection position. An additional 90 degree of rotation places the gate in the raised position and completely out of the water to facilitate inspection or maintenance.</t>
  </si>
  <si>
    <t>Thames (UK), Ems (GER)</t>
  </si>
  <si>
    <t>Sector Gate (Vertical Axis)</t>
  </si>
  <si>
    <t>A sector gate consists of a double gate complex. Each gate has a circular shape, transferring forces through a steel frame to the hinges at each side of the opening. It operates by rotating around two vertical axes. During operation the gates will rest on the sill of the structure. In non-operational condition, each gate is stored in a gate housing or recess besides the waterway.</t>
  </si>
  <si>
    <t>Seabrook (USA), New Bedford (USA), IHNC (USA), Harvey Canal (USA), West Closure (USA)</t>
  </si>
  <si>
    <t>Floating Sector Gate</t>
  </si>
  <si>
    <t>A floating sector gate consists of a double gate complex. Each gate has a circular shape, rotates around a spherical hinge at each side of the opening transferring forces through a steel frame to the hinges and to the foundation. The gate leaves are buoyant and float into place. During operation the gates will rest on the river bed. In non-operational condition, the doors are stored in a gate housing (dry dock) besides the waterway in the river banks</t>
  </si>
  <si>
    <t>Maeslant Barrier (NL), St. Petersburg Barrier (RU)</t>
  </si>
  <si>
    <t>Inflatable Gate or Dam</t>
  </si>
  <si>
    <t>An inflatable gate is essentially a sealed tubular structure made of a flexible material, such as synthetic fiber, rubber, or composite plastics. It is anchored to the sill and walls by means of anchor bolts and an air- and watertight clamping system. The gate is inflated with air, water, or a combination of both.</t>
  </si>
  <si>
    <t>Ramspol Barrier (NL)</t>
  </si>
  <si>
    <t>Flap Gate</t>
  </si>
  <si>
    <t>Flap gates consist of a straight or curved gate leaf surface, pivoted on a fixed horizontal axis. The axes can be submerged (Venice, Stamford) or above water (Billwerder Bucht). The gates are operated by filling or emptying them with air, water or a combination of both or actuated with a hoisting mechanism.</t>
  </si>
  <si>
    <t>MOSE Venice (IT), Stamford (USA)</t>
  </si>
  <si>
    <t>A barge gate is a floating caisson stored on one side of a waterway, pivoting around a vertical axis to close. A barge gate may be buoyant or equipped with gated openings to reduce hinge and operating forces. This type of gate is also referred to as a swing gate or caisson gate.</t>
  </si>
  <si>
    <t>IHNC Barrier (USA)</t>
  </si>
  <si>
    <t>Authors:</t>
  </si>
  <si>
    <t>Paper title:</t>
  </si>
  <si>
    <t>Conference:</t>
  </si>
  <si>
    <t>A1</t>
  </si>
  <si>
    <t>Appendix:</t>
  </si>
  <si>
    <t>Title:</t>
  </si>
  <si>
    <t>A2</t>
  </si>
  <si>
    <t>Characteristics of Selected Set of Storm Surge Barriers</t>
  </si>
  <si>
    <t>A3</t>
  </si>
  <si>
    <t>M EUR.(2019)</t>
  </si>
  <si>
    <t>Fox Point</t>
  </si>
  <si>
    <t>St. Petersburg Barrier, Eider (GER), Thames (UK), Ems (GER), Fox Point Barrier (MA, USA)</t>
  </si>
  <si>
    <t>Tainter Gate</t>
  </si>
  <si>
    <t>Vertical Rising Gate</t>
  </si>
  <si>
    <t>Coastal Barriers and description</t>
  </si>
  <si>
    <t>Coastal Barriers*</t>
  </si>
  <si>
    <t>Closure Dams</t>
  </si>
  <si>
    <t>Closure dams permanently close off the connection between a coastal waterbody, such as an estuary or a bay, and the ocean. Closure dams eliminate the tidal connection and result in the formation of a man-made lake, effectively minimizing the chance of coastal storm surge induced floods for the area behind it. Due to the elimination of the tidal exchange, closure dams hinder navigation and introduce a steep gradient in environmental conditions across the structure, which are generally considered a substantial negative impact.</t>
  </si>
  <si>
    <t>Storm Surge Barrier</t>
  </si>
  <si>
    <t>A storm surge barrier is a fully or partial movable barrier that is navigable and includes operable elements (commonly steel gates) that can be closed temporarily to impede storm surge generated by coastal storms and limit water levels in the basin, thereby reducing flood risk for low lying coastal areas within the basin. Key characteristics of a storm surge barrier are that it allows for navigation to transit the barrier, and it maintains tidal exchange between the ocean and the newly created inner basin during normal hydrometeorological, i.e. non-storm, conditions.</t>
  </si>
  <si>
    <t>Tide Gate Complexes</t>
  </si>
  <si>
    <t>Tide gates or tide gate complexes are generally considered to show some similarity to storm surge barriers, since these structures include operable gates that can be closed temporarily during storm conditions to impede storm surge. The exception is that they do not provide for navigation and operable provide a barrier between the ocean and a waterbody at a location that is or designed to be non-navigable. Without any clearances needed to accommodate vessels, tide gates are in general relatively smaller in size, in shallower waters, allow for tidal flow exchange and discharge of stream flows during normal conditions. In some instances, tide gates are accompanied by a pump station that is operated in the event of gate closure to discharge streamflows from the upstream waterbody and maintain safe water levels.</t>
  </si>
  <si>
    <t>Tidal Locks</t>
  </si>
  <si>
    <t>Tidal locks or tidal lock complexes are structures that have the primary function to allow for the passage of vessels between tidal and non-tidal water and where operation is affected by the state of the tides. When constructed in areas prone to storm surge and flood risk, coastal locks can be designed to tie in to, and be an integral part of the perimeter flood risk reduction system. Notwithstanding the fact that some water exchange occurs with every lock cycle, these structures are generally not designed to accommodate tidal flow exchange between the ocean and inland waterbody.</t>
  </si>
  <si>
    <t>Description of hydraulic gate types included in the selected set of storm surge barriers, where storm surge barriers is one of the four primary types of coastal barriers as shown in Table B. Miter gates, used for the navigational lock of the Eastern Scheldt and Eider storm surge barrier are omitted. Pictograms shown here are modified after (Dijk, 2010)</t>
  </si>
  <si>
    <t>Table A</t>
  </si>
  <si>
    <t>Table B</t>
  </si>
  <si>
    <t>* Note: In some instances, tidal locks are included within closure dams or storm surge barriers and as such “hybrid” coastal barriers that include components or characteristics of the four primary types exist. A special category is reserved for tidal power plants where power generators are included within coastal barriers to transform the tide potential into electric energy.</t>
  </si>
  <si>
    <t>Dijk, A. a. v. d. Z. F., 2010. Multifunctionele beweegbare waterkeringen [Multifunctional movable flood gates], Delft, The Netherlands: s.n.</t>
  </si>
  <si>
    <t>The area is the area in elevation view (from top of the barrier to the sill elevation)</t>
  </si>
  <si>
    <t>Static Barrier Span*</t>
  </si>
  <si>
    <t>Unit</t>
  </si>
  <si>
    <t>CWCCIS 2019</t>
  </si>
  <si>
    <t>C2019$ (Millions)</t>
  </si>
  <si>
    <t>C2019$</t>
  </si>
  <si>
    <t>C2019€</t>
  </si>
  <si>
    <t>Hollandsche IJssel</t>
  </si>
  <si>
    <t>M$</t>
  </si>
  <si>
    <t>New Bedford Hurricane</t>
  </si>
  <si>
    <t>Stamford Hurricane</t>
  </si>
  <si>
    <t>Eider</t>
  </si>
  <si>
    <t>M€</t>
  </si>
  <si>
    <t>Hull</t>
  </si>
  <si>
    <t>M£</t>
  </si>
  <si>
    <t>Thames</t>
  </si>
  <si>
    <t>Eastern Scheldt</t>
  </si>
  <si>
    <t>Maeslant</t>
  </si>
  <si>
    <t>Hartel</t>
  </si>
  <si>
    <t>Ramspol</t>
  </si>
  <si>
    <t>Ems</t>
  </si>
  <si>
    <t>St. Petersburg</t>
  </si>
  <si>
    <t>Seabrook Floodgate Complex</t>
  </si>
  <si>
    <t>Harvey Canal Floodgate</t>
  </si>
  <si>
    <t>GIWW-West Closure Complex</t>
  </si>
  <si>
    <r>
      <t>M</t>
    </r>
    <r>
      <rPr>
        <i/>
        <sz val="10"/>
        <color theme="1"/>
        <rFont val="Times New Roman"/>
        <family val="1"/>
      </rPr>
      <t>f</t>
    </r>
  </si>
  <si>
    <t>Cost (Cn)*</t>
  </si>
  <si>
    <t>CWCCIS year n**</t>
  </si>
  <si>
    <t>€/$ (2019)***</t>
  </si>
  <si>
    <t>$/base currency in year of construction</t>
  </si>
  <si>
    <t>Length of Dynamic Barrier Components (m)</t>
  </si>
  <si>
    <t xml:space="preserve">Cost per meter of Dynamic Barrier Length (€M/m) </t>
  </si>
  <si>
    <t>Cumulative Water Span</t>
  </si>
  <si>
    <t>Advances in the Planning and Conceptual Design of Storm Surge Barriers – Application to the New York Metropolitan Area</t>
  </si>
  <si>
    <t>M. Kluijver, C. Dols, S.N. Jonkman and L.F. Mooyaart</t>
  </si>
  <si>
    <t>ASCE/COPRI Coastal Structures Conference 2019</t>
  </si>
  <si>
    <t>Description of Coastal Barrier Types</t>
  </si>
  <si>
    <t>For Appendix A2:</t>
  </si>
  <si>
    <t>Data set was then updated with additional information</t>
  </si>
  <si>
    <t>N/A</t>
  </si>
  <si>
    <t>Total Transect Length of Barrier</t>
  </si>
  <si>
    <t>%</t>
  </si>
  <si>
    <t>**Pier widths are generally estimated from satelite imagery unless design or construction data was available</t>
  </si>
  <si>
    <t>Estimated Construction Cost (Modeled)</t>
  </si>
  <si>
    <t>Reference Set of Storm Surge Barriers and Construction Costs in Euros (2019 price level)</t>
  </si>
  <si>
    <t>% Difference Modeled vs Actual Cost</t>
  </si>
  <si>
    <t>Additions and updates included: inclusion of Fox Point Barrier, Pump Station Capacities, Structure top elevations and refinements on costs</t>
  </si>
  <si>
    <t>ENR Construction Cost Index year n (for n &lt; 1980)</t>
  </si>
  <si>
    <t>ENR Construction Cost Index 1980</t>
  </si>
  <si>
    <t>n/a</t>
  </si>
  <si>
    <t>Reference Year of Cost (n)</t>
  </si>
  <si>
    <t xml:space="preserve">** Composite Civil Works Construction Cost Index System (CWCCIS) based on 50/50 Locks (WBS 5) &amp; Floodway Control &amp; Diversion Structures (WBS 15); Costs for years prior to 1980 are escalated first to 1980 using the Engineering News &amp; Record Construction Cost Index and then escalated to 2019 using the CWCCIS index. </t>
  </si>
  <si>
    <t xml:space="preserve">* See Table S2 (Mooyart &amp; Jonkman) for source costs. MOSE and IHNC costs updated based on more recent information available. Harvey, GIWW WCC and Fox Point costs added to database. </t>
  </si>
  <si>
    <t>Dynamic Span* (Nav + 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</si>
</sst>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0.0"/>
    <numFmt numFmtId="165" formatCode="_(&quot;$&quot;* #,##0_);_(&quot;$&quot;* \(#,##0\);_(&quot;$&quot;* &quot;-&quot;??_);_(@_)"/>
    <numFmt numFmtId="166" formatCode="_([$€-2]\ * #,##0.00_);_([$€-2]\ * \(#,##0.00\);_([$€-2]\ * &quot;-&quot;??_);_(@_)"/>
    <numFmt numFmtId="167" formatCode="0.000"/>
    <numFmt numFmtId="168" formatCode="_(&quot;$&quot;* #,##0.0_);_(&quot;$&quot;* \(#,##0.0\);_(&quot;$&quot;* &quot;-&quot;??_);_(@_)"/>
  </numFmts>
  <fonts count="13" x14ac:knownFonts="1">
    <font>
      <sz val="11"/>
      <color theme="1"/>
      <name val="Calibri"/>
      <family val="2"/>
      <scheme val="minor"/>
    </font>
    <font>
      <sz val="11"/>
      <color rgb="FF000000"/>
      <name val="Calibri"/>
      <family val="2"/>
      <charset val="204"/>
    </font>
    <font>
      <sz val="10"/>
      <color rgb="FF000000"/>
      <name val="Arial"/>
      <family val="2"/>
    </font>
    <font>
      <sz val="10"/>
      <color theme="1"/>
      <name val="Calibri"/>
      <family val="2"/>
      <scheme val="minor"/>
    </font>
    <font>
      <sz val="9"/>
      <color theme="1"/>
      <name val="Calibri"/>
      <family val="2"/>
      <scheme val="minor"/>
    </font>
    <font>
      <sz val="9"/>
      <color rgb="FF000000"/>
      <name val="Arial"/>
      <family val="2"/>
    </font>
    <font>
      <sz val="11"/>
      <color theme="1"/>
      <name val="Calibri"/>
      <family val="2"/>
      <scheme val="minor"/>
    </font>
    <font>
      <sz val="10"/>
      <color theme="1"/>
      <name val="Times New Roman"/>
      <family val="1"/>
    </font>
    <font>
      <b/>
      <sz val="11"/>
      <color theme="1"/>
      <name val="Calibri"/>
      <family val="2"/>
      <scheme val="minor"/>
    </font>
    <font>
      <sz val="10"/>
      <color theme="1"/>
      <name val="Arial"/>
      <family val="2"/>
    </font>
    <font>
      <i/>
      <sz val="10"/>
      <color theme="1"/>
      <name val="Times New Roman"/>
      <family val="1"/>
    </font>
    <font>
      <sz val="10"/>
      <name val="Times New Roman"/>
      <family val="1"/>
    </font>
    <font>
      <i/>
      <sz val="11"/>
      <color theme="1"/>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s>
  <cellStyleXfs count="5">
    <xf numFmtId="0" fontId="0" fillId="0" borderId="0"/>
    <xf numFmtId="0" fontId="1"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cellStyleXfs>
  <cellXfs count="81">
    <xf numFmtId="0" fontId="0" fillId="0" borderId="0" xfId="0"/>
    <xf numFmtId="0" fontId="0" fillId="0" borderId="0" xfId="0" applyAlignment="1">
      <alignment horizontal="center" vertical="center" wrapText="1"/>
    </xf>
    <xf numFmtId="0" fontId="4" fillId="0" borderId="0" xfId="0" applyFont="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Alignment="1">
      <alignment horizontal="center" vertical="center" wrapText="1"/>
    </xf>
    <xf numFmtId="0" fontId="2" fillId="0" borderId="1" xfId="1" applyFont="1" applyBorder="1" applyAlignment="1">
      <alignment horizontal="center" vertical="center" wrapText="1"/>
    </xf>
    <xf numFmtId="49" fontId="0" fillId="0" borderId="1" xfId="0" applyNumberFormat="1" applyBorder="1" applyAlignment="1">
      <alignment horizontal="center" vertical="center" wrapText="1"/>
    </xf>
    <xf numFmtId="0" fontId="2" fillId="2" borderId="1" xfId="1" applyFont="1" applyFill="1" applyBorder="1" applyAlignment="1">
      <alignment horizontal="center" vertical="center" wrapText="1"/>
    </xf>
    <xf numFmtId="11" fontId="0" fillId="0" borderId="1" xfId="0" applyNumberFormat="1" applyBorder="1" applyAlignment="1">
      <alignment horizontal="center" vertical="center" wrapText="1"/>
    </xf>
    <xf numFmtId="0" fontId="4" fillId="0" borderId="1" xfId="0" applyFont="1" applyBorder="1" applyAlignment="1">
      <alignment horizontal="center" vertical="center" wrapText="1"/>
    </xf>
    <xf numFmtId="0" fontId="5" fillId="0" borderId="1" xfId="1" applyFont="1" applyBorder="1" applyAlignment="1">
      <alignment horizontal="center" vertical="center" wrapText="1"/>
    </xf>
    <xf numFmtId="0" fontId="0" fillId="0" borderId="1" xfId="0" applyNumberFormat="1" applyBorder="1" applyAlignment="1">
      <alignment horizontal="center" vertical="center" wrapText="1"/>
    </xf>
    <xf numFmtId="43" fontId="0" fillId="0" borderId="1" xfId="2" applyFont="1" applyBorder="1" applyAlignment="1">
      <alignment horizontal="center" vertical="center" wrapText="1"/>
    </xf>
    <xf numFmtId="0" fontId="0" fillId="0" borderId="0" xfId="0" applyBorder="1" applyAlignment="1">
      <alignment horizontal="center" vertical="center" wrapText="1"/>
    </xf>
    <xf numFmtId="164" fontId="0" fillId="0" borderId="1" xfId="2" applyNumberFormat="1" applyFont="1" applyFill="1" applyBorder="1" applyAlignment="1">
      <alignment horizontal="center" vertical="center"/>
    </xf>
    <xf numFmtId="1" fontId="0" fillId="0" borderId="1" xfId="2" applyNumberFormat="1" applyFont="1" applyFill="1" applyBorder="1" applyAlignment="1">
      <alignment horizontal="center" vertical="center"/>
    </xf>
    <xf numFmtId="164" fontId="0" fillId="0" borderId="1" xfId="0" applyNumberFormat="1" applyBorder="1" applyAlignment="1">
      <alignment horizontal="center" vertical="center" wrapText="1"/>
    </xf>
    <xf numFmtId="0" fontId="8" fillId="0" borderId="0" xfId="0" applyFont="1"/>
    <xf numFmtId="0" fontId="0" fillId="0" borderId="0" xfId="0" applyAlignment="1">
      <alignment horizontal="center"/>
    </xf>
    <xf numFmtId="0" fontId="7" fillId="0" borderId="1" xfId="0" applyFont="1" applyBorder="1" applyAlignment="1">
      <alignment horizontal="left" vertical="top" wrapText="1"/>
    </xf>
    <xf numFmtId="0" fontId="9" fillId="0" borderId="1" xfId="0" applyFont="1" applyBorder="1"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0" fontId="7" fillId="0" borderId="2" xfId="0" applyFont="1" applyBorder="1" applyAlignment="1">
      <alignment horizontal="left" vertical="top" wrapText="1"/>
    </xf>
    <xf numFmtId="0" fontId="7" fillId="0" borderId="0" xfId="0" applyFont="1" applyBorder="1" applyAlignment="1">
      <alignment horizontal="left" vertical="top"/>
    </xf>
    <xf numFmtId="0" fontId="7" fillId="0" borderId="0" xfId="0" applyFont="1" applyBorder="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0" fillId="3" borderId="3" xfId="0" applyFill="1" applyBorder="1" applyAlignment="1">
      <alignment horizontal="center" vertical="center" wrapText="1"/>
    </xf>
    <xf numFmtId="0" fontId="0" fillId="0" borderId="1" xfId="0" applyBorder="1"/>
    <xf numFmtId="0" fontId="0" fillId="0" borderId="2" xfId="0" applyBorder="1" applyAlignment="1">
      <alignment horizontal="center" vertical="center" wrapText="1"/>
    </xf>
    <xf numFmtId="0" fontId="7" fillId="0" borderId="0" xfId="0" applyFont="1" applyAlignment="1">
      <alignment horizontal="left" vertical="top" wrapText="1"/>
    </xf>
    <xf numFmtId="0" fontId="7" fillId="0" borderId="1" xfId="0" applyFont="1" applyBorder="1" applyAlignment="1">
      <alignment vertical="center" wrapText="1"/>
    </xf>
    <xf numFmtId="0" fontId="0" fillId="0" borderId="1" xfId="0" applyBorder="1" applyAlignment="1">
      <alignment horizontal="left" vertical="top"/>
    </xf>
    <xf numFmtId="3" fontId="0" fillId="0" borderId="1" xfId="0" applyNumberFormat="1" applyBorder="1" applyAlignment="1">
      <alignment horizontal="center" vertical="center" wrapText="1"/>
    </xf>
    <xf numFmtId="2" fontId="0" fillId="0" borderId="1" xfId="0" applyNumberFormat="1" applyBorder="1" applyAlignment="1">
      <alignment horizontal="center" vertical="center" wrapText="1"/>
    </xf>
    <xf numFmtId="0" fontId="7" fillId="0" borderId="1" xfId="0" applyFont="1" applyBorder="1" applyAlignment="1">
      <alignment horizontal="left" vertical="top" wrapText="1"/>
    </xf>
    <xf numFmtId="0" fontId="0" fillId="0" borderId="0" xfId="0"/>
    <xf numFmtId="0" fontId="7" fillId="0" borderId="1" xfId="0" applyFont="1" applyBorder="1" applyAlignment="1">
      <alignment horizontal="left"/>
    </xf>
    <xf numFmtId="0" fontId="0" fillId="0" borderId="5" xfId="0" applyBorder="1" applyAlignment="1">
      <alignment horizontal="center" vertical="center" wrapText="1"/>
    </xf>
    <xf numFmtId="0" fontId="7" fillId="0" borderId="0" xfId="0" applyFont="1" applyBorder="1" applyAlignment="1">
      <alignment horizontal="left"/>
    </xf>
    <xf numFmtId="0" fontId="7" fillId="0" borderId="0" xfId="0" applyFont="1" applyBorder="1" applyAlignment="1">
      <alignment horizontal="center"/>
    </xf>
    <xf numFmtId="0" fontId="11" fillId="0" borderId="0" xfId="0" applyFont="1" applyBorder="1" applyAlignment="1">
      <alignment horizontal="center"/>
    </xf>
    <xf numFmtId="165" fontId="11" fillId="0" borderId="0" xfId="3" applyNumberFormat="1" applyFont="1" applyBorder="1" applyAlignment="1">
      <alignment horizontal="center"/>
    </xf>
    <xf numFmtId="44" fontId="11" fillId="0" borderId="0" xfId="3" applyFont="1" applyBorder="1" applyAlignment="1">
      <alignment horizontal="center"/>
    </xf>
    <xf numFmtId="0" fontId="7" fillId="0" borderId="0" xfId="0" applyFont="1" applyBorder="1"/>
    <xf numFmtId="166" fontId="7" fillId="0" borderId="0" xfId="0" applyNumberFormat="1" applyFont="1" applyBorder="1"/>
    <xf numFmtId="167" fontId="0" fillId="0" borderId="1" xfId="0" applyNumberFormat="1" applyBorder="1" applyAlignment="1">
      <alignment horizontal="center" vertical="center" wrapText="1"/>
    </xf>
    <xf numFmtId="0" fontId="7" fillId="0" borderId="0" xfId="0" applyFont="1" applyAlignment="1">
      <alignment horizontal="left" vertical="top" wrapText="1"/>
    </xf>
    <xf numFmtId="1" fontId="3" fillId="0" borderId="0" xfId="0" applyNumberFormat="1" applyFont="1" applyAlignment="1">
      <alignment horizontal="left" vertical="top"/>
    </xf>
    <xf numFmtId="0" fontId="7" fillId="0" borderId="1" xfId="0" applyFont="1" applyBorder="1" applyAlignment="1">
      <alignment horizontal="center" vertical="center"/>
    </xf>
    <xf numFmtId="165" fontId="11" fillId="0" borderId="1" xfId="3" applyNumberFormat="1" applyFont="1" applyBorder="1" applyAlignment="1">
      <alignment horizontal="center" vertical="center"/>
    </xf>
    <xf numFmtId="44" fontId="11" fillId="0" borderId="1" xfId="3" applyFont="1" applyBorder="1" applyAlignment="1">
      <alignment horizontal="center" vertical="center"/>
    </xf>
    <xf numFmtId="0" fontId="7" fillId="0" borderId="1" xfId="0" applyFont="1" applyBorder="1" applyAlignment="1">
      <alignment horizontal="center" vertical="center" wrapText="1"/>
    </xf>
    <xf numFmtId="166" fontId="7" fillId="0" borderId="1" xfId="0" applyNumberFormat="1" applyFont="1" applyBorder="1" applyAlignment="1">
      <alignment horizontal="center" vertical="center"/>
    </xf>
    <xf numFmtId="2" fontId="7" fillId="0" borderId="1" xfId="0" applyNumberFormat="1" applyFont="1" applyBorder="1" applyAlignment="1">
      <alignment horizontal="center" vertical="center"/>
    </xf>
    <xf numFmtId="1" fontId="7" fillId="0" borderId="1" xfId="0" applyNumberFormat="1" applyFont="1" applyBorder="1" applyAlignment="1">
      <alignment horizontal="center" vertical="center"/>
    </xf>
    <xf numFmtId="1" fontId="11" fillId="0" borderId="1" xfId="0" applyNumberFormat="1" applyFont="1" applyBorder="1" applyAlignment="1">
      <alignment horizontal="center" vertical="center"/>
    </xf>
    <xf numFmtId="0" fontId="7" fillId="0" borderId="0" xfId="0" applyFont="1" applyAlignment="1">
      <alignment horizontal="left" vertical="top"/>
    </xf>
    <xf numFmtId="0" fontId="0" fillId="3" borderId="5" xfId="0" applyFill="1" applyBorder="1" applyAlignment="1">
      <alignment horizontal="center" vertical="center" wrapText="1"/>
    </xf>
    <xf numFmtId="1" fontId="0" fillId="0" borderId="5" xfId="2" applyNumberFormat="1" applyFont="1" applyFill="1" applyBorder="1" applyAlignment="1">
      <alignment horizontal="center" vertical="center"/>
    </xf>
    <xf numFmtId="0" fontId="12" fillId="0" borderId="0" xfId="0" applyFont="1"/>
    <xf numFmtId="0" fontId="0" fillId="0" borderId="1" xfId="0" applyBorder="1" applyAlignment="1">
      <alignment horizontal="center"/>
    </xf>
    <xf numFmtId="3" fontId="2" fillId="0" borderId="1" xfId="1" applyNumberFormat="1" applyFont="1" applyBorder="1" applyAlignment="1">
      <alignment horizontal="center" vertical="center" wrapText="1"/>
    </xf>
    <xf numFmtId="1" fontId="0" fillId="0" borderId="1" xfId="0" applyNumberFormat="1" applyBorder="1" applyAlignment="1">
      <alignment horizontal="center" vertical="center" wrapText="1"/>
    </xf>
    <xf numFmtId="9" fontId="0" fillId="0" borderId="1" xfId="4" applyFont="1" applyBorder="1" applyAlignment="1">
      <alignment horizontal="center" vertical="center" wrapText="1"/>
    </xf>
    <xf numFmtId="166" fontId="0" fillId="0" borderId="0" xfId="0" applyNumberFormat="1" applyAlignment="1">
      <alignment horizontal="center" vertical="center" wrapText="1"/>
    </xf>
    <xf numFmtId="0" fontId="0" fillId="4" borderId="0" xfId="0" applyFill="1" applyAlignment="1">
      <alignment wrapText="1"/>
    </xf>
    <xf numFmtId="168" fontId="11" fillId="0" borderId="1" xfId="3" applyNumberFormat="1" applyFont="1" applyBorder="1" applyAlignment="1">
      <alignment horizontal="center" vertical="center"/>
    </xf>
    <xf numFmtId="9" fontId="0" fillId="0" borderId="0" xfId="0" applyNumberFormat="1" applyAlignment="1">
      <alignment horizontal="center" vertical="center" wrapText="1"/>
    </xf>
    <xf numFmtId="0" fontId="0" fillId="0" borderId="0" xfId="0" applyAlignment="1"/>
    <xf numFmtId="0" fontId="7" fillId="0" borderId="0" xfId="0" applyFont="1" applyAlignment="1">
      <alignment horizontal="left" vertical="top" wrapText="1"/>
    </xf>
    <xf numFmtId="0" fontId="7" fillId="0" borderId="4" xfId="0" applyFont="1" applyBorder="1" applyAlignment="1">
      <alignment horizontal="left" vertical="top" wrapText="1"/>
    </xf>
    <xf numFmtId="0" fontId="10" fillId="0" borderId="0" xfId="0" applyFont="1" applyAlignment="1">
      <alignment horizontal="left" vertical="top"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11" fillId="0" borderId="0" xfId="0" applyFont="1" applyBorder="1" applyAlignment="1">
      <alignment horizontal="left" vertical="top" wrapText="1"/>
    </xf>
    <xf numFmtId="0" fontId="7" fillId="0" borderId="0" xfId="0" applyFont="1" applyBorder="1" applyAlignment="1">
      <alignment horizontal="left" vertical="top" wrapText="1"/>
    </xf>
  </cellXfs>
  <cellStyles count="5">
    <cellStyle name="Comma" xfId="2" builtinId="3"/>
    <cellStyle name="Currency" xfId="3" builtinId="4"/>
    <cellStyle name="Normal" xfId="0" builtinId="0"/>
    <cellStyle name="Normal 2" xfId="1" xr:uid="{00000000-0005-0000-0000-000003000000}"/>
    <cellStyle name="Percent" xfId="4" builtinId="5"/>
  </cellStyles>
  <dxfs count="1">
    <dxf>
      <font>
        <color theme="0" tint="-0.34998626667073579"/>
      </font>
    </dxf>
  </dxfs>
  <tableStyles count="0" defaultTableStyle="TableStyleMedium2" defaultPivotStyle="PivotStyleLight16"/>
  <colors>
    <mruColors>
      <color rgb="FF00FFFF"/>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0</xdr:colOff>
      <xdr:row>8</xdr:row>
      <xdr:rowOff>180975</xdr:rowOff>
    </xdr:from>
    <xdr:to>
      <xdr:col>1</xdr:col>
      <xdr:colOff>733425</xdr:colOff>
      <xdr:row>8</xdr:row>
      <xdr:rowOff>704850</xdr:rowOff>
    </xdr:to>
    <xdr:pic>
      <xdr:nvPicPr>
        <xdr:cNvPr id="2" name="Picture 3">
          <a:extLst>
            <a:ext uri="{FF2B5EF4-FFF2-40B4-BE49-F238E27FC236}">
              <a16:creationId xmlns:a16="http://schemas.microsoft.com/office/drawing/2014/main" id="{1CCA602E-9918-4023-9831-46B723BB52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125" y="504825"/>
          <a:ext cx="733425"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28575</xdr:colOff>
      <xdr:row>9</xdr:row>
      <xdr:rowOff>19050</xdr:rowOff>
    </xdr:from>
    <xdr:to>
      <xdr:col>1</xdr:col>
      <xdr:colOff>762000</xdr:colOff>
      <xdr:row>9</xdr:row>
      <xdr:rowOff>533400</xdr:rowOff>
    </xdr:to>
    <xdr:pic>
      <xdr:nvPicPr>
        <xdr:cNvPr id="3" name="Picture 1">
          <a:extLst>
            <a:ext uri="{FF2B5EF4-FFF2-40B4-BE49-F238E27FC236}">
              <a16:creationId xmlns:a16="http://schemas.microsoft.com/office/drawing/2014/main" id="{2E97058B-FEBA-41C5-9CA1-73D63E86493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790700" y="2124075"/>
          <a:ext cx="733425"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10</xdr:row>
      <xdr:rowOff>0</xdr:rowOff>
    </xdr:from>
    <xdr:to>
      <xdr:col>1</xdr:col>
      <xdr:colOff>733425</xdr:colOff>
      <xdr:row>10</xdr:row>
      <xdr:rowOff>600075</xdr:rowOff>
    </xdr:to>
    <xdr:pic>
      <xdr:nvPicPr>
        <xdr:cNvPr id="4" name="Picture 2">
          <a:extLst>
            <a:ext uri="{FF2B5EF4-FFF2-40B4-BE49-F238E27FC236}">
              <a16:creationId xmlns:a16="http://schemas.microsoft.com/office/drawing/2014/main" id="{508169FE-DFD6-4466-90A7-69B0043EBED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762125" y="2914650"/>
          <a:ext cx="733425"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11</xdr:row>
      <xdr:rowOff>0</xdr:rowOff>
    </xdr:from>
    <xdr:to>
      <xdr:col>1</xdr:col>
      <xdr:colOff>733425</xdr:colOff>
      <xdr:row>11</xdr:row>
      <xdr:rowOff>571500</xdr:rowOff>
    </xdr:to>
    <xdr:pic>
      <xdr:nvPicPr>
        <xdr:cNvPr id="5" name="Picture 4">
          <a:extLst>
            <a:ext uri="{FF2B5EF4-FFF2-40B4-BE49-F238E27FC236}">
              <a16:creationId xmlns:a16="http://schemas.microsoft.com/office/drawing/2014/main" id="{98FD0084-FFA0-4294-A0C5-AF1C8F4107E1}"/>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762125" y="4210050"/>
          <a:ext cx="733425"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2143125</xdr:colOff>
      <xdr:row>12</xdr:row>
      <xdr:rowOff>0</xdr:rowOff>
    </xdr:from>
    <xdr:to>
      <xdr:col>2</xdr:col>
      <xdr:colOff>723900</xdr:colOff>
      <xdr:row>12</xdr:row>
      <xdr:rowOff>647700</xdr:rowOff>
    </xdr:to>
    <xdr:pic>
      <xdr:nvPicPr>
        <xdr:cNvPr id="6" name="Picture 5">
          <a:extLst>
            <a:ext uri="{FF2B5EF4-FFF2-40B4-BE49-F238E27FC236}">
              <a16:creationId xmlns:a16="http://schemas.microsoft.com/office/drawing/2014/main" id="{C987AC80-310B-4B71-97A2-89D8CBEFAF81}"/>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05250" y="5829300"/>
          <a:ext cx="73342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1733550</xdr:colOff>
      <xdr:row>12</xdr:row>
      <xdr:rowOff>142875</xdr:rowOff>
    </xdr:from>
    <xdr:to>
      <xdr:col>1</xdr:col>
      <xdr:colOff>702945</xdr:colOff>
      <xdr:row>12</xdr:row>
      <xdr:rowOff>524510</xdr:rowOff>
    </xdr:to>
    <xdr:grpSp>
      <xdr:nvGrpSpPr>
        <xdr:cNvPr id="7" name="Group 6">
          <a:extLst>
            <a:ext uri="{FF2B5EF4-FFF2-40B4-BE49-F238E27FC236}">
              <a16:creationId xmlns:a16="http://schemas.microsoft.com/office/drawing/2014/main" id="{93EEC99E-06DE-4669-BC54-A4AC9E84F819}"/>
            </a:ext>
          </a:extLst>
        </xdr:cNvPr>
        <xdr:cNvGrpSpPr/>
      </xdr:nvGrpSpPr>
      <xdr:grpSpPr>
        <a:xfrm>
          <a:off x="1733550" y="6194051"/>
          <a:ext cx="728719" cy="381635"/>
          <a:chOff x="0" y="0"/>
          <a:chExt cx="1194848" cy="624119"/>
        </a:xfrm>
      </xdr:grpSpPr>
      <xdr:sp macro="" textlink="">
        <xdr:nvSpPr>
          <xdr:cNvPr id="8" name="Rectangle 7">
            <a:extLst>
              <a:ext uri="{FF2B5EF4-FFF2-40B4-BE49-F238E27FC236}">
                <a16:creationId xmlns:a16="http://schemas.microsoft.com/office/drawing/2014/main" id="{3EE45CE2-C478-4DD3-AD48-33EF8F81CAF9}"/>
              </a:ext>
            </a:extLst>
          </xdr:cNvPr>
          <xdr:cNvSpPr/>
        </xdr:nvSpPr>
        <xdr:spPr>
          <a:xfrm>
            <a:off x="771734" y="0"/>
            <a:ext cx="423114" cy="308442"/>
          </a:xfrm>
          <a:prstGeom prst="rect">
            <a:avLst/>
          </a:prstGeom>
          <a:solidFill>
            <a:srgbClr val="BFBFB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sp macro="" textlink="">
        <xdr:nvSpPr>
          <xdr:cNvPr id="9" name="Rectangle 8">
            <a:extLst>
              <a:ext uri="{FF2B5EF4-FFF2-40B4-BE49-F238E27FC236}">
                <a16:creationId xmlns:a16="http://schemas.microsoft.com/office/drawing/2014/main" id="{3F9BA67E-8AF6-46AC-8B91-F52ED478D5BC}"/>
              </a:ext>
            </a:extLst>
          </xdr:cNvPr>
          <xdr:cNvSpPr/>
        </xdr:nvSpPr>
        <xdr:spPr>
          <a:xfrm>
            <a:off x="0" y="126084"/>
            <a:ext cx="1194848" cy="308442"/>
          </a:xfrm>
          <a:prstGeom prst="rect">
            <a:avLst/>
          </a:prstGeom>
          <a:solidFill>
            <a:srgbClr val="BFBFB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sp macro="" textlink="">
        <xdr:nvSpPr>
          <xdr:cNvPr id="10" name="Rectangle 9">
            <a:extLst>
              <a:ext uri="{FF2B5EF4-FFF2-40B4-BE49-F238E27FC236}">
                <a16:creationId xmlns:a16="http://schemas.microsoft.com/office/drawing/2014/main" id="{A951C546-86D4-4538-A540-F73ADBB03B42}"/>
              </a:ext>
            </a:extLst>
          </xdr:cNvPr>
          <xdr:cNvSpPr/>
        </xdr:nvSpPr>
        <xdr:spPr>
          <a:xfrm>
            <a:off x="0" y="431528"/>
            <a:ext cx="1194848" cy="192591"/>
          </a:xfrm>
          <a:prstGeom prst="rect">
            <a:avLst/>
          </a:prstGeom>
          <a:solidFill>
            <a:srgbClr val="40404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xnSp macro="">
        <xdr:nvCxnSpPr>
          <xdr:cNvPr id="11" name="Straight Connector 10">
            <a:extLst>
              <a:ext uri="{FF2B5EF4-FFF2-40B4-BE49-F238E27FC236}">
                <a16:creationId xmlns:a16="http://schemas.microsoft.com/office/drawing/2014/main" id="{F67F9996-2946-4BD6-955F-0165BA321783}"/>
              </a:ext>
            </a:extLst>
          </xdr:cNvPr>
          <xdr:cNvCxnSpPr>
            <a:cxnSpLocks/>
          </xdr:cNvCxnSpPr>
        </xdr:nvCxnSpPr>
        <xdr:spPr>
          <a:xfrm>
            <a:off x="367556" y="5892"/>
            <a:ext cx="0" cy="413315"/>
          </a:xfrm>
          <a:prstGeom prst="line">
            <a:avLst/>
          </a:prstGeom>
          <a:ln w="57150">
            <a:solidFill>
              <a:srgbClr val="404040"/>
            </a:solidFill>
          </a:ln>
        </xdr:spPr>
        <xdr:style>
          <a:lnRef idx="1">
            <a:schemeClr val="accent1"/>
          </a:lnRef>
          <a:fillRef idx="0">
            <a:schemeClr val="accent1"/>
          </a:fillRef>
          <a:effectRef idx="0">
            <a:schemeClr val="accent1"/>
          </a:effectRef>
          <a:fontRef idx="minor">
            <a:schemeClr val="tx1"/>
          </a:fontRef>
        </xdr:style>
      </xdr:cxnSp>
      <xdr:sp macro="" textlink="">
        <xdr:nvSpPr>
          <xdr:cNvPr id="12" name="Oval 11">
            <a:extLst>
              <a:ext uri="{FF2B5EF4-FFF2-40B4-BE49-F238E27FC236}">
                <a16:creationId xmlns:a16="http://schemas.microsoft.com/office/drawing/2014/main" id="{DAAABE75-D557-4DC7-B1AB-1DF366F13B06}"/>
              </a:ext>
            </a:extLst>
          </xdr:cNvPr>
          <xdr:cNvSpPr/>
        </xdr:nvSpPr>
        <xdr:spPr>
          <a:xfrm>
            <a:off x="332293" y="2070"/>
            <a:ext cx="68580" cy="68580"/>
          </a:xfrm>
          <a:prstGeom prst="ellipse">
            <a:avLst/>
          </a:prstGeom>
          <a:solidFill>
            <a:srgbClr val="40404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sp macro="" textlink="">
        <xdr:nvSpPr>
          <xdr:cNvPr id="13" name="Oval 12">
            <a:extLst>
              <a:ext uri="{FF2B5EF4-FFF2-40B4-BE49-F238E27FC236}">
                <a16:creationId xmlns:a16="http://schemas.microsoft.com/office/drawing/2014/main" id="{DD88B8FB-9651-4C2F-ACA0-969A8AC3CF9A}"/>
              </a:ext>
            </a:extLst>
          </xdr:cNvPr>
          <xdr:cNvSpPr/>
        </xdr:nvSpPr>
        <xdr:spPr>
          <a:xfrm>
            <a:off x="339879" y="363825"/>
            <a:ext cx="68580" cy="68580"/>
          </a:xfrm>
          <a:prstGeom prst="ellipse">
            <a:avLst/>
          </a:prstGeom>
          <a:solidFill>
            <a:srgbClr val="40404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xnSp macro="">
        <xdr:nvCxnSpPr>
          <xdr:cNvPr id="14" name="Straight Connector 13">
            <a:extLst>
              <a:ext uri="{FF2B5EF4-FFF2-40B4-BE49-F238E27FC236}">
                <a16:creationId xmlns:a16="http://schemas.microsoft.com/office/drawing/2014/main" id="{56BCBA48-2D39-410F-AFEA-DE1B6CD3F3E9}"/>
              </a:ext>
            </a:extLst>
          </xdr:cNvPr>
          <xdr:cNvCxnSpPr>
            <a:cxnSpLocks/>
          </xdr:cNvCxnSpPr>
        </xdr:nvCxnSpPr>
        <xdr:spPr>
          <a:xfrm>
            <a:off x="771733" y="0"/>
            <a:ext cx="0" cy="413315"/>
          </a:xfrm>
          <a:prstGeom prst="line">
            <a:avLst/>
          </a:prstGeom>
          <a:ln w="57150">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15" name="Straight Connector 14">
            <a:extLst>
              <a:ext uri="{FF2B5EF4-FFF2-40B4-BE49-F238E27FC236}">
                <a16:creationId xmlns:a16="http://schemas.microsoft.com/office/drawing/2014/main" id="{ECFACDD0-0B8B-4B77-8022-78A24B768739}"/>
              </a:ext>
            </a:extLst>
          </xdr:cNvPr>
          <xdr:cNvCxnSpPr/>
        </xdr:nvCxnSpPr>
        <xdr:spPr>
          <a:xfrm flipH="1">
            <a:off x="367557" y="407569"/>
            <a:ext cx="404177" cy="0"/>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16" name="Straight Connector 15">
            <a:extLst>
              <a:ext uri="{FF2B5EF4-FFF2-40B4-BE49-F238E27FC236}">
                <a16:creationId xmlns:a16="http://schemas.microsoft.com/office/drawing/2014/main" id="{C84AFF12-0411-45D3-ADB2-20D3D5FF5E2E}"/>
              </a:ext>
            </a:extLst>
          </xdr:cNvPr>
          <xdr:cNvCxnSpPr/>
        </xdr:nvCxnSpPr>
        <xdr:spPr>
          <a:xfrm flipH="1">
            <a:off x="375803" y="26961"/>
            <a:ext cx="404177" cy="0"/>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17" name="Straight Connector 16">
            <a:extLst>
              <a:ext uri="{FF2B5EF4-FFF2-40B4-BE49-F238E27FC236}">
                <a16:creationId xmlns:a16="http://schemas.microsoft.com/office/drawing/2014/main" id="{19FB0DC1-5795-42AA-8216-A73E4531011B}"/>
              </a:ext>
            </a:extLst>
          </xdr:cNvPr>
          <xdr:cNvCxnSpPr/>
        </xdr:nvCxnSpPr>
        <xdr:spPr>
          <a:xfrm flipH="1">
            <a:off x="369910" y="162471"/>
            <a:ext cx="404177" cy="0"/>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18" name="Straight Connector 17">
            <a:extLst>
              <a:ext uri="{FF2B5EF4-FFF2-40B4-BE49-F238E27FC236}">
                <a16:creationId xmlns:a16="http://schemas.microsoft.com/office/drawing/2014/main" id="{13633C4A-AF21-4A58-8A4B-C9BFAEAF346F}"/>
              </a:ext>
            </a:extLst>
          </xdr:cNvPr>
          <xdr:cNvCxnSpPr/>
        </xdr:nvCxnSpPr>
        <xdr:spPr>
          <a:xfrm flipH="1">
            <a:off x="371086" y="290911"/>
            <a:ext cx="404177" cy="0"/>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xdr:col>
      <xdr:colOff>0</xdr:colOff>
      <xdr:row>13</xdr:row>
      <xdr:rowOff>0</xdr:rowOff>
    </xdr:from>
    <xdr:to>
      <xdr:col>2</xdr:col>
      <xdr:colOff>733425</xdr:colOff>
      <xdr:row>13</xdr:row>
      <xdr:rowOff>647700</xdr:rowOff>
    </xdr:to>
    <xdr:pic>
      <xdr:nvPicPr>
        <xdr:cNvPr id="19" name="Picture 18">
          <a:extLst>
            <a:ext uri="{FF2B5EF4-FFF2-40B4-BE49-F238E27FC236}">
              <a16:creationId xmlns:a16="http://schemas.microsoft.com/office/drawing/2014/main" id="{AACAA9CA-3B94-4338-9C53-5DC55EF6A867}"/>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14775" y="7934325"/>
          <a:ext cx="73342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19050</xdr:colOff>
      <xdr:row>13</xdr:row>
      <xdr:rowOff>123825</xdr:rowOff>
    </xdr:from>
    <xdr:to>
      <xdr:col>1</xdr:col>
      <xdr:colOff>708025</xdr:colOff>
      <xdr:row>13</xdr:row>
      <xdr:rowOff>562610</xdr:rowOff>
    </xdr:to>
    <xdr:grpSp>
      <xdr:nvGrpSpPr>
        <xdr:cNvPr id="20" name="Group 19">
          <a:extLst>
            <a:ext uri="{FF2B5EF4-FFF2-40B4-BE49-F238E27FC236}">
              <a16:creationId xmlns:a16="http://schemas.microsoft.com/office/drawing/2014/main" id="{A9561D1D-1CF5-4A1F-9521-C29283F58052}"/>
            </a:ext>
          </a:extLst>
        </xdr:cNvPr>
        <xdr:cNvGrpSpPr/>
      </xdr:nvGrpSpPr>
      <xdr:grpSpPr>
        <a:xfrm>
          <a:off x="1778374" y="7183531"/>
          <a:ext cx="688975" cy="438785"/>
          <a:chOff x="0" y="0"/>
          <a:chExt cx="1194848" cy="636189"/>
        </a:xfrm>
      </xdr:grpSpPr>
      <xdr:sp macro="" textlink="">
        <xdr:nvSpPr>
          <xdr:cNvPr id="21" name="Rectangle 20">
            <a:extLst>
              <a:ext uri="{FF2B5EF4-FFF2-40B4-BE49-F238E27FC236}">
                <a16:creationId xmlns:a16="http://schemas.microsoft.com/office/drawing/2014/main" id="{D08D06AC-CB72-4691-8390-AC3B87F6B771}"/>
              </a:ext>
            </a:extLst>
          </xdr:cNvPr>
          <xdr:cNvSpPr/>
        </xdr:nvSpPr>
        <xdr:spPr>
          <a:xfrm>
            <a:off x="972184" y="12070"/>
            <a:ext cx="222664" cy="308442"/>
          </a:xfrm>
          <a:prstGeom prst="rect">
            <a:avLst/>
          </a:prstGeom>
          <a:solidFill>
            <a:srgbClr val="BFBFB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sp macro="" textlink="">
        <xdr:nvSpPr>
          <xdr:cNvPr id="22" name="Rectangle 21">
            <a:extLst>
              <a:ext uri="{FF2B5EF4-FFF2-40B4-BE49-F238E27FC236}">
                <a16:creationId xmlns:a16="http://schemas.microsoft.com/office/drawing/2014/main" id="{CE912642-5067-4DD4-A2C6-2DAEC32F9D10}"/>
              </a:ext>
            </a:extLst>
          </xdr:cNvPr>
          <xdr:cNvSpPr/>
        </xdr:nvSpPr>
        <xdr:spPr>
          <a:xfrm>
            <a:off x="0" y="138154"/>
            <a:ext cx="1194848" cy="308442"/>
          </a:xfrm>
          <a:prstGeom prst="rect">
            <a:avLst/>
          </a:prstGeom>
          <a:solidFill>
            <a:srgbClr val="BFBFB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sp macro="" textlink="">
        <xdr:nvSpPr>
          <xdr:cNvPr id="23" name="Rectangle 22">
            <a:extLst>
              <a:ext uri="{FF2B5EF4-FFF2-40B4-BE49-F238E27FC236}">
                <a16:creationId xmlns:a16="http://schemas.microsoft.com/office/drawing/2014/main" id="{4D523DC9-E1C8-4546-AAE3-D7F2C6A27E88}"/>
              </a:ext>
            </a:extLst>
          </xdr:cNvPr>
          <xdr:cNvSpPr/>
        </xdr:nvSpPr>
        <xdr:spPr>
          <a:xfrm>
            <a:off x="0" y="443598"/>
            <a:ext cx="1194848" cy="192591"/>
          </a:xfrm>
          <a:prstGeom prst="rect">
            <a:avLst/>
          </a:prstGeom>
          <a:solidFill>
            <a:srgbClr val="40404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sp macro="" textlink="">
        <xdr:nvSpPr>
          <xdr:cNvPr id="24" name="Oval 23">
            <a:extLst>
              <a:ext uri="{FF2B5EF4-FFF2-40B4-BE49-F238E27FC236}">
                <a16:creationId xmlns:a16="http://schemas.microsoft.com/office/drawing/2014/main" id="{225FAE59-1C6A-4176-B219-D7438CB164B7}"/>
              </a:ext>
            </a:extLst>
          </xdr:cNvPr>
          <xdr:cNvSpPr/>
        </xdr:nvSpPr>
        <xdr:spPr>
          <a:xfrm>
            <a:off x="63628" y="0"/>
            <a:ext cx="102870" cy="102870"/>
          </a:xfrm>
          <a:prstGeom prst="ellipse">
            <a:avLst/>
          </a:prstGeom>
          <a:solidFill>
            <a:srgbClr val="40404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en-US"/>
          </a:p>
        </xdr:txBody>
      </xdr:sp>
      <xdr:cxnSp macro="">
        <xdr:nvCxnSpPr>
          <xdr:cNvPr id="25" name="Straight Connector 24">
            <a:extLst>
              <a:ext uri="{FF2B5EF4-FFF2-40B4-BE49-F238E27FC236}">
                <a16:creationId xmlns:a16="http://schemas.microsoft.com/office/drawing/2014/main" id="{C7578461-0F7A-4CD3-94D0-F7F868455F75}"/>
              </a:ext>
            </a:extLst>
          </xdr:cNvPr>
          <xdr:cNvCxnSpPr>
            <a:cxnSpLocks/>
          </xdr:cNvCxnSpPr>
        </xdr:nvCxnSpPr>
        <xdr:spPr>
          <a:xfrm>
            <a:off x="976768" y="12070"/>
            <a:ext cx="0" cy="413315"/>
          </a:xfrm>
          <a:prstGeom prst="line">
            <a:avLst/>
          </a:prstGeom>
          <a:ln w="57150">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26" name="Straight Connector 25">
            <a:extLst>
              <a:ext uri="{FF2B5EF4-FFF2-40B4-BE49-F238E27FC236}">
                <a16:creationId xmlns:a16="http://schemas.microsoft.com/office/drawing/2014/main" id="{FBC3697A-E47B-4F36-9780-1F5017DB3629}"/>
              </a:ext>
            </a:extLst>
          </xdr:cNvPr>
          <xdr:cNvCxnSpPr/>
        </xdr:nvCxnSpPr>
        <xdr:spPr>
          <a:xfrm flipH="1">
            <a:off x="156627" y="39031"/>
            <a:ext cx="822960" cy="0"/>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27" name="Straight Connector 26">
            <a:extLst>
              <a:ext uri="{FF2B5EF4-FFF2-40B4-BE49-F238E27FC236}">
                <a16:creationId xmlns:a16="http://schemas.microsoft.com/office/drawing/2014/main" id="{9B43986E-B894-4619-BD59-E0D9B05C6305}"/>
              </a:ext>
            </a:extLst>
          </xdr:cNvPr>
          <xdr:cNvCxnSpPr>
            <a:cxnSpLocks/>
          </xdr:cNvCxnSpPr>
        </xdr:nvCxnSpPr>
        <xdr:spPr>
          <a:xfrm flipH="1">
            <a:off x="771735" y="409030"/>
            <a:ext cx="205034" cy="0"/>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28" name="Straight Connector 27">
            <a:extLst>
              <a:ext uri="{FF2B5EF4-FFF2-40B4-BE49-F238E27FC236}">
                <a16:creationId xmlns:a16="http://schemas.microsoft.com/office/drawing/2014/main" id="{8A6056E6-A6BF-4CF5-BF6F-7C5E4E33D343}"/>
              </a:ext>
            </a:extLst>
          </xdr:cNvPr>
          <xdr:cNvCxnSpPr>
            <a:cxnSpLocks/>
          </xdr:cNvCxnSpPr>
        </xdr:nvCxnSpPr>
        <xdr:spPr>
          <a:xfrm flipH="1">
            <a:off x="771734" y="39031"/>
            <a:ext cx="1" cy="370000"/>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29" name="Straight Connector 28">
            <a:extLst>
              <a:ext uri="{FF2B5EF4-FFF2-40B4-BE49-F238E27FC236}">
                <a16:creationId xmlns:a16="http://schemas.microsoft.com/office/drawing/2014/main" id="{0311DB0F-F143-4A9E-8C2C-0A92FD43BD65}"/>
              </a:ext>
            </a:extLst>
          </xdr:cNvPr>
          <xdr:cNvCxnSpPr>
            <a:cxnSpLocks/>
          </xdr:cNvCxnSpPr>
        </xdr:nvCxnSpPr>
        <xdr:spPr>
          <a:xfrm flipH="1" flipV="1">
            <a:off x="151433" y="87805"/>
            <a:ext cx="620301" cy="321226"/>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30" name="Straight Connector 29">
            <a:extLst>
              <a:ext uri="{FF2B5EF4-FFF2-40B4-BE49-F238E27FC236}">
                <a16:creationId xmlns:a16="http://schemas.microsoft.com/office/drawing/2014/main" id="{EEBB6FC3-AFC6-42C0-96B3-15A66FC0701F}"/>
              </a:ext>
            </a:extLst>
          </xdr:cNvPr>
          <xdr:cNvCxnSpPr>
            <a:cxnSpLocks/>
          </xdr:cNvCxnSpPr>
        </xdr:nvCxnSpPr>
        <xdr:spPr>
          <a:xfrm flipH="1" flipV="1">
            <a:off x="771733" y="39031"/>
            <a:ext cx="197633" cy="180145"/>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id="{5ECBD114-92FC-414E-ADAE-1F8EED58217A}"/>
              </a:ext>
            </a:extLst>
          </xdr:cNvPr>
          <xdr:cNvCxnSpPr>
            <a:cxnSpLocks/>
          </xdr:cNvCxnSpPr>
        </xdr:nvCxnSpPr>
        <xdr:spPr>
          <a:xfrm flipV="1">
            <a:off x="771733" y="219175"/>
            <a:ext cx="197633" cy="189855"/>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32" name="Straight Connector 31">
            <a:extLst>
              <a:ext uri="{FF2B5EF4-FFF2-40B4-BE49-F238E27FC236}">
                <a16:creationId xmlns:a16="http://schemas.microsoft.com/office/drawing/2014/main" id="{D1D0E7DB-A733-407E-9304-FFD2584C823E}"/>
              </a:ext>
            </a:extLst>
          </xdr:cNvPr>
          <xdr:cNvCxnSpPr>
            <a:cxnSpLocks/>
          </xdr:cNvCxnSpPr>
        </xdr:nvCxnSpPr>
        <xdr:spPr>
          <a:xfrm flipV="1">
            <a:off x="461584" y="221428"/>
            <a:ext cx="480441" cy="15321"/>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33" name="Straight Connector 32">
            <a:extLst>
              <a:ext uri="{FF2B5EF4-FFF2-40B4-BE49-F238E27FC236}">
                <a16:creationId xmlns:a16="http://schemas.microsoft.com/office/drawing/2014/main" id="{FAA1ED68-BA65-4E9A-A63B-99127191B89D}"/>
              </a:ext>
            </a:extLst>
          </xdr:cNvPr>
          <xdr:cNvCxnSpPr>
            <a:cxnSpLocks/>
          </xdr:cNvCxnSpPr>
        </xdr:nvCxnSpPr>
        <xdr:spPr>
          <a:xfrm flipV="1">
            <a:off x="458766" y="42077"/>
            <a:ext cx="2818" cy="205740"/>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cxnSp macro="">
        <xdr:nvCxnSpPr>
          <xdr:cNvPr id="34" name="Straight Connector 33">
            <a:extLst>
              <a:ext uri="{FF2B5EF4-FFF2-40B4-BE49-F238E27FC236}">
                <a16:creationId xmlns:a16="http://schemas.microsoft.com/office/drawing/2014/main" id="{FFB0D72C-138C-4541-B964-421CF988006E}"/>
              </a:ext>
            </a:extLst>
          </xdr:cNvPr>
          <xdr:cNvCxnSpPr>
            <a:cxnSpLocks/>
          </xdr:cNvCxnSpPr>
        </xdr:nvCxnSpPr>
        <xdr:spPr>
          <a:xfrm flipV="1">
            <a:off x="464295" y="34054"/>
            <a:ext cx="333980" cy="191615"/>
          </a:xfrm>
          <a:prstGeom prst="line">
            <a:avLst/>
          </a:prstGeom>
          <a:ln w="28575">
            <a:solidFill>
              <a:srgbClr val="40404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1752600</xdr:colOff>
      <xdr:row>14</xdr:row>
      <xdr:rowOff>0</xdr:rowOff>
    </xdr:from>
    <xdr:to>
      <xdr:col>1</xdr:col>
      <xdr:colOff>723900</xdr:colOff>
      <xdr:row>14</xdr:row>
      <xdr:rowOff>542925</xdr:rowOff>
    </xdr:to>
    <xdr:pic>
      <xdr:nvPicPr>
        <xdr:cNvPr id="35" name="Picture 34">
          <a:extLst>
            <a:ext uri="{FF2B5EF4-FFF2-40B4-BE49-F238E27FC236}">
              <a16:creationId xmlns:a16="http://schemas.microsoft.com/office/drawing/2014/main" id="{592DCF80-654E-42F9-9F0E-4682AB8739B5}"/>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752600" y="9391650"/>
          <a:ext cx="733425"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19050</xdr:colOff>
      <xdr:row>15</xdr:row>
      <xdr:rowOff>85725</xdr:rowOff>
    </xdr:from>
    <xdr:to>
      <xdr:col>1</xdr:col>
      <xdr:colOff>752475</xdr:colOff>
      <xdr:row>15</xdr:row>
      <xdr:rowOff>628650</xdr:rowOff>
    </xdr:to>
    <xdr:pic>
      <xdr:nvPicPr>
        <xdr:cNvPr id="36" name="Picture 35">
          <a:extLst>
            <a:ext uri="{FF2B5EF4-FFF2-40B4-BE49-F238E27FC236}">
              <a16:creationId xmlns:a16="http://schemas.microsoft.com/office/drawing/2014/main" id="{2BBD55E8-0FDB-436D-ABAE-88433756C73A}"/>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781175" y="10448925"/>
          <a:ext cx="733425" cy="542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2143125</xdr:colOff>
      <xdr:row>16</xdr:row>
      <xdr:rowOff>0</xdr:rowOff>
    </xdr:from>
    <xdr:to>
      <xdr:col>2</xdr:col>
      <xdr:colOff>723900</xdr:colOff>
      <xdr:row>16</xdr:row>
      <xdr:rowOff>647700</xdr:rowOff>
    </xdr:to>
    <xdr:pic>
      <xdr:nvPicPr>
        <xdr:cNvPr id="37" name="Picture 36">
          <a:extLst>
            <a:ext uri="{FF2B5EF4-FFF2-40B4-BE49-F238E27FC236}">
              <a16:creationId xmlns:a16="http://schemas.microsoft.com/office/drawing/2014/main" id="{C112FF9B-B316-4746-8A85-B9675907F717}"/>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905250" y="11334750"/>
          <a:ext cx="733425"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6"/>
  <sheetViews>
    <sheetView tabSelected="1" zoomScale="85" zoomScaleNormal="85" workbookViewId="0"/>
  </sheetViews>
  <sheetFormatPr defaultRowHeight="15" x14ac:dyDescent="0.25"/>
  <cols>
    <col min="1" max="1" width="26.42578125" style="24" customWidth="1"/>
    <col min="2" max="2" width="16.140625" style="24" customWidth="1"/>
    <col min="3" max="3" width="16.85546875" style="24" customWidth="1"/>
    <col min="4" max="4" width="69.85546875" style="25" customWidth="1"/>
    <col min="5" max="5" width="20.85546875" style="24" customWidth="1"/>
  </cols>
  <sheetData>
    <row r="1" spans="1:5" x14ac:dyDescent="0.25">
      <c r="A1" s="61" t="s">
        <v>247</v>
      </c>
      <c r="B1" s="61" t="s">
        <v>309</v>
      </c>
      <c r="C1" s="61"/>
      <c r="D1" s="51"/>
      <c r="E1" s="61"/>
    </row>
    <row r="2" spans="1:5" x14ac:dyDescent="0.25">
      <c r="A2" s="61" t="s">
        <v>246</v>
      </c>
      <c r="B2" s="61" t="s">
        <v>307</v>
      </c>
      <c r="C2" s="61"/>
      <c r="D2" s="51"/>
      <c r="E2" s="61"/>
    </row>
    <row r="3" spans="1:5" x14ac:dyDescent="0.25">
      <c r="A3" s="61" t="s">
        <v>245</v>
      </c>
      <c r="B3" s="61" t="s">
        <v>308</v>
      </c>
      <c r="C3" s="61"/>
      <c r="D3" s="51"/>
      <c r="E3" s="61"/>
    </row>
    <row r="4" spans="1:5" x14ac:dyDescent="0.25">
      <c r="A4" s="61" t="s">
        <v>249</v>
      </c>
      <c r="B4" s="61" t="s">
        <v>248</v>
      </c>
      <c r="C4" s="61"/>
      <c r="D4" s="51"/>
      <c r="E4" s="61"/>
    </row>
    <row r="5" spans="1:5" ht="42" customHeight="1" x14ac:dyDescent="0.25">
      <c r="A5" s="61" t="s">
        <v>250</v>
      </c>
      <c r="B5" s="74" t="s">
        <v>269</v>
      </c>
      <c r="C5" s="74"/>
      <c r="D5" s="74"/>
      <c r="E5" s="74"/>
    </row>
    <row r="6" spans="1:5" ht="26.25" customHeight="1" x14ac:dyDescent="0.25">
      <c r="A6" s="61"/>
      <c r="B6" s="76" t="s">
        <v>273</v>
      </c>
      <c r="C6" s="76"/>
      <c r="D6" s="76"/>
      <c r="E6" s="51"/>
    </row>
    <row r="7" spans="1:5" x14ac:dyDescent="0.25">
      <c r="A7" s="74" t="s">
        <v>270</v>
      </c>
      <c r="B7" s="74"/>
      <c r="C7" s="74"/>
      <c r="D7" s="74"/>
    </row>
    <row r="8" spans="1:5" x14ac:dyDescent="0.25">
      <c r="A8" s="22" t="s">
        <v>217</v>
      </c>
      <c r="B8" s="22" t="s">
        <v>218</v>
      </c>
      <c r="C8" s="22" t="s">
        <v>219</v>
      </c>
      <c r="D8" s="22" t="s">
        <v>220</v>
      </c>
      <c r="E8" s="22" t="s">
        <v>221</v>
      </c>
    </row>
    <row r="9" spans="1:5" ht="80.099999999999994" customHeight="1" x14ac:dyDescent="0.25">
      <c r="A9" s="22" t="s">
        <v>222</v>
      </c>
      <c r="B9" s="22"/>
      <c r="C9" s="22"/>
      <c r="D9" s="22" t="s">
        <v>223</v>
      </c>
      <c r="E9" s="22" t="s">
        <v>224</v>
      </c>
    </row>
    <row r="10" spans="1:5" ht="80.099999999999994" customHeight="1" x14ac:dyDescent="0.25">
      <c r="A10" s="22" t="s">
        <v>258</v>
      </c>
      <c r="B10" s="22"/>
      <c r="C10" s="22"/>
      <c r="D10" s="22" t="s">
        <v>225</v>
      </c>
      <c r="E10" s="22" t="s">
        <v>226</v>
      </c>
    </row>
    <row r="11" spans="1:5" ht="80.099999999999994" customHeight="1" x14ac:dyDescent="0.25">
      <c r="A11" s="22" t="s">
        <v>257</v>
      </c>
      <c r="B11" s="22"/>
      <c r="C11" s="22"/>
      <c r="D11" s="22" t="s">
        <v>227</v>
      </c>
      <c r="E11" s="22" t="s">
        <v>256</v>
      </c>
    </row>
    <row r="12" spans="1:5" ht="80.099999999999994" customHeight="1" x14ac:dyDescent="0.25">
      <c r="A12" s="22" t="s">
        <v>228</v>
      </c>
      <c r="B12" s="23"/>
      <c r="C12" s="22"/>
      <c r="D12" s="22" t="s">
        <v>229</v>
      </c>
      <c r="E12" s="22" t="s">
        <v>230</v>
      </c>
    </row>
    <row r="13" spans="1:5" ht="80.099999999999994" customHeight="1" x14ac:dyDescent="0.25">
      <c r="A13" s="22" t="s">
        <v>231</v>
      </c>
      <c r="B13" s="23"/>
      <c r="C13" s="22"/>
      <c r="D13" s="22" t="s">
        <v>232</v>
      </c>
      <c r="E13" s="22" t="s">
        <v>233</v>
      </c>
    </row>
    <row r="14" spans="1:5" ht="80.099999999999994" customHeight="1" x14ac:dyDescent="0.25">
      <c r="A14" s="22" t="s">
        <v>234</v>
      </c>
      <c r="B14" s="23"/>
      <c r="C14" s="23"/>
      <c r="D14" s="22" t="s">
        <v>235</v>
      </c>
      <c r="E14" s="22" t="s">
        <v>236</v>
      </c>
    </row>
    <row r="15" spans="1:5" ht="80.099999999999994" customHeight="1" x14ac:dyDescent="0.25">
      <c r="A15" s="22" t="s">
        <v>237</v>
      </c>
      <c r="B15" s="23"/>
      <c r="C15" s="23"/>
      <c r="D15" s="22" t="s">
        <v>238</v>
      </c>
      <c r="E15" s="22" t="s">
        <v>239</v>
      </c>
    </row>
    <row r="16" spans="1:5" ht="80.099999999999994" customHeight="1" x14ac:dyDescent="0.25">
      <c r="A16" s="22" t="s">
        <v>240</v>
      </c>
      <c r="B16" s="23"/>
      <c r="C16" s="23"/>
      <c r="D16" s="22" t="s">
        <v>241</v>
      </c>
      <c r="E16" s="22" t="s">
        <v>242</v>
      </c>
    </row>
    <row r="17" spans="1:5" ht="80.099999999999994" customHeight="1" x14ac:dyDescent="0.25">
      <c r="A17" s="22" t="s">
        <v>159</v>
      </c>
      <c r="B17" s="23"/>
      <c r="C17" s="23"/>
      <c r="D17" s="22" t="s">
        <v>243</v>
      </c>
      <c r="E17" s="22" t="s">
        <v>244</v>
      </c>
    </row>
    <row r="19" spans="1:5" x14ac:dyDescent="0.25">
      <c r="A19" s="74" t="s">
        <v>271</v>
      </c>
      <c r="B19" s="74"/>
      <c r="C19" s="74"/>
      <c r="D19" s="74" t="s">
        <v>259</v>
      </c>
    </row>
    <row r="20" spans="1:5" s="40" customFormat="1" x14ac:dyDescent="0.25">
      <c r="A20" s="51" t="s">
        <v>250</v>
      </c>
      <c r="B20" s="61" t="s">
        <v>310</v>
      </c>
      <c r="C20" s="51"/>
      <c r="D20" s="51"/>
      <c r="E20" s="24"/>
    </row>
    <row r="21" spans="1:5" x14ac:dyDescent="0.25">
      <c r="A21" s="35" t="s">
        <v>260</v>
      </c>
      <c r="B21" s="77" t="s">
        <v>220</v>
      </c>
      <c r="C21" s="77"/>
      <c r="D21" s="77"/>
      <c r="E21" s="36"/>
    </row>
    <row r="22" spans="1:5" ht="66" customHeight="1" x14ac:dyDescent="0.25">
      <c r="A22" s="35" t="s">
        <v>261</v>
      </c>
      <c r="B22" s="78" t="s">
        <v>262</v>
      </c>
      <c r="C22" s="78"/>
      <c r="D22" s="78"/>
      <c r="E22" s="78"/>
    </row>
    <row r="23" spans="1:5" ht="64.5" customHeight="1" x14ac:dyDescent="0.25">
      <c r="A23" s="35" t="s">
        <v>263</v>
      </c>
      <c r="B23" s="78" t="s">
        <v>264</v>
      </c>
      <c r="C23" s="78"/>
      <c r="D23" s="78"/>
      <c r="E23" s="78"/>
    </row>
    <row r="24" spans="1:5" ht="94.5" customHeight="1" x14ac:dyDescent="0.25">
      <c r="A24" s="35" t="s">
        <v>265</v>
      </c>
      <c r="B24" s="78" t="s">
        <v>266</v>
      </c>
      <c r="C24" s="78"/>
      <c r="D24" s="78"/>
      <c r="E24" s="78"/>
    </row>
    <row r="25" spans="1:5" ht="65.25" customHeight="1" x14ac:dyDescent="0.25">
      <c r="A25" s="35" t="s">
        <v>267</v>
      </c>
      <c r="B25" s="78" t="s">
        <v>268</v>
      </c>
      <c r="C25" s="78"/>
      <c r="D25" s="78"/>
      <c r="E25" s="78"/>
    </row>
    <row r="26" spans="1:5" ht="36.75" customHeight="1" x14ac:dyDescent="0.25">
      <c r="A26" s="75" t="s">
        <v>272</v>
      </c>
      <c r="B26" s="75"/>
      <c r="C26" s="75"/>
      <c r="D26" s="75"/>
      <c r="E26" s="75"/>
    </row>
  </sheetData>
  <mergeCells count="10">
    <mergeCell ref="B5:E5"/>
    <mergeCell ref="A7:D7"/>
    <mergeCell ref="A19:D19"/>
    <mergeCell ref="A26:E26"/>
    <mergeCell ref="B6:D6"/>
    <mergeCell ref="B21:D21"/>
    <mergeCell ref="B22:E22"/>
    <mergeCell ref="B23:E23"/>
    <mergeCell ref="B24:E24"/>
    <mergeCell ref="B25:E25"/>
  </mergeCell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97"/>
  <sheetViews>
    <sheetView topLeftCell="A51" zoomScale="70" zoomScaleNormal="70" workbookViewId="0">
      <pane xSplit="1" topLeftCell="B1" activePane="topRight" state="frozen"/>
      <selection pane="topRight" activeCell="C95" sqref="C95"/>
    </sheetView>
  </sheetViews>
  <sheetFormatPr defaultColWidth="29.140625" defaultRowHeight="15" x14ac:dyDescent="0.25"/>
  <cols>
    <col min="1" max="1" width="55.5703125" style="1" customWidth="1"/>
    <col min="2" max="2" width="18.85546875" style="1" customWidth="1"/>
    <col min="3" max="3" width="15.85546875" style="1" customWidth="1"/>
    <col min="4" max="4" width="23" style="1" customWidth="1"/>
    <col min="5" max="5" width="15.85546875" style="1" customWidth="1"/>
    <col min="6" max="6" width="20.85546875" style="1" customWidth="1"/>
    <col min="7" max="9" width="15.85546875" style="1" customWidth="1"/>
    <col min="10" max="10" width="20.5703125" style="1" bestFit="1" customWidth="1"/>
    <col min="11" max="11" width="22.140625" style="1" bestFit="1" customWidth="1"/>
    <col min="12" max="12" width="17" style="1" customWidth="1"/>
    <col min="13" max="15" width="15.85546875" style="1" customWidth="1"/>
    <col min="16" max="16" width="20.85546875" style="1" bestFit="1" customWidth="1"/>
    <col min="17" max="17" width="20.140625" style="1" customWidth="1"/>
    <col min="18" max="20" width="15.85546875" style="1" customWidth="1"/>
    <col min="21" max="21" width="18.85546875" style="1" bestFit="1" customWidth="1"/>
    <col min="22" max="16384" width="29.140625" style="1"/>
  </cols>
  <sheetData>
    <row r="1" spans="1:21" customFormat="1" x14ac:dyDescent="0.25">
      <c r="A1" s="61" t="s">
        <v>247</v>
      </c>
      <c r="B1" s="61" t="s">
        <v>309</v>
      </c>
      <c r="C1" s="29"/>
      <c r="E1" s="30"/>
      <c r="F1" s="29"/>
    </row>
    <row r="2" spans="1:21" customFormat="1" x14ac:dyDescent="0.25">
      <c r="A2" s="61" t="s">
        <v>246</v>
      </c>
      <c r="B2" s="61" t="s">
        <v>307</v>
      </c>
      <c r="C2" s="52"/>
      <c r="D2" s="52"/>
      <c r="E2" s="52"/>
      <c r="F2" s="52"/>
      <c r="G2" s="52"/>
      <c r="H2" s="52"/>
      <c r="I2" s="52"/>
      <c r="J2" s="52"/>
      <c r="K2" s="52"/>
      <c r="L2" s="52"/>
      <c r="M2" s="52"/>
      <c r="N2" s="52"/>
      <c r="O2" s="52"/>
      <c r="P2" s="52"/>
      <c r="Q2" s="52"/>
      <c r="R2" s="52"/>
      <c r="S2" s="52"/>
      <c r="T2" s="52"/>
      <c r="U2" s="52"/>
    </row>
    <row r="3" spans="1:21" customFormat="1" x14ac:dyDescent="0.25">
      <c r="A3" s="61" t="s">
        <v>245</v>
      </c>
      <c r="B3" s="61" t="s">
        <v>308</v>
      </c>
      <c r="C3" s="29"/>
      <c r="E3" s="30"/>
      <c r="F3" s="29"/>
    </row>
    <row r="4" spans="1:21" customFormat="1" x14ac:dyDescent="0.25">
      <c r="A4" s="61" t="s">
        <v>249</v>
      </c>
      <c r="B4" s="61" t="s">
        <v>251</v>
      </c>
      <c r="C4" s="29"/>
      <c r="E4" s="30"/>
      <c r="F4" s="29"/>
    </row>
    <row r="5" spans="1:21" customFormat="1" x14ac:dyDescent="0.25">
      <c r="A5" s="61" t="s">
        <v>250</v>
      </c>
      <c r="B5" s="61" t="s">
        <v>252</v>
      </c>
      <c r="C5" s="29"/>
      <c r="E5" s="30"/>
      <c r="F5" s="29"/>
    </row>
    <row r="6" spans="1:21" customFormat="1" ht="42" customHeight="1" x14ac:dyDescent="0.25">
      <c r="A6" s="29"/>
      <c r="B6" s="34"/>
      <c r="C6" s="34"/>
      <c r="E6" s="34"/>
      <c r="F6" s="34"/>
    </row>
    <row r="7" spans="1:21" x14ac:dyDescent="0.25">
      <c r="A7" s="3" t="s">
        <v>171</v>
      </c>
      <c r="B7" s="4" t="s">
        <v>36</v>
      </c>
      <c r="C7" s="3" t="s">
        <v>14</v>
      </c>
      <c r="D7" s="3" t="s">
        <v>157</v>
      </c>
      <c r="E7" s="3" t="s">
        <v>32</v>
      </c>
      <c r="F7" s="3" t="s">
        <v>40</v>
      </c>
      <c r="G7" s="3" t="s">
        <v>41</v>
      </c>
      <c r="H7" s="3" t="s">
        <v>45</v>
      </c>
      <c r="I7" s="3" t="s">
        <v>49</v>
      </c>
      <c r="J7" s="3" t="s">
        <v>54</v>
      </c>
      <c r="K7" s="3" t="s">
        <v>64</v>
      </c>
      <c r="L7" s="3" t="s">
        <v>89</v>
      </c>
      <c r="M7" s="3" t="s">
        <v>15</v>
      </c>
      <c r="N7" s="3" t="s">
        <v>98</v>
      </c>
      <c r="O7" s="3" t="s">
        <v>99</v>
      </c>
      <c r="P7" s="3" t="s">
        <v>100</v>
      </c>
      <c r="Q7" s="3" t="s">
        <v>101</v>
      </c>
      <c r="R7" s="3" t="s">
        <v>102</v>
      </c>
      <c r="S7" s="3" t="s">
        <v>112</v>
      </c>
      <c r="T7" s="3" t="s">
        <v>113</v>
      </c>
      <c r="U7" s="3" t="s">
        <v>114</v>
      </c>
    </row>
    <row r="8" spans="1:21" s="2" customFormat="1" ht="36" x14ac:dyDescent="0.25">
      <c r="A8" s="3" t="s">
        <v>0</v>
      </c>
      <c r="B8" s="5" t="s">
        <v>36</v>
      </c>
      <c r="C8" s="6" t="s">
        <v>123</v>
      </c>
      <c r="D8" s="6" t="s">
        <v>158</v>
      </c>
      <c r="E8" s="6" t="s">
        <v>33</v>
      </c>
      <c r="F8" s="6" t="s">
        <v>35</v>
      </c>
      <c r="G8" s="6" t="s">
        <v>42</v>
      </c>
      <c r="H8" s="6" t="s">
        <v>46</v>
      </c>
      <c r="I8" s="6" t="s">
        <v>50</v>
      </c>
      <c r="J8" s="6" t="s">
        <v>55</v>
      </c>
      <c r="K8" s="6" t="s">
        <v>65</v>
      </c>
      <c r="L8" s="6" t="s">
        <v>88</v>
      </c>
      <c r="M8" s="6" t="s">
        <v>124</v>
      </c>
      <c r="N8" s="6" t="s">
        <v>97</v>
      </c>
      <c r="O8" s="6" t="s">
        <v>105</v>
      </c>
      <c r="P8" s="6" t="s">
        <v>107</v>
      </c>
      <c r="Q8" s="6" t="s">
        <v>110</v>
      </c>
      <c r="R8" s="6" t="s">
        <v>115</v>
      </c>
      <c r="S8" s="6" t="s">
        <v>117</v>
      </c>
      <c r="T8" s="6" t="s">
        <v>118</v>
      </c>
      <c r="U8" s="6" t="s">
        <v>119</v>
      </c>
    </row>
    <row r="9" spans="1:21" x14ac:dyDescent="0.25">
      <c r="A9" s="3" t="s">
        <v>121</v>
      </c>
      <c r="B9" s="4" t="s">
        <v>36</v>
      </c>
      <c r="C9" s="14">
        <v>1945</v>
      </c>
      <c r="D9" s="7">
        <v>1961</v>
      </c>
      <c r="E9" s="14">
        <v>1962</v>
      </c>
      <c r="F9" s="14">
        <v>1964</v>
      </c>
      <c r="G9" s="14">
        <v>1965</v>
      </c>
      <c r="H9" s="14">
        <v>1967</v>
      </c>
      <c r="I9" s="14">
        <v>1977</v>
      </c>
      <c r="J9" s="14">
        <v>1974</v>
      </c>
      <c r="K9" s="14">
        <v>1969</v>
      </c>
      <c r="L9" s="14">
        <v>1989</v>
      </c>
      <c r="M9" s="14">
        <v>1993</v>
      </c>
      <c r="N9" s="14">
        <v>1996</v>
      </c>
      <c r="O9" s="14">
        <v>1998</v>
      </c>
      <c r="P9" s="14">
        <v>1980</v>
      </c>
      <c r="Q9" s="14">
        <v>2008</v>
      </c>
      <c r="R9" s="14">
        <v>2008</v>
      </c>
      <c r="S9" s="14">
        <v>2008</v>
      </c>
      <c r="T9" s="14">
        <v>2008</v>
      </c>
      <c r="U9" s="14">
        <v>2003</v>
      </c>
    </row>
    <row r="10" spans="1:21" x14ac:dyDescent="0.25">
      <c r="A10" s="3" t="s">
        <v>122</v>
      </c>
      <c r="B10" s="4" t="s">
        <v>36</v>
      </c>
      <c r="C10" s="14">
        <v>1958</v>
      </c>
      <c r="D10" s="7">
        <v>1966</v>
      </c>
      <c r="E10" s="14">
        <v>1966</v>
      </c>
      <c r="F10" s="14">
        <v>1966</v>
      </c>
      <c r="G10" s="14">
        <v>1969</v>
      </c>
      <c r="H10" s="14">
        <v>1973</v>
      </c>
      <c r="I10" s="14">
        <v>1980</v>
      </c>
      <c r="J10" s="14">
        <v>1982</v>
      </c>
      <c r="K10" s="14">
        <v>1984</v>
      </c>
      <c r="L10" s="14">
        <v>1997</v>
      </c>
      <c r="M10" s="14">
        <v>1997</v>
      </c>
      <c r="N10" s="14">
        <v>2002</v>
      </c>
      <c r="O10" s="14">
        <v>2002</v>
      </c>
      <c r="P10" s="14">
        <v>2011</v>
      </c>
      <c r="Q10" s="14">
        <v>2011</v>
      </c>
      <c r="R10" s="14">
        <v>2011</v>
      </c>
      <c r="S10" s="14">
        <v>2011</v>
      </c>
      <c r="T10" s="14">
        <v>2012</v>
      </c>
      <c r="U10" s="14">
        <v>2022</v>
      </c>
    </row>
    <row r="11" spans="1:21" s="16" customFormat="1" x14ac:dyDescent="0.25">
      <c r="A11" s="3" t="s">
        <v>162</v>
      </c>
      <c r="B11" s="4" t="s">
        <v>163</v>
      </c>
      <c r="C11" s="18">
        <v>4</v>
      </c>
      <c r="D11" s="7">
        <f>D10-D9</f>
        <v>5</v>
      </c>
      <c r="E11" s="18">
        <v>4</v>
      </c>
      <c r="F11" s="18">
        <v>2</v>
      </c>
      <c r="G11" s="18">
        <v>4</v>
      </c>
      <c r="H11" s="18">
        <v>6</v>
      </c>
      <c r="I11" s="18">
        <v>3</v>
      </c>
      <c r="J11" s="18">
        <v>8</v>
      </c>
      <c r="K11" s="18">
        <v>17</v>
      </c>
      <c r="L11" s="18">
        <v>8</v>
      </c>
      <c r="M11" s="18">
        <v>4</v>
      </c>
      <c r="N11" s="18">
        <v>5</v>
      </c>
      <c r="O11" s="18">
        <v>3</v>
      </c>
      <c r="P11" s="18">
        <v>27</v>
      </c>
      <c r="Q11" s="18">
        <v>3</v>
      </c>
      <c r="R11" s="18">
        <v>3</v>
      </c>
      <c r="S11" s="18">
        <v>3</v>
      </c>
      <c r="T11" s="18">
        <v>4</v>
      </c>
      <c r="U11" s="18">
        <v>19</v>
      </c>
    </row>
    <row r="12" spans="1:21" customFormat="1" x14ac:dyDescent="0.25">
      <c r="A12" s="3" t="s">
        <v>164</v>
      </c>
      <c r="B12" s="4" t="s">
        <v>254</v>
      </c>
      <c r="C12" s="65">
        <f>'Appendix A3'!O8/1000000</f>
        <v>138.1</v>
      </c>
      <c r="D12" s="65">
        <f>'Appendix A3'!O9/1000000</f>
        <v>135.19999999999999</v>
      </c>
      <c r="E12" s="65">
        <f>'Appendix A3'!O10/1000000</f>
        <v>171.3</v>
      </c>
      <c r="F12" s="1"/>
      <c r="G12" s="65">
        <f>'Appendix A3'!O11/1000000</f>
        <v>108.6</v>
      </c>
      <c r="H12" s="65">
        <f>'Appendix A3'!O12/1000000</f>
        <v>522.9</v>
      </c>
      <c r="I12" s="65">
        <f>'Appendix A3'!O13/1000000</f>
        <v>18.079999999999998</v>
      </c>
      <c r="J12" s="65">
        <f>'Appendix A3'!O14/1000000</f>
        <v>1427</v>
      </c>
      <c r="K12" s="65">
        <f>'Appendix A3'!O15/1000000</f>
        <v>5043</v>
      </c>
      <c r="L12" s="65">
        <f>'Appendix A3'!O16/1000000</f>
        <v>845.7</v>
      </c>
      <c r="M12" s="65">
        <f>'Appendix A3'!O17/1000000</f>
        <v>184.2</v>
      </c>
      <c r="N12" s="65">
        <f>'Appendix A3'!O18/1000000</f>
        <v>151.69999999999999</v>
      </c>
      <c r="O12" s="65">
        <f>'Appendix A3'!O19/1000000</f>
        <v>440</v>
      </c>
      <c r="P12" s="65">
        <f>'Appendix A3'!O20/1000000</f>
        <v>7363</v>
      </c>
      <c r="Q12" s="65">
        <f>'Appendix A3'!O21/1000000</f>
        <v>1363</v>
      </c>
      <c r="R12" s="65">
        <f>'Appendix A3'!O22/1000000</f>
        <v>179.8</v>
      </c>
      <c r="S12" s="65">
        <f>'Appendix A3'!O23/1000000</f>
        <v>48.8</v>
      </c>
      <c r="T12" s="65">
        <f>'Appendix A3'!O24/1000000</f>
        <v>406.3</v>
      </c>
      <c r="U12" s="65">
        <f>'Appendix A3'!O25/1000000</f>
        <v>5500</v>
      </c>
    </row>
    <row r="13" spans="1:21" customFormat="1" x14ac:dyDescent="0.25">
      <c r="A13" s="3" t="s">
        <v>1</v>
      </c>
      <c r="B13" s="4" t="s">
        <v>2</v>
      </c>
      <c r="C13" s="7">
        <v>200</v>
      </c>
      <c r="D13" s="7">
        <v>213</v>
      </c>
      <c r="E13" s="66">
        <v>1370</v>
      </c>
      <c r="F13" s="7">
        <v>150</v>
      </c>
      <c r="G13" s="7">
        <v>850</v>
      </c>
      <c r="H13" s="7">
        <v>4900</v>
      </c>
      <c r="I13" s="7">
        <v>40</v>
      </c>
      <c r="J13" s="7">
        <v>530</v>
      </c>
      <c r="K13" s="7">
        <v>9000</v>
      </c>
      <c r="L13" s="7">
        <v>610</v>
      </c>
      <c r="M13" s="7">
        <v>250</v>
      </c>
      <c r="N13" s="7">
        <v>450</v>
      </c>
      <c r="O13" s="7">
        <v>476</v>
      </c>
      <c r="P13" s="7">
        <v>25400</v>
      </c>
      <c r="Q13" s="7">
        <v>2300</v>
      </c>
      <c r="R13" s="7">
        <v>130</v>
      </c>
      <c r="S13" s="7">
        <v>120</v>
      </c>
      <c r="T13" s="7">
        <v>525</v>
      </c>
      <c r="U13" s="7">
        <v>1500</v>
      </c>
    </row>
    <row r="14" spans="1:21" s="40" customFormat="1" x14ac:dyDescent="0.25">
      <c r="A14" s="3" t="s">
        <v>314</v>
      </c>
      <c r="B14" s="4"/>
      <c r="C14" s="67">
        <f>SUM(C19:C21)</f>
        <v>127.799988</v>
      </c>
      <c r="D14" s="67">
        <f t="shared" ref="D14:U14" si="0">SUM(D19:D21)</f>
        <v>213.6</v>
      </c>
      <c r="E14" s="67">
        <f t="shared" si="0"/>
        <v>1369.9999999999998</v>
      </c>
      <c r="F14" s="67">
        <f t="shared" si="0"/>
        <v>0</v>
      </c>
      <c r="G14" s="67">
        <f t="shared" si="0"/>
        <v>889</v>
      </c>
      <c r="H14" s="67">
        <f t="shared" si="0"/>
        <v>4900</v>
      </c>
      <c r="I14" s="67">
        <f t="shared" si="0"/>
        <v>42.700000064000001</v>
      </c>
      <c r="J14" s="67">
        <f t="shared" si="0"/>
        <v>549.69998864000002</v>
      </c>
      <c r="K14" s="67">
        <f t="shared" si="0"/>
        <v>7880</v>
      </c>
      <c r="L14" s="67">
        <f t="shared" si="0"/>
        <v>891.99991599999987</v>
      </c>
      <c r="M14" s="67">
        <f t="shared" si="0"/>
        <v>250</v>
      </c>
      <c r="N14" s="67">
        <f t="shared" si="0"/>
        <v>410.99999999999994</v>
      </c>
      <c r="O14" s="67">
        <f t="shared" si="0"/>
        <v>640</v>
      </c>
      <c r="P14" s="67">
        <f t="shared" si="0"/>
        <v>23250</v>
      </c>
      <c r="Q14" s="67">
        <f t="shared" si="0"/>
        <v>2879.9999999999995</v>
      </c>
      <c r="R14" s="67">
        <f t="shared" si="0"/>
        <v>143</v>
      </c>
      <c r="S14" s="67">
        <f t="shared" si="0"/>
        <v>120.00000000000001</v>
      </c>
      <c r="T14" s="67">
        <f t="shared" si="0"/>
        <v>520</v>
      </c>
      <c r="U14" s="67">
        <f t="shared" si="0"/>
        <v>1650</v>
      </c>
    </row>
    <row r="15" spans="1:21" customFormat="1" x14ac:dyDescent="0.25">
      <c r="A15" s="3" t="s">
        <v>160</v>
      </c>
      <c r="B15" s="4" t="s">
        <v>10</v>
      </c>
      <c r="C15" s="18">
        <v>1264.5</v>
      </c>
      <c r="D15" s="7">
        <v>185</v>
      </c>
      <c r="E15" s="18">
        <v>2012.9999999999998</v>
      </c>
      <c r="F15" s="18"/>
      <c r="G15" s="18">
        <v>300</v>
      </c>
      <c r="H15" s="18">
        <v>97.5</v>
      </c>
      <c r="I15" s="18">
        <v>415.14000000000004</v>
      </c>
      <c r="J15" s="18">
        <v>5534.7350000000006</v>
      </c>
      <c r="K15" s="18">
        <v>214.4</v>
      </c>
      <c r="L15" s="18">
        <v>19125</v>
      </c>
      <c r="M15" s="18">
        <v>2162.25</v>
      </c>
      <c r="N15" s="18">
        <v>3156.9999999999991</v>
      </c>
      <c r="O15" s="18">
        <v>1802.8</v>
      </c>
      <c r="P15" s="18">
        <v>11496.6</v>
      </c>
      <c r="Q15" s="18">
        <v>1719.9</v>
      </c>
      <c r="R15" s="18">
        <v>717.6</v>
      </c>
      <c r="S15" s="18">
        <v>636.05664000000002</v>
      </c>
      <c r="T15" s="18">
        <v>1485.9</v>
      </c>
      <c r="U15" s="18">
        <v>16020</v>
      </c>
    </row>
    <row r="16" spans="1:21" customFormat="1" x14ac:dyDescent="0.25">
      <c r="A16" s="3" t="s">
        <v>161</v>
      </c>
      <c r="B16" s="4" t="s">
        <v>10</v>
      </c>
      <c r="C16" s="18">
        <v>0</v>
      </c>
      <c r="D16" s="7">
        <v>358</v>
      </c>
      <c r="E16" s="18">
        <v>0</v>
      </c>
      <c r="F16" s="18"/>
      <c r="G16" s="18">
        <v>0</v>
      </c>
      <c r="H16" s="18">
        <v>1579.5000000000002</v>
      </c>
      <c r="I16" s="18">
        <v>0</v>
      </c>
      <c r="J16" s="18">
        <v>1024</v>
      </c>
      <c r="K16" s="18">
        <v>36666</v>
      </c>
      <c r="L16" s="18">
        <v>0</v>
      </c>
      <c r="M16" s="18">
        <v>0</v>
      </c>
      <c r="N16" s="18">
        <v>0</v>
      </c>
      <c r="O16" s="18">
        <v>4039.5</v>
      </c>
      <c r="P16" s="18">
        <v>13839.005499999999</v>
      </c>
      <c r="Q16" s="18">
        <v>736</v>
      </c>
      <c r="R16" s="18">
        <v>312</v>
      </c>
      <c r="S16" s="18">
        <v>0</v>
      </c>
      <c r="T16" s="18">
        <v>1783.0800000000002</v>
      </c>
      <c r="U16" s="18">
        <v>5600</v>
      </c>
    </row>
    <row r="17" spans="1:22" customFormat="1" x14ac:dyDescent="0.25">
      <c r="A17" s="3" t="s">
        <v>203</v>
      </c>
      <c r="B17" s="4" t="s">
        <v>10</v>
      </c>
      <c r="C17" s="18">
        <v>47.999934967679998</v>
      </c>
      <c r="D17" s="7">
        <v>2059</v>
      </c>
      <c r="E17" s="18">
        <v>21168</v>
      </c>
      <c r="F17" s="18"/>
      <c r="G17" s="18">
        <v>8400</v>
      </c>
      <c r="H17" s="18">
        <v>30173.000000000004</v>
      </c>
      <c r="I17" s="18">
        <v>20.399649523200001</v>
      </c>
      <c r="J17" s="18">
        <v>166.3995639744</v>
      </c>
      <c r="K17" s="18">
        <v>67991.600000000006</v>
      </c>
      <c r="L17" s="18">
        <v>995.39996016384009</v>
      </c>
      <c r="M17" s="18">
        <v>162.75</v>
      </c>
      <c r="N17" s="18">
        <v>213.2</v>
      </c>
      <c r="O17" s="18">
        <v>2385.2000000000003</v>
      </c>
      <c r="P17" s="18">
        <v>147713.64449999999</v>
      </c>
      <c r="Q17" s="18">
        <v>27722.9</v>
      </c>
      <c r="R17" s="18">
        <v>457.6</v>
      </c>
      <c r="S17" s="18">
        <v>251.60000000000002</v>
      </c>
      <c r="T17" s="18">
        <v>3509.9999999999995</v>
      </c>
      <c r="U17" s="18">
        <v>630</v>
      </c>
    </row>
    <row r="18" spans="1:22" customFormat="1" x14ac:dyDescent="0.25">
      <c r="A18" s="3" t="s">
        <v>165</v>
      </c>
      <c r="B18" s="4" t="s">
        <v>2</v>
      </c>
      <c r="C18" s="17">
        <f t="shared" ref="C18:T18" si="1">C29-C30</f>
        <v>4.5</v>
      </c>
      <c r="D18" s="17">
        <f>D29-D30</f>
        <v>6.1</v>
      </c>
      <c r="E18" s="17">
        <f t="shared" si="1"/>
        <v>4.9000000000000004</v>
      </c>
      <c r="F18" s="17">
        <f t="shared" si="1"/>
        <v>2.2000000000000002</v>
      </c>
      <c r="G18" s="17">
        <f t="shared" si="1"/>
        <v>4.5</v>
      </c>
      <c r="H18" s="17">
        <f t="shared" si="1"/>
        <v>7.1</v>
      </c>
      <c r="I18" s="17">
        <f t="shared" si="1"/>
        <v>5.9</v>
      </c>
      <c r="J18" s="17">
        <f t="shared" si="1"/>
        <v>8.4</v>
      </c>
      <c r="K18" s="18">
        <f t="shared" si="1"/>
        <v>4.8</v>
      </c>
      <c r="L18" s="17">
        <f t="shared" si="1"/>
        <v>4.3</v>
      </c>
      <c r="M18" s="17">
        <f t="shared" si="1"/>
        <v>5.5</v>
      </c>
      <c r="N18" s="17">
        <f t="shared" si="1"/>
        <v>4.4000000000000004</v>
      </c>
      <c r="O18" s="17">
        <f t="shared" si="1"/>
        <v>2.9000000000000004</v>
      </c>
      <c r="P18" s="17">
        <f t="shared" si="1"/>
        <v>2.9499999999999997</v>
      </c>
      <c r="Q18" s="17">
        <f t="shared" si="1"/>
        <v>6.2484000000000002</v>
      </c>
      <c r="R18" s="17">
        <f t="shared" si="1"/>
        <v>2.6609039999999999</v>
      </c>
      <c r="S18" s="17">
        <f t="shared" si="1"/>
        <v>2.8346400000000003</v>
      </c>
      <c r="T18" s="17">
        <f t="shared" si="1"/>
        <v>2.9870400000000004</v>
      </c>
      <c r="U18" s="17">
        <v>3</v>
      </c>
    </row>
    <row r="19" spans="1:22" customFormat="1" x14ac:dyDescent="0.25">
      <c r="A19" s="3" t="s">
        <v>213</v>
      </c>
      <c r="B19" s="62" t="s">
        <v>2</v>
      </c>
      <c r="C19" s="63">
        <v>121.8</v>
      </c>
      <c r="D19" s="42">
        <v>15.2</v>
      </c>
      <c r="E19" s="63">
        <v>110</v>
      </c>
      <c r="F19" s="63"/>
      <c r="G19" s="18">
        <v>49</v>
      </c>
      <c r="H19" s="63">
        <v>15</v>
      </c>
      <c r="I19" s="63">
        <v>40.700000000000003</v>
      </c>
      <c r="J19" s="63">
        <v>363.7</v>
      </c>
      <c r="K19" s="18">
        <v>16</v>
      </c>
      <c r="L19" s="63">
        <v>849.99999999999989</v>
      </c>
      <c r="M19" s="63">
        <v>232.5</v>
      </c>
      <c r="N19" s="63">
        <v>217.99999999999997</v>
      </c>
      <c r="O19" s="63">
        <v>129.5</v>
      </c>
      <c r="P19" s="63">
        <v>612</v>
      </c>
      <c r="Q19" s="18">
        <v>217</v>
      </c>
      <c r="R19" s="63">
        <v>69</v>
      </c>
      <c r="S19" s="63">
        <v>86.000000000000014</v>
      </c>
      <c r="T19" s="18">
        <v>160</v>
      </c>
      <c r="U19" s="63">
        <v>1180</v>
      </c>
    </row>
    <row r="20" spans="1:22" s="16" customFormat="1" x14ac:dyDescent="0.25">
      <c r="A20" s="3" t="s">
        <v>214</v>
      </c>
      <c r="B20" s="4" t="s">
        <v>2</v>
      </c>
      <c r="C20" s="18">
        <v>0</v>
      </c>
      <c r="D20" s="7">
        <v>29.4</v>
      </c>
      <c r="E20" s="18">
        <v>0</v>
      </c>
      <c r="F20" s="18"/>
      <c r="G20" s="18">
        <v>0</v>
      </c>
      <c r="H20" s="18">
        <v>243</v>
      </c>
      <c r="I20" s="18">
        <v>0</v>
      </c>
      <c r="J20" s="18">
        <v>160.00000000000006</v>
      </c>
      <c r="K20" s="18">
        <v>2790</v>
      </c>
      <c r="L20" s="18">
        <v>0</v>
      </c>
      <c r="M20" s="18">
        <v>0</v>
      </c>
      <c r="N20" s="18">
        <v>0</v>
      </c>
      <c r="O20" s="18">
        <v>332.5</v>
      </c>
      <c r="P20" s="18">
        <v>1685.71</v>
      </c>
      <c r="Q20" s="18">
        <v>0</v>
      </c>
      <c r="R20" s="18">
        <v>30</v>
      </c>
      <c r="S20" s="18">
        <v>0</v>
      </c>
      <c r="T20" s="18">
        <v>0</v>
      </c>
      <c r="U20" s="18">
        <v>400</v>
      </c>
      <c r="V20" s="40"/>
    </row>
    <row r="21" spans="1:22" s="16" customFormat="1" x14ac:dyDescent="0.25">
      <c r="A21" s="3" t="s">
        <v>275</v>
      </c>
      <c r="B21" s="4" t="s">
        <v>2</v>
      </c>
      <c r="C21" s="18">
        <v>5.9999879999999992</v>
      </c>
      <c r="D21" s="7">
        <v>169</v>
      </c>
      <c r="E21" s="18">
        <v>1259.9999999999998</v>
      </c>
      <c r="F21" s="18"/>
      <c r="G21" s="18">
        <v>840</v>
      </c>
      <c r="H21" s="18">
        <v>4642</v>
      </c>
      <c r="I21" s="18">
        <v>2.000000064</v>
      </c>
      <c r="J21" s="18">
        <v>25.999988640000002</v>
      </c>
      <c r="K21" s="18">
        <v>5074</v>
      </c>
      <c r="L21" s="18">
        <v>41.999915999999992</v>
      </c>
      <c r="M21" s="18">
        <v>17.5</v>
      </c>
      <c r="N21" s="18">
        <v>192.99999999999997</v>
      </c>
      <c r="O21" s="18">
        <v>178</v>
      </c>
      <c r="P21" s="18">
        <v>20952.29</v>
      </c>
      <c r="Q21" s="18">
        <v>2662.9999999999995</v>
      </c>
      <c r="R21" s="18">
        <v>44</v>
      </c>
      <c r="S21" s="18">
        <v>34</v>
      </c>
      <c r="T21" s="18">
        <v>360</v>
      </c>
      <c r="U21" s="18">
        <v>70</v>
      </c>
    </row>
    <row r="22" spans="1:22" s="16" customFormat="1" x14ac:dyDescent="0.25">
      <c r="A22" s="3" t="s">
        <v>327</v>
      </c>
      <c r="B22" s="4" t="s">
        <v>2</v>
      </c>
      <c r="C22" s="18">
        <f>C20+C19</f>
        <v>121.8</v>
      </c>
      <c r="D22" s="18">
        <f t="shared" ref="D22:U22" si="2">D20+D19</f>
        <v>44.599999999999994</v>
      </c>
      <c r="E22" s="18">
        <f t="shared" si="2"/>
        <v>110</v>
      </c>
      <c r="F22" s="18">
        <f t="shared" si="2"/>
        <v>0</v>
      </c>
      <c r="G22" s="18">
        <f t="shared" si="2"/>
        <v>49</v>
      </c>
      <c r="H22" s="18">
        <f t="shared" si="2"/>
        <v>258</v>
      </c>
      <c r="I22" s="18">
        <f t="shared" si="2"/>
        <v>40.700000000000003</v>
      </c>
      <c r="J22" s="18">
        <f t="shared" si="2"/>
        <v>523.70000000000005</v>
      </c>
      <c r="K22" s="18">
        <f t="shared" si="2"/>
        <v>2806</v>
      </c>
      <c r="L22" s="18">
        <f t="shared" si="2"/>
        <v>849.99999999999989</v>
      </c>
      <c r="M22" s="18">
        <f t="shared" si="2"/>
        <v>232.5</v>
      </c>
      <c r="N22" s="18">
        <f t="shared" si="2"/>
        <v>217.99999999999997</v>
      </c>
      <c r="O22" s="18">
        <f t="shared" si="2"/>
        <v>462</v>
      </c>
      <c r="P22" s="18">
        <f t="shared" si="2"/>
        <v>2297.71</v>
      </c>
      <c r="Q22" s="18">
        <f t="shared" si="2"/>
        <v>217</v>
      </c>
      <c r="R22" s="18">
        <f t="shared" si="2"/>
        <v>99</v>
      </c>
      <c r="S22" s="18">
        <f t="shared" si="2"/>
        <v>86.000000000000014</v>
      </c>
      <c r="T22" s="18">
        <f t="shared" si="2"/>
        <v>160</v>
      </c>
      <c r="U22" s="18">
        <f t="shared" si="2"/>
        <v>1580</v>
      </c>
    </row>
    <row r="23" spans="1:22" x14ac:dyDescent="0.25">
      <c r="A23" s="3" t="s">
        <v>306</v>
      </c>
      <c r="B23" s="4" t="s">
        <v>2</v>
      </c>
      <c r="C23" s="7">
        <v>80</v>
      </c>
      <c r="D23" s="7">
        <f>D42*D46</f>
        <v>36</v>
      </c>
      <c r="E23" s="7">
        <v>46</v>
      </c>
      <c r="F23" s="7">
        <v>128</v>
      </c>
      <c r="G23" s="7">
        <v>27</v>
      </c>
      <c r="H23" s="7">
        <v>200</v>
      </c>
      <c r="I23" s="7">
        <v>30</v>
      </c>
      <c r="J23" s="7">
        <v>369</v>
      </c>
      <c r="K23" s="7">
        <v>2604</v>
      </c>
      <c r="L23" s="7">
        <v>360</v>
      </c>
      <c r="M23" s="7">
        <v>147</v>
      </c>
      <c r="N23" s="7">
        <v>225</v>
      </c>
      <c r="O23" s="7">
        <v>414</v>
      </c>
      <c r="P23" s="7">
        <v>1846</v>
      </c>
      <c r="Q23" s="7">
        <v>107</v>
      </c>
      <c r="R23" s="7">
        <v>59</v>
      </c>
      <c r="S23" s="7">
        <v>38</v>
      </c>
      <c r="T23" s="7">
        <v>69</v>
      </c>
      <c r="U23" s="7">
        <v>1460</v>
      </c>
    </row>
    <row r="24" spans="1:22" x14ac:dyDescent="0.25">
      <c r="A24" s="3" t="s">
        <v>170</v>
      </c>
      <c r="B24" s="4" t="s">
        <v>16</v>
      </c>
      <c r="C24" s="7">
        <v>0.33</v>
      </c>
      <c r="D24" s="7" t="s">
        <v>36</v>
      </c>
      <c r="E24" s="14">
        <v>12</v>
      </c>
      <c r="F24" s="7">
        <v>2</v>
      </c>
      <c r="G24" s="7" t="s">
        <v>36</v>
      </c>
      <c r="H24" s="19">
        <v>2</v>
      </c>
      <c r="I24" s="19">
        <v>12</v>
      </c>
      <c r="J24" s="19">
        <v>2</v>
      </c>
      <c r="K24" s="19">
        <v>2</v>
      </c>
      <c r="L24" s="19">
        <v>10</v>
      </c>
      <c r="M24" s="19">
        <v>10</v>
      </c>
      <c r="N24" s="19">
        <v>1.1000000000000001</v>
      </c>
      <c r="O24" s="19">
        <v>2</v>
      </c>
      <c r="P24" s="19">
        <v>2</v>
      </c>
      <c r="Q24" s="19">
        <v>0.5</v>
      </c>
      <c r="R24" s="19">
        <v>0.5</v>
      </c>
      <c r="S24" s="19">
        <v>0.5</v>
      </c>
      <c r="T24" s="19">
        <v>0.5</v>
      </c>
      <c r="U24" s="19">
        <v>4</v>
      </c>
    </row>
    <row r="25" spans="1:22" x14ac:dyDescent="0.25">
      <c r="A25" s="3" t="s">
        <v>3</v>
      </c>
      <c r="B25" s="4" t="s">
        <v>4</v>
      </c>
      <c r="C25" s="7">
        <v>10000</v>
      </c>
      <c r="D25" s="7">
        <v>500</v>
      </c>
      <c r="E25" s="7">
        <v>500</v>
      </c>
      <c r="F25" s="7" t="s">
        <v>36</v>
      </c>
      <c r="G25" s="7">
        <v>500</v>
      </c>
      <c r="H25" s="7" t="s">
        <v>43</v>
      </c>
      <c r="I25" s="7">
        <v>10000</v>
      </c>
      <c r="J25" s="7">
        <v>1000</v>
      </c>
      <c r="K25" s="7">
        <v>4000</v>
      </c>
      <c r="L25" s="7" t="s">
        <v>36</v>
      </c>
      <c r="M25" s="7">
        <v>10000</v>
      </c>
      <c r="N25" s="7">
        <v>40000</v>
      </c>
      <c r="O25" s="7">
        <v>1000</v>
      </c>
      <c r="P25" s="7">
        <v>1000</v>
      </c>
      <c r="Q25" s="7">
        <v>100</v>
      </c>
      <c r="R25" s="7">
        <v>100</v>
      </c>
      <c r="S25" s="7">
        <v>100</v>
      </c>
      <c r="T25" s="7">
        <v>100</v>
      </c>
      <c r="U25" s="7" t="s">
        <v>36</v>
      </c>
    </row>
    <row r="26" spans="1:22" x14ac:dyDescent="0.25">
      <c r="A26" s="10" t="s">
        <v>90</v>
      </c>
      <c r="B26" s="4" t="s">
        <v>4</v>
      </c>
      <c r="C26" s="7" t="s">
        <v>36</v>
      </c>
      <c r="D26" s="7" t="s">
        <v>36</v>
      </c>
      <c r="E26" s="7" t="s">
        <v>36</v>
      </c>
      <c r="F26" s="7" t="s">
        <v>36</v>
      </c>
      <c r="G26" s="7" t="s">
        <v>36</v>
      </c>
      <c r="H26" s="7" t="s">
        <v>36</v>
      </c>
      <c r="I26" s="7" t="s">
        <v>36</v>
      </c>
      <c r="J26" s="7" t="s">
        <v>36</v>
      </c>
      <c r="K26" s="7" t="s">
        <v>36</v>
      </c>
      <c r="L26" s="15">
        <v>10000000</v>
      </c>
      <c r="M26" s="7" t="s">
        <v>36</v>
      </c>
      <c r="N26" s="7" t="s">
        <v>36</v>
      </c>
      <c r="O26" s="7" t="s">
        <v>36</v>
      </c>
      <c r="P26" s="7" t="s">
        <v>36</v>
      </c>
      <c r="Q26" s="7" t="s">
        <v>36</v>
      </c>
      <c r="R26" s="7" t="s">
        <v>36</v>
      </c>
      <c r="S26" s="7" t="s">
        <v>36</v>
      </c>
      <c r="T26" s="7" t="s">
        <v>36</v>
      </c>
      <c r="U26" s="7" t="s">
        <v>36</v>
      </c>
    </row>
    <row r="27" spans="1:22" x14ac:dyDescent="0.25">
      <c r="A27" s="10" t="s">
        <v>91</v>
      </c>
      <c r="B27" s="4" t="s">
        <v>4</v>
      </c>
      <c r="C27" s="7" t="s">
        <v>36</v>
      </c>
      <c r="D27" s="7" t="s">
        <v>36</v>
      </c>
      <c r="E27" s="7" t="s">
        <v>36</v>
      </c>
      <c r="F27" s="7" t="s">
        <v>36</v>
      </c>
      <c r="G27" s="7" t="s">
        <v>36</v>
      </c>
      <c r="H27" s="7" t="s">
        <v>36</v>
      </c>
      <c r="I27" s="7" t="s">
        <v>36</v>
      </c>
      <c r="J27" s="7" t="s">
        <v>36</v>
      </c>
      <c r="K27" s="7" t="s">
        <v>36</v>
      </c>
      <c r="L27" s="15">
        <v>1000</v>
      </c>
      <c r="M27" s="7" t="s">
        <v>36</v>
      </c>
      <c r="N27" s="7" t="s">
        <v>36</v>
      </c>
      <c r="O27" s="7" t="s">
        <v>36</v>
      </c>
      <c r="P27" s="7" t="s">
        <v>36</v>
      </c>
      <c r="Q27" s="7" t="s">
        <v>36</v>
      </c>
      <c r="R27" s="7" t="s">
        <v>36</v>
      </c>
      <c r="S27" s="7" t="s">
        <v>36</v>
      </c>
      <c r="T27" s="7" t="s">
        <v>36</v>
      </c>
      <c r="U27" s="7" t="s">
        <v>36</v>
      </c>
    </row>
    <row r="28" spans="1:22" x14ac:dyDescent="0.25">
      <c r="A28" s="3" t="s">
        <v>92</v>
      </c>
      <c r="B28" s="4" t="s">
        <v>4</v>
      </c>
      <c r="C28" s="7" t="s">
        <v>36</v>
      </c>
      <c r="D28" s="7" t="s">
        <v>36</v>
      </c>
      <c r="E28" s="7" t="s">
        <v>36</v>
      </c>
      <c r="F28" s="7" t="s">
        <v>36</v>
      </c>
      <c r="G28" s="7" t="s">
        <v>36</v>
      </c>
      <c r="H28" s="7" t="s">
        <v>36</v>
      </c>
      <c r="I28" s="7" t="s">
        <v>36</v>
      </c>
      <c r="J28" s="7" t="s">
        <v>36</v>
      </c>
      <c r="K28" s="7" t="s">
        <v>36</v>
      </c>
      <c r="L28" s="15">
        <v>10000</v>
      </c>
      <c r="M28" s="7" t="s">
        <v>36</v>
      </c>
      <c r="N28" s="7" t="s">
        <v>36</v>
      </c>
      <c r="O28" s="7" t="s">
        <v>36</v>
      </c>
      <c r="P28" s="7" t="s">
        <v>36</v>
      </c>
      <c r="Q28" s="7" t="s">
        <v>36</v>
      </c>
      <c r="R28" s="7" t="s">
        <v>36</v>
      </c>
      <c r="S28" s="7" t="s">
        <v>36</v>
      </c>
      <c r="T28" s="7" t="s">
        <v>36</v>
      </c>
      <c r="U28" s="7" t="s">
        <v>36</v>
      </c>
    </row>
    <row r="29" spans="1:22" x14ac:dyDescent="0.25">
      <c r="A29" s="3" t="s">
        <v>5</v>
      </c>
      <c r="B29" s="4" t="s">
        <v>169</v>
      </c>
      <c r="C29" s="14">
        <v>4.5</v>
      </c>
      <c r="D29" s="14">
        <v>6.1</v>
      </c>
      <c r="E29" s="14">
        <v>4.9000000000000004</v>
      </c>
      <c r="F29" s="14">
        <v>5.7</v>
      </c>
      <c r="G29" s="14">
        <v>4.5</v>
      </c>
      <c r="H29" s="14">
        <v>5.5</v>
      </c>
      <c r="I29" s="14">
        <v>5.9</v>
      </c>
      <c r="J29" s="14">
        <v>6.9</v>
      </c>
      <c r="K29" s="14">
        <v>5.5</v>
      </c>
      <c r="L29" s="14">
        <v>5.5</v>
      </c>
      <c r="M29" s="14">
        <v>6.7</v>
      </c>
      <c r="N29" s="14">
        <v>3.55</v>
      </c>
      <c r="O29" s="14">
        <v>6.4</v>
      </c>
      <c r="P29" s="14">
        <v>4.55</v>
      </c>
      <c r="Q29" s="50">
        <f>20.3*0.3048</f>
        <v>6.1874400000000005</v>
      </c>
      <c r="R29" s="50">
        <f>9.73*0.3048</f>
        <v>2.9657040000000001</v>
      </c>
      <c r="S29" s="50">
        <f>9.3*0.3048</f>
        <v>2.8346400000000003</v>
      </c>
      <c r="T29" s="38">
        <f>9.8*0.3048</f>
        <v>2.9870400000000004</v>
      </c>
      <c r="U29" s="14">
        <v>3</v>
      </c>
    </row>
    <row r="30" spans="1:22" x14ac:dyDescent="0.25">
      <c r="A30" s="3" t="s">
        <v>6</v>
      </c>
      <c r="B30" s="4" t="s">
        <v>169</v>
      </c>
      <c r="C30" s="14">
        <v>0</v>
      </c>
      <c r="D30" s="14">
        <v>0</v>
      </c>
      <c r="E30" s="14">
        <v>0</v>
      </c>
      <c r="F30" s="14">
        <v>3.5</v>
      </c>
      <c r="G30" s="14">
        <v>0</v>
      </c>
      <c r="H30" s="14">
        <v>-1.6</v>
      </c>
      <c r="I30" s="14">
        <v>0</v>
      </c>
      <c r="J30" s="14">
        <v>-1.5</v>
      </c>
      <c r="K30" s="14">
        <v>0.7</v>
      </c>
      <c r="L30" s="14">
        <v>1.2</v>
      </c>
      <c r="M30" s="14">
        <v>1.2</v>
      </c>
      <c r="N30" s="14">
        <f>N29-4.4</f>
        <v>-0.85000000000000053</v>
      </c>
      <c r="O30" s="14">
        <v>3.5</v>
      </c>
      <c r="P30" s="14">
        <v>1.6</v>
      </c>
      <c r="Q30" s="50">
        <f>-0.2*0.3048</f>
        <v>-6.0960000000000007E-2</v>
      </c>
      <c r="R30" s="50">
        <f>1*0.3048</f>
        <v>0.30480000000000002</v>
      </c>
      <c r="S30" s="50">
        <v>0</v>
      </c>
      <c r="T30" s="14">
        <v>0</v>
      </c>
      <c r="U30" s="14">
        <v>1.1000000000000001</v>
      </c>
    </row>
    <row r="31" spans="1:22" x14ac:dyDescent="0.25">
      <c r="A31" s="3" t="s">
        <v>130</v>
      </c>
      <c r="B31" s="4" t="s">
        <v>2</v>
      </c>
      <c r="C31" s="14">
        <f>C43+12</f>
        <v>5.5</v>
      </c>
      <c r="D31" s="14">
        <v>7.4</v>
      </c>
      <c r="E31" s="14">
        <f>20*0.3048</f>
        <v>6.0960000000000001</v>
      </c>
      <c r="F31" s="14">
        <v>8.1999999999999993</v>
      </c>
      <c r="G31" s="14">
        <f>17*0.3048</f>
        <v>5.1816000000000004</v>
      </c>
      <c r="H31" s="14">
        <v>6.5</v>
      </c>
      <c r="I31" s="14">
        <f>I43+10.7</f>
        <v>6.3999999999999995</v>
      </c>
      <c r="J31" s="14">
        <f>J43+20</f>
        <v>10.75</v>
      </c>
      <c r="K31" s="14">
        <v>5.8</v>
      </c>
      <c r="L31" s="14">
        <f>L43+20.62+1</f>
        <v>4.620000000000001</v>
      </c>
      <c r="M31" s="14">
        <f>M43+9.3</f>
        <v>2.8000000000000007</v>
      </c>
      <c r="N31" s="14">
        <f>N29</f>
        <v>3.55</v>
      </c>
      <c r="O31" s="14">
        <v>8</v>
      </c>
      <c r="P31" s="14">
        <f>P47+22</f>
        <v>6</v>
      </c>
      <c r="Q31" s="14">
        <f>26*0.3048</f>
        <v>7.9248000000000003</v>
      </c>
      <c r="R31" s="14">
        <f>16*0.3048</f>
        <v>4.8768000000000002</v>
      </c>
      <c r="S31" s="14">
        <f>16*0.3048</f>
        <v>4.8768000000000002</v>
      </c>
      <c r="T31" s="14">
        <f>16*0.3048</f>
        <v>4.8768000000000002</v>
      </c>
      <c r="U31" s="14">
        <v>6.15</v>
      </c>
    </row>
    <row r="32" spans="1:22" x14ac:dyDescent="0.25">
      <c r="A32" s="3" t="s">
        <v>7</v>
      </c>
      <c r="B32" s="4" t="s">
        <v>2</v>
      </c>
      <c r="C32" s="7">
        <v>1.5</v>
      </c>
      <c r="D32" s="7">
        <v>1.4</v>
      </c>
      <c r="E32" s="8">
        <v>1.5</v>
      </c>
      <c r="F32" s="7">
        <v>2.2999999999999998</v>
      </c>
      <c r="G32" s="7">
        <v>2.2000000000000002</v>
      </c>
      <c r="H32" s="14">
        <v>3.1</v>
      </c>
      <c r="I32" s="14">
        <v>4</v>
      </c>
      <c r="J32" s="14">
        <v>5</v>
      </c>
      <c r="K32" s="14">
        <v>2.7</v>
      </c>
      <c r="L32" s="14">
        <v>1.8</v>
      </c>
      <c r="M32" s="14">
        <v>1.6</v>
      </c>
      <c r="N32" s="14" t="s">
        <v>36</v>
      </c>
      <c r="O32" s="14" t="s">
        <v>36</v>
      </c>
      <c r="P32" s="14">
        <v>0.1</v>
      </c>
      <c r="Q32" s="14">
        <v>0.2</v>
      </c>
      <c r="R32" s="14">
        <v>0.2</v>
      </c>
      <c r="S32" s="14">
        <v>0.2</v>
      </c>
      <c r="T32" s="14">
        <v>0.2</v>
      </c>
      <c r="U32" s="14">
        <v>0.75</v>
      </c>
    </row>
    <row r="33" spans="1:21" x14ac:dyDescent="0.25">
      <c r="A33" s="3" t="s">
        <v>17</v>
      </c>
      <c r="B33" s="4" t="s">
        <v>172</v>
      </c>
      <c r="C33" s="7" t="s">
        <v>36</v>
      </c>
      <c r="D33" s="7" t="s">
        <v>36</v>
      </c>
      <c r="E33" s="8">
        <v>1.1000000000000001</v>
      </c>
      <c r="F33" s="7">
        <v>1.7</v>
      </c>
      <c r="G33" s="7">
        <v>1.1000000000000001</v>
      </c>
      <c r="H33" s="14" t="s">
        <v>36</v>
      </c>
      <c r="I33" s="14">
        <v>0.7</v>
      </c>
      <c r="J33" s="14">
        <v>11</v>
      </c>
      <c r="K33" s="14">
        <v>340</v>
      </c>
      <c r="L33" s="14" t="s">
        <v>36</v>
      </c>
      <c r="M33" s="14" t="s">
        <v>36</v>
      </c>
      <c r="N33" s="14" t="s">
        <v>36</v>
      </c>
      <c r="O33" s="14" t="s">
        <v>36</v>
      </c>
      <c r="P33" s="14">
        <v>329</v>
      </c>
      <c r="Q33" s="14">
        <v>2</v>
      </c>
      <c r="R33" s="14">
        <v>2</v>
      </c>
      <c r="S33" s="14">
        <v>2</v>
      </c>
      <c r="T33" s="14">
        <v>2</v>
      </c>
      <c r="U33" s="14">
        <v>500</v>
      </c>
    </row>
    <row r="34" spans="1:21" x14ac:dyDescent="0.25">
      <c r="A34" s="3" t="s">
        <v>8</v>
      </c>
      <c r="B34" s="4" t="s">
        <v>34</v>
      </c>
      <c r="C34" s="11">
        <v>5000000</v>
      </c>
      <c r="D34" s="11" t="s">
        <v>36</v>
      </c>
      <c r="E34" s="11">
        <f>2*10^6</f>
        <v>2000000</v>
      </c>
      <c r="F34" s="11">
        <v>4000000</v>
      </c>
      <c r="G34" s="11">
        <v>200000</v>
      </c>
      <c r="H34" s="11">
        <v>50000000</v>
      </c>
      <c r="I34" s="11">
        <v>3000000</v>
      </c>
      <c r="J34" s="11">
        <v>55000000</v>
      </c>
      <c r="K34" s="11">
        <v>925000000</v>
      </c>
      <c r="L34" s="11">
        <v>90000000</v>
      </c>
      <c r="M34" s="11">
        <v>15000000</v>
      </c>
      <c r="N34" s="7" t="s">
        <v>36</v>
      </c>
      <c r="O34" s="11">
        <v>52000000</v>
      </c>
      <c r="P34" s="11">
        <v>33000000</v>
      </c>
      <c r="Q34" s="11">
        <v>400000</v>
      </c>
      <c r="R34" s="11">
        <v>400000</v>
      </c>
      <c r="S34" s="11">
        <v>400000</v>
      </c>
      <c r="T34" s="11">
        <v>400000</v>
      </c>
      <c r="U34" s="11">
        <v>375000000</v>
      </c>
    </row>
    <row r="35" spans="1:21" x14ac:dyDescent="0.25">
      <c r="A35" s="3" t="s">
        <v>132</v>
      </c>
      <c r="B35" s="4" t="s">
        <v>133</v>
      </c>
      <c r="C35" s="11">
        <v>350</v>
      </c>
      <c r="D35" s="11">
        <v>680</v>
      </c>
      <c r="E35" s="11">
        <v>120</v>
      </c>
      <c r="F35" s="11" t="s">
        <v>36</v>
      </c>
      <c r="G35" s="11">
        <v>15</v>
      </c>
      <c r="H35" s="11">
        <v>3500</v>
      </c>
      <c r="I35" s="11">
        <v>200</v>
      </c>
      <c r="J35" s="11">
        <v>3900</v>
      </c>
      <c r="K35" s="11">
        <v>65000</v>
      </c>
      <c r="L35" s="11">
        <v>6300</v>
      </c>
      <c r="M35" s="11">
        <v>1100</v>
      </c>
      <c r="N35" s="7">
        <v>85</v>
      </c>
      <c r="O35" s="11">
        <v>3700</v>
      </c>
      <c r="P35" s="11">
        <v>2300</v>
      </c>
      <c r="Q35" s="11">
        <v>30</v>
      </c>
      <c r="R35" s="11">
        <v>30</v>
      </c>
      <c r="S35" s="11" t="s">
        <v>36</v>
      </c>
      <c r="T35" s="11"/>
      <c r="U35" s="11">
        <v>26000</v>
      </c>
    </row>
    <row r="36" spans="1:21" x14ac:dyDescent="0.25">
      <c r="A36" s="3" t="s">
        <v>66</v>
      </c>
      <c r="B36" s="4" t="s">
        <v>2</v>
      </c>
      <c r="C36" s="7" t="s">
        <v>36</v>
      </c>
      <c r="D36" s="7">
        <v>1.4</v>
      </c>
      <c r="E36" s="7" t="s">
        <v>36</v>
      </c>
      <c r="F36" s="7" t="s">
        <v>36</v>
      </c>
      <c r="G36" s="7" t="s">
        <v>36</v>
      </c>
      <c r="H36" s="7" t="s">
        <v>36</v>
      </c>
      <c r="I36" s="7" t="s">
        <v>36</v>
      </c>
      <c r="J36" s="7" t="s">
        <v>36</v>
      </c>
      <c r="K36" s="7">
        <v>6</v>
      </c>
      <c r="L36" s="7" t="s">
        <v>36</v>
      </c>
      <c r="M36" s="7" t="s">
        <v>36</v>
      </c>
      <c r="N36" s="7" t="s">
        <v>36</v>
      </c>
      <c r="O36" s="7" t="s">
        <v>36</v>
      </c>
      <c r="P36" s="7" t="s">
        <v>36</v>
      </c>
      <c r="Q36" s="7" t="s">
        <v>36</v>
      </c>
      <c r="R36" s="7" t="s">
        <v>36</v>
      </c>
      <c r="S36" s="7" t="s">
        <v>36</v>
      </c>
      <c r="T36" s="38">
        <f>2.3/3.2808</f>
        <v>0.70104852475006085</v>
      </c>
      <c r="U36" s="7" t="s">
        <v>36</v>
      </c>
    </row>
    <row r="37" spans="1:21" x14ac:dyDescent="0.25">
      <c r="A37" s="3" t="s">
        <v>9</v>
      </c>
      <c r="B37" s="4" t="s">
        <v>10</v>
      </c>
      <c r="C37" s="7">
        <v>520</v>
      </c>
      <c r="D37" s="7">
        <v>174</v>
      </c>
      <c r="E37" s="8">
        <v>550</v>
      </c>
      <c r="F37" s="7">
        <v>614</v>
      </c>
      <c r="G37" s="7">
        <v>150</v>
      </c>
      <c r="H37" s="7">
        <v>930</v>
      </c>
      <c r="I37" s="7">
        <v>130</v>
      </c>
      <c r="J37" s="7">
        <v>2488</v>
      </c>
      <c r="K37" s="7">
        <v>18000</v>
      </c>
      <c r="L37" s="7">
        <v>6800</v>
      </c>
      <c r="M37" s="7">
        <v>950</v>
      </c>
      <c r="N37" s="7">
        <v>1050</v>
      </c>
      <c r="O37" s="7">
        <v>2435</v>
      </c>
      <c r="P37" s="7">
        <v>9610</v>
      </c>
      <c r="Q37" s="7">
        <v>520</v>
      </c>
      <c r="R37" s="7">
        <v>320</v>
      </c>
      <c r="S37" s="7">
        <v>330</v>
      </c>
      <c r="T37" s="7">
        <v>330</v>
      </c>
      <c r="U37" s="7">
        <v>16760</v>
      </c>
    </row>
    <row r="38" spans="1:21" x14ac:dyDescent="0.25">
      <c r="A38" s="3" t="s">
        <v>67</v>
      </c>
      <c r="B38" s="4" t="s">
        <v>10</v>
      </c>
      <c r="C38" s="7" t="s">
        <v>36</v>
      </c>
      <c r="D38" s="7" t="s">
        <v>36</v>
      </c>
      <c r="E38" s="7" t="s">
        <v>36</v>
      </c>
      <c r="F38" s="7" t="s">
        <v>36</v>
      </c>
      <c r="G38" s="7" t="s">
        <v>36</v>
      </c>
      <c r="H38" s="7" t="s">
        <v>36</v>
      </c>
      <c r="I38" s="7" t="s">
        <v>36</v>
      </c>
      <c r="J38" s="7" t="s">
        <v>36</v>
      </c>
      <c r="K38" s="7">
        <v>80000</v>
      </c>
      <c r="L38" s="7" t="s">
        <v>36</v>
      </c>
      <c r="M38" s="7" t="s">
        <v>36</v>
      </c>
      <c r="N38" s="7" t="s">
        <v>36</v>
      </c>
      <c r="O38" s="7" t="s">
        <v>36</v>
      </c>
      <c r="P38" s="7" t="s">
        <v>36</v>
      </c>
      <c r="Q38" s="7" t="s">
        <v>36</v>
      </c>
      <c r="R38" s="7" t="s">
        <v>36</v>
      </c>
      <c r="S38" s="7" t="s">
        <v>36</v>
      </c>
      <c r="T38" s="7" t="s">
        <v>36</v>
      </c>
      <c r="U38" s="7" t="s">
        <v>36</v>
      </c>
    </row>
    <row r="39" spans="1:21" x14ac:dyDescent="0.25">
      <c r="A39" s="3" t="s">
        <v>68</v>
      </c>
      <c r="B39" s="4" t="s">
        <v>10</v>
      </c>
      <c r="C39" s="7" t="s">
        <v>36</v>
      </c>
      <c r="D39" s="7" t="s">
        <v>36</v>
      </c>
      <c r="E39" s="7" t="s">
        <v>36</v>
      </c>
      <c r="F39" s="7" t="s">
        <v>36</v>
      </c>
      <c r="G39" s="7" t="s">
        <v>36</v>
      </c>
      <c r="H39" s="7" t="s">
        <v>36</v>
      </c>
      <c r="I39" s="7" t="s">
        <v>36</v>
      </c>
      <c r="J39" s="7" t="s">
        <v>36</v>
      </c>
      <c r="K39" s="7">
        <v>18000</v>
      </c>
      <c r="L39" s="7" t="s">
        <v>36</v>
      </c>
      <c r="M39" s="7" t="s">
        <v>36</v>
      </c>
      <c r="N39" s="7" t="s">
        <v>36</v>
      </c>
      <c r="O39" s="7" t="s">
        <v>36</v>
      </c>
      <c r="P39" s="7" t="s">
        <v>36</v>
      </c>
      <c r="Q39" s="7" t="s">
        <v>36</v>
      </c>
      <c r="R39" s="7" t="s">
        <v>36</v>
      </c>
      <c r="S39" s="7" t="s">
        <v>36</v>
      </c>
      <c r="T39" s="7" t="s">
        <v>36</v>
      </c>
      <c r="U39" s="7" t="s">
        <v>36</v>
      </c>
    </row>
    <row r="40" spans="1:21" ht="48" x14ac:dyDescent="0.25">
      <c r="A40" s="3" t="s">
        <v>11</v>
      </c>
      <c r="B40" s="5" t="s">
        <v>36</v>
      </c>
      <c r="C40" s="12" t="s">
        <v>18</v>
      </c>
      <c r="D40" s="12" t="s">
        <v>43</v>
      </c>
      <c r="E40" s="13" t="s">
        <v>29</v>
      </c>
      <c r="F40" s="12" t="s">
        <v>37</v>
      </c>
      <c r="G40" s="12" t="s">
        <v>43</v>
      </c>
      <c r="H40" s="12" t="s">
        <v>47</v>
      </c>
      <c r="I40" s="12" t="s">
        <v>51</v>
      </c>
      <c r="J40" s="12" t="s">
        <v>56</v>
      </c>
      <c r="K40" s="12" t="s">
        <v>69</v>
      </c>
      <c r="L40" s="12" t="s">
        <v>36</v>
      </c>
      <c r="M40" s="12" t="s">
        <v>18</v>
      </c>
      <c r="N40" s="12" t="s">
        <v>47</v>
      </c>
      <c r="O40" s="12" t="s">
        <v>47</v>
      </c>
      <c r="P40" s="12" t="s">
        <v>108</v>
      </c>
      <c r="Q40" s="12" t="s">
        <v>47</v>
      </c>
      <c r="R40" s="12" t="s">
        <v>116</v>
      </c>
      <c r="S40" s="12" t="s">
        <v>47</v>
      </c>
      <c r="T40" s="12" t="s">
        <v>47</v>
      </c>
      <c r="U40" s="12" t="s">
        <v>47</v>
      </c>
    </row>
    <row r="41" spans="1:21" ht="60" x14ac:dyDescent="0.25">
      <c r="A41" s="3" t="s">
        <v>19</v>
      </c>
      <c r="B41" s="5" t="s">
        <v>36</v>
      </c>
      <c r="C41" s="12" t="s">
        <v>20</v>
      </c>
      <c r="D41" s="7" t="s">
        <v>199</v>
      </c>
      <c r="E41" s="13" t="s">
        <v>31</v>
      </c>
      <c r="F41" s="12" t="s">
        <v>38</v>
      </c>
      <c r="G41" s="12" t="s">
        <v>44</v>
      </c>
      <c r="H41" s="12" t="s">
        <v>48</v>
      </c>
      <c r="I41" s="12" t="s">
        <v>52</v>
      </c>
      <c r="J41" s="12" t="s">
        <v>57</v>
      </c>
      <c r="K41" s="12" t="s">
        <v>70</v>
      </c>
      <c r="L41" s="12" t="s">
        <v>93</v>
      </c>
      <c r="M41" s="12" t="s">
        <v>20</v>
      </c>
      <c r="N41" s="12" t="s">
        <v>103</v>
      </c>
      <c r="O41" s="12" t="s">
        <v>106</v>
      </c>
      <c r="P41" s="12" t="s">
        <v>109</v>
      </c>
      <c r="Q41" s="12" t="s">
        <v>127</v>
      </c>
      <c r="R41" s="12" t="s">
        <v>31</v>
      </c>
      <c r="S41" s="12" t="s">
        <v>36</v>
      </c>
      <c r="T41" s="12" t="s">
        <v>36</v>
      </c>
      <c r="U41" s="12" t="s">
        <v>120</v>
      </c>
    </row>
    <row r="42" spans="1:21" x14ac:dyDescent="0.25">
      <c r="A42" s="3" t="s">
        <v>71</v>
      </c>
      <c r="B42" s="4" t="s">
        <v>36</v>
      </c>
      <c r="C42" s="7">
        <v>2</v>
      </c>
      <c r="D42" s="7">
        <v>3</v>
      </c>
      <c r="E42" s="8">
        <v>1</v>
      </c>
      <c r="F42" s="7">
        <v>8</v>
      </c>
      <c r="G42" s="7">
        <v>1</v>
      </c>
      <c r="H42" s="7">
        <v>5</v>
      </c>
      <c r="I42" s="7">
        <v>1</v>
      </c>
      <c r="J42" s="7">
        <v>10</v>
      </c>
      <c r="K42" s="7">
        <v>64</v>
      </c>
      <c r="L42" s="7">
        <v>1</v>
      </c>
      <c r="M42" s="7">
        <v>2</v>
      </c>
      <c r="N42" s="7">
        <v>3</v>
      </c>
      <c r="O42" s="7">
        <v>7</v>
      </c>
      <c r="P42" s="7">
        <v>66</v>
      </c>
      <c r="Q42" s="7">
        <v>3</v>
      </c>
      <c r="R42" s="7">
        <v>3</v>
      </c>
      <c r="S42" s="7">
        <v>1</v>
      </c>
      <c r="T42" s="7">
        <v>1</v>
      </c>
      <c r="U42" s="7">
        <v>79</v>
      </c>
    </row>
    <row r="43" spans="1:21" x14ac:dyDescent="0.25">
      <c r="A43" s="3" t="s">
        <v>128</v>
      </c>
      <c r="B43" s="4" t="s">
        <v>2</v>
      </c>
      <c r="C43" s="7">
        <f t="shared" ref="C43:U43" si="3">MIN(C47,C53,C59,C65,C71,C77,C83)</f>
        <v>-6.5</v>
      </c>
      <c r="D43" s="7">
        <v>-4.8</v>
      </c>
      <c r="E43" s="7">
        <f t="shared" si="3"/>
        <v>-11.9</v>
      </c>
      <c r="F43" s="7">
        <f t="shared" si="3"/>
        <v>-5.3</v>
      </c>
      <c r="G43" s="7">
        <f t="shared" si="3"/>
        <v>-5.5</v>
      </c>
      <c r="H43" s="7">
        <f t="shared" si="3"/>
        <v>-4.6500000000000004</v>
      </c>
      <c r="I43" s="7">
        <f t="shared" si="3"/>
        <v>-4.3</v>
      </c>
      <c r="J43" s="7">
        <f t="shared" si="3"/>
        <v>-9.25</v>
      </c>
      <c r="K43" s="7">
        <f t="shared" si="3"/>
        <v>-10.9</v>
      </c>
      <c r="L43" s="7">
        <f t="shared" si="3"/>
        <v>-17</v>
      </c>
      <c r="M43" s="7">
        <f t="shared" si="3"/>
        <v>-6.5</v>
      </c>
      <c r="N43" s="7">
        <f t="shared" si="3"/>
        <v>-4.6500000000000004</v>
      </c>
      <c r="O43" s="7">
        <f t="shared" si="3"/>
        <v>-8</v>
      </c>
      <c r="P43" s="7">
        <f t="shared" si="3"/>
        <v>-16</v>
      </c>
      <c r="Q43" s="7">
        <f t="shared" si="3"/>
        <v>-4.9000000000000004</v>
      </c>
      <c r="R43" s="7">
        <f t="shared" si="3"/>
        <v>-5.5</v>
      </c>
      <c r="S43" s="7">
        <f t="shared" si="3"/>
        <v>-4.9000000000000004</v>
      </c>
      <c r="T43" s="7">
        <f t="shared" si="3"/>
        <v>-4.9000000000000004</v>
      </c>
      <c r="U43" s="7">
        <f t="shared" si="3"/>
        <v>-15</v>
      </c>
    </row>
    <row r="44" spans="1:21" ht="24" x14ac:dyDescent="0.25">
      <c r="A44" s="3" t="s">
        <v>12</v>
      </c>
      <c r="B44" s="5" t="s">
        <v>36</v>
      </c>
      <c r="C44" s="12" t="s">
        <v>53</v>
      </c>
      <c r="D44" s="7" t="s">
        <v>129</v>
      </c>
      <c r="E44" s="13" t="s">
        <v>30</v>
      </c>
      <c r="F44" s="12" t="s">
        <v>39</v>
      </c>
      <c r="G44" s="12" t="s">
        <v>126</v>
      </c>
      <c r="H44" s="12" t="s">
        <v>129</v>
      </c>
      <c r="I44" s="12" t="s">
        <v>53</v>
      </c>
      <c r="J44" s="12" t="s">
        <v>58</v>
      </c>
      <c r="K44" s="12" t="s">
        <v>53</v>
      </c>
      <c r="L44" s="12" t="s">
        <v>94</v>
      </c>
      <c r="M44" s="12" t="s">
        <v>53</v>
      </c>
      <c r="N44" s="12" t="s">
        <v>104</v>
      </c>
      <c r="O44" s="12" t="s">
        <v>58</v>
      </c>
      <c r="P44" s="12" t="s">
        <v>94</v>
      </c>
      <c r="Q44" s="12" t="s">
        <v>30</v>
      </c>
      <c r="R44" s="12" t="s">
        <v>30</v>
      </c>
      <c r="S44" s="12" t="s">
        <v>30</v>
      </c>
      <c r="T44" s="12" t="s">
        <v>30</v>
      </c>
      <c r="U44" s="12" t="s">
        <v>126</v>
      </c>
    </row>
    <row r="45" spans="1:21" x14ac:dyDescent="0.25">
      <c r="A45" s="3" t="s">
        <v>59</v>
      </c>
      <c r="B45" s="4" t="s">
        <v>36</v>
      </c>
      <c r="C45" s="7">
        <v>1</v>
      </c>
      <c r="D45" s="7">
        <v>3</v>
      </c>
      <c r="E45" s="8">
        <v>1</v>
      </c>
      <c r="F45" s="7">
        <v>2</v>
      </c>
      <c r="G45" s="7">
        <v>1</v>
      </c>
      <c r="H45" s="7">
        <v>5</v>
      </c>
      <c r="I45" s="7">
        <v>1</v>
      </c>
      <c r="J45" s="7">
        <v>4</v>
      </c>
      <c r="K45" s="7">
        <v>7</v>
      </c>
      <c r="L45" s="7">
        <v>1</v>
      </c>
      <c r="M45" s="7">
        <v>1</v>
      </c>
      <c r="N45" s="7">
        <v>1</v>
      </c>
      <c r="O45" s="7">
        <v>1</v>
      </c>
      <c r="P45" s="7">
        <v>1</v>
      </c>
      <c r="Q45" s="7">
        <v>1</v>
      </c>
      <c r="R45" s="7">
        <v>1</v>
      </c>
      <c r="S45" s="7">
        <v>1</v>
      </c>
      <c r="T45" s="7">
        <v>1</v>
      </c>
      <c r="U45" s="7">
        <v>18</v>
      </c>
    </row>
    <row r="46" spans="1:21" x14ac:dyDescent="0.25">
      <c r="A46" s="3" t="s">
        <v>13</v>
      </c>
      <c r="B46" s="4" t="s">
        <v>2</v>
      </c>
      <c r="C46" s="7">
        <v>80</v>
      </c>
      <c r="D46" s="7">
        <v>12</v>
      </c>
      <c r="E46" s="8">
        <v>46</v>
      </c>
      <c r="F46" s="7">
        <v>34</v>
      </c>
      <c r="G46" s="7">
        <v>27</v>
      </c>
      <c r="H46" s="7">
        <v>40</v>
      </c>
      <c r="I46" s="7">
        <v>30</v>
      </c>
      <c r="J46" s="7">
        <v>61</v>
      </c>
      <c r="K46" s="7">
        <v>42</v>
      </c>
      <c r="L46" s="7">
        <v>360</v>
      </c>
      <c r="M46" s="7">
        <v>98</v>
      </c>
      <c r="N46" s="7">
        <v>80</v>
      </c>
      <c r="O46" s="7">
        <v>60</v>
      </c>
      <c r="P46" s="7">
        <v>200</v>
      </c>
      <c r="Q46" s="7">
        <v>46</v>
      </c>
      <c r="R46" s="7">
        <v>29</v>
      </c>
      <c r="S46" s="7">
        <v>37.4</v>
      </c>
      <c r="T46" s="7">
        <v>69</v>
      </c>
      <c r="U46" s="7">
        <v>20</v>
      </c>
    </row>
    <row r="47" spans="1:21" x14ac:dyDescent="0.25">
      <c r="A47" s="3" t="s">
        <v>95</v>
      </c>
      <c r="B47" s="4" t="s">
        <v>2</v>
      </c>
      <c r="C47" s="7">
        <v>-6.5</v>
      </c>
      <c r="D47" s="7">
        <v>-4.8</v>
      </c>
      <c r="E47" s="8">
        <v>-11.9</v>
      </c>
      <c r="F47" s="7">
        <v>-5.3</v>
      </c>
      <c r="G47" s="7">
        <v>-5.5</v>
      </c>
      <c r="H47" s="7">
        <v>-4.6500000000000004</v>
      </c>
      <c r="I47" s="7">
        <v>-4.3</v>
      </c>
      <c r="J47" s="9">
        <v>-9.25</v>
      </c>
      <c r="K47" s="7">
        <v>-10.9</v>
      </c>
      <c r="L47" s="7">
        <v>-17</v>
      </c>
      <c r="M47" s="7">
        <v>-6.5</v>
      </c>
      <c r="N47" s="7">
        <v>-4.6500000000000004</v>
      </c>
      <c r="O47" s="7">
        <v>-8</v>
      </c>
      <c r="P47" s="7">
        <v>-16</v>
      </c>
      <c r="Q47" s="7">
        <v>-4.9000000000000004</v>
      </c>
      <c r="R47" s="7">
        <v>-5.5</v>
      </c>
      <c r="S47" s="7">
        <v>-4.9000000000000004</v>
      </c>
      <c r="T47" s="7">
        <v>-4.9000000000000004</v>
      </c>
      <c r="U47" s="7">
        <v>-11</v>
      </c>
    </row>
    <row r="48" spans="1:21" x14ac:dyDescent="0.25">
      <c r="A48" s="3" t="s">
        <v>135</v>
      </c>
      <c r="B48" s="4" t="s">
        <v>36</v>
      </c>
      <c r="C48" s="7" t="s">
        <v>142</v>
      </c>
      <c r="D48" s="7" t="s">
        <v>142</v>
      </c>
      <c r="E48" s="8" t="s">
        <v>142</v>
      </c>
      <c r="F48" s="7" t="s">
        <v>142</v>
      </c>
      <c r="G48" s="7" t="s">
        <v>142</v>
      </c>
      <c r="H48" s="7" t="s">
        <v>143</v>
      </c>
      <c r="I48" s="7" t="s">
        <v>142</v>
      </c>
      <c r="J48" s="9" t="s">
        <v>142</v>
      </c>
      <c r="K48" s="7" t="s">
        <v>143</v>
      </c>
      <c r="L48" s="7" t="s">
        <v>142</v>
      </c>
      <c r="M48" s="7" t="s">
        <v>142</v>
      </c>
      <c r="N48" s="7" t="s">
        <v>142</v>
      </c>
      <c r="O48" s="7" t="s">
        <v>142</v>
      </c>
      <c r="P48" s="7" t="s">
        <v>142</v>
      </c>
      <c r="Q48" s="7" t="s">
        <v>142</v>
      </c>
      <c r="R48" s="7" t="s">
        <v>142</v>
      </c>
      <c r="S48" s="7" t="s">
        <v>142</v>
      </c>
      <c r="T48" s="7" t="s">
        <v>142</v>
      </c>
      <c r="U48" s="7" t="s">
        <v>142</v>
      </c>
    </row>
    <row r="49" spans="1:21" x14ac:dyDescent="0.25">
      <c r="A49" s="3" t="s">
        <v>144</v>
      </c>
      <c r="B49" s="4" t="s">
        <v>2</v>
      </c>
      <c r="C49" s="7">
        <v>9.5</v>
      </c>
      <c r="D49" s="7">
        <v>2</v>
      </c>
      <c r="E49" s="7">
        <v>29</v>
      </c>
      <c r="F49" s="7">
        <v>5.4</v>
      </c>
      <c r="G49" s="7">
        <v>20</v>
      </c>
      <c r="H49" s="7">
        <v>6</v>
      </c>
      <c r="I49" s="7">
        <v>7.5</v>
      </c>
      <c r="J49" s="9" t="s">
        <v>146</v>
      </c>
      <c r="K49" s="7">
        <v>9.6999999999999993</v>
      </c>
      <c r="L49" s="7">
        <v>240</v>
      </c>
      <c r="M49" s="7">
        <v>18.399999999999999</v>
      </c>
      <c r="N49" s="7">
        <v>18.8</v>
      </c>
      <c r="O49" s="7">
        <v>8.6</v>
      </c>
      <c r="P49" s="7">
        <v>140</v>
      </c>
      <c r="Q49" s="7">
        <v>32</v>
      </c>
      <c r="R49" s="7">
        <f>63/3.2808</f>
        <v>19.202633504023407</v>
      </c>
      <c r="S49" s="7">
        <v>22</v>
      </c>
      <c r="T49" s="7">
        <v>43</v>
      </c>
      <c r="U49" s="7">
        <v>0</v>
      </c>
    </row>
    <row r="50" spans="1:21" ht="24" x14ac:dyDescent="0.25">
      <c r="A50" s="3" t="s">
        <v>21</v>
      </c>
      <c r="B50" s="5" t="s">
        <v>36</v>
      </c>
      <c r="C50" s="12" t="s">
        <v>53</v>
      </c>
      <c r="D50" s="7" t="s">
        <v>36</v>
      </c>
      <c r="E50" s="12" t="s">
        <v>36</v>
      </c>
      <c r="F50" s="12" t="s">
        <v>39</v>
      </c>
      <c r="G50" s="12" t="s">
        <v>36</v>
      </c>
      <c r="H50" s="12" t="s">
        <v>36</v>
      </c>
      <c r="I50" s="12" t="s">
        <v>36</v>
      </c>
      <c r="J50" s="12" t="s">
        <v>58</v>
      </c>
      <c r="K50" s="12" t="s">
        <v>53</v>
      </c>
      <c r="L50" s="12" t="s">
        <v>36</v>
      </c>
      <c r="M50" s="12" t="s">
        <v>53</v>
      </c>
      <c r="N50" s="12" t="s">
        <v>104</v>
      </c>
      <c r="O50" s="12" t="s">
        <v>129</v>
      </c>
      <c r="P50" s="12" t="s">
        <v>125</v>
      </c>
      <c r="Q50" s="12" t="s">
        <v>111</v>
      </c>
      <c r="R50" s="12" t="s">
        <v>53</v>
      </c>
      <c r="S50" s="12" t="s">
        <v>36</v>
      </c>
      <c r="T50" s="12" t="s">
        <v>36</v>
      </c>
      <c r="U50" s="12" t="s">
        <v>126</v>
      </c>
    </row>
    <row r="51" spans="1:21" x14ac:dyDescent="0.25">
      <c r="A51" s="3" t="s">
        <v>60</v>
      </c>
      <c r="B51" s="4" t="s">
        <v>36</v>
      </c>
      <c r="C51" s="7" t="s">
        <v>36</v>
      </c>
      <c r="D51" s="7" t="s">
        <v>36</v>
      </c>
      <c r="E51" s="7" t="s">
        <v>36</v>
      </c>
      <c r="F51" s="7">
        <v>2</v>
      </c>
      <c r="G51" s="7" t="s">
        <v>36</v>
      </c>
      <c r="H51" s="7" t="s">
        <v>36</v>
      </c>
      <c r="I51" s="7" t="s">
        <v>36</v>
      </c>
      <c r="J51" s="7">
        <v>2</v>
      </c>
      <c r="K51" s="7">
        <v>11</v>
      </c>
      <c r="L51" s="7" t="s">
        <v>36</v>
      </c>
      <c r="M51" s="7">
        <v>1</v>
      </c>
      <c r="N51" s="7">
        <v>1</v>
      </c>
      <c r="O51" s="7">
        <v>1</v>
      </c>
      <c r="P51" s="7">
        <v>1</v>
      </c>
      <c r="Q51" s="7">
        <v>1</v>
      </c>
      <c r="R51" s="7">
        <v>2</v>
      </c>
      <c r="S51" s="7" t="s">
        <v>36</v>
      </c>
      <c r="T51" s="7" t="s">
        <v>36</v>
      </c>
      <c r="U51" s="7">
        <v>20</v>
      </c>
    </row>
    <row r="52" spans="1:21" x14ac:dyDescent="0.25">
      <c r="A52" s="3" t="s">
        <v>22</v>
      </c>
      <c r="B52" s="4" t="s">
        <v>2</v>
      </c>
      <c r="C52" s="7">
        <v>80</v>
      </c>
      <c r="D52" s="7" t="s">
        <v>36</v>
      </c>
      <c r="E52" s="7" t="s">
        <v>36</v>
      </c>
      <c r="F52" s="7">
        <v>30</v>
      </c>
      <c r="G52" s="7" t="s">
        <v>36</v>
      </c>
      <c r="H52" s="7" t="s">
        <v>36</v>
      </c>
      <c r="I52" s="7" t="s">
        <v>36</v>
      </c>
      <c r="J52" s="7">
        <v>31.5</v>
      </c>
      <c r="K52" s="7">
        <v>42</v>
      </c>
      <c r="L52" s="7" t="s">
        <v>36</v>
      </c>
      <c r="M52" s="7">
        <v>47</v>
      </c>
      <c r="N52" s="7">
        <v>80</v>
      </c>
      <c r="O52" s="7">
        <v>50</v>
      </c>
      <c r="P52" s="7">
        <v>110</v>
      </c>
      <c r="Q52" s="7">
        <v>46</v>
      </c>
      <c r="R52" s="7">
        <v>15</v>
      </c>
      <c r="S52" s="7" t="s">
        <v>36</v>
      </c>
      <c r="T52" s="7" t="s">
        <v>36</v>
      </c>
      <c r="U52" s="7">
        <v>20</v>
      </c>
    </row>
    <row r="53" spans="1:21" x14ac:dyDescent="0.25">
      <c r="A53" s="3" t="s">
        <v>96</v>
      </c>
      <c r="B53" s="4" t="s">
        <v>2</v>
      </c>
      <c r="C53" s="7">
        <v>-6.5</v>
      </c>
      <c r="D53" s="7" t="s">
        <v>36</v>
      </c>
      <c r="E53" s="7" t="s">
        <v>36</v>
      </c>
      <c r="F53" s="7">
        <v>-4.3</v>
      </c>
      <c r="G53" s="7" t="s">
        <v>36</v>
      </c>
      <c r="H53" s="7" t="s">
        <v>36</v>
      </c>
      <c r="I53" s="7" t="s">
        <v>36</v>
      </c>
      <c r="J53" s="7">
        <v>-4.6500000000000004</v>
      </c>
      <c r="K53" s="7">
        <v>-9.9</v>
      </c>
      <c r="L53" s="7" t="s">
        <v>36</v>
      </c>
      <c r="M53" s="7">
        <v>-6.5</v>
      </c>
      <c r="N53" s="7">
        <v>-4.6500000000000004</v>
      </c>
      <c r="O53" s="7">
        <v>-7</v>
      </c>
      <c r="P53" s="7">
        <v>-7</v>
      </c>
      <c r="Q53" s="7">
        <v>-4.9000000000000004</v>
      </c>
      <c r="R53" s="7">
        <v>-5.5</v>
      </c>
      <c r="S53" s="7" t="s">
        <v>36</v>
      </c>
      <c r="T53" s="7" t="s">
        <v>36</v>
      </c>
      <c r="U53" s="7">
        <v>-15</v>
      </c>
    </row>
    <row r="54" spans="1:21" x14ac:dyDescent="0.25">
      <c r="A54" s="3" t="s">
        <v>136</v>
      </c>
      <c r="B54" s="4"/>
      <c r="C54" s="7" t="s">
        <v>142</v>
      </c>
      <c r="D54" s="7" t="s">
        <v>143</v>
      </c>
      <c r="E54" s="7" t="s">
        <v>143</v>
      </c>
      <c r="F54" s="7" t="s">
        <v>143</v>
      </c>
      <c r="G54" s="7" t="s">
        <v>143</v>
      </c>
      <c r="H54" s="7" t="s">
        <v>143</v>
      </c>
      <c r="I54" s="7" t="s">
        <v>143</v>
      </c>
      <c r="J54" s="7" t="s">
        <v>142</v>
      </c>
      <c r="K54" s="7" t="s">
        <v>143</v>
      </c>
      <c r="L54" s="7" t="s">
        <v>143</v>
      </c>
      <c r="M54" s="7" t="s">
        <v>142</v>
      </c>
      <c r="N54" s="7" t="s">
        <v>142</v>
      </c>
      <c r="O54" s="7" t="s">
        <v>142</v>
      </c>
      <c r="P54" s="7" t="s">
        <v>142</v>
      </c>
      <c r="Q54" s="7" t="s">
        <v>142</v>
      </c>
      <c r="R54" s="7" t="s">
        <v>143</v>
      </c>
      <c r="S54" s="7" t="s">
        <v>143</v>
      </c>
      <c r="T54" s="7" t="s">
        <v>143</v>
      </c>
      <c r="U54" s="7" t="s">
        <v>142</v>
      </c>
    </row>
    <row r="55" spans="1:21" x14ac:dyDescent="0.25">
      <c r="A55" s="3" t="s">
        <v>145</v>
      </c>
      <c r="B55" s="4" t="s">
        <v>2</v>
      </c>
      <c r="C55" s="7">
        <v>9</v>
      </c>
      <c r="D55" s="7"/>
      <c r="E55" s="7"/>
      <c r="F55" s="7">
        <v>5.4</v>
      </c>
      <c r="G55" s="7"/>
      <c r="H55" s="7"/>
      <c r="I55" s="7"/>
      <c r="J55" s="7">
        <v>4.5999999999999996</v>
      </c>
      <c r="K55" s="7">
        <v>9.6999999999999993</v>
      </c>
      <c r="L55" s="7"/>
      <c r="M55" s="7">
        <v>18.399999999999999</v>
      </c>
      <c r="N55" s="7">
        <v>18.8</v>
      </c>
      <c r="O55" s="7">
        <v>8.6</v>
      </c>
      <c r="P55" s="7">
        <v>9</v>
      </c>
      <c r="Q55" s="7">
        <f>30/3.2808</f>
        <v>9.1441111923920992</v>
      </c>
      <c r="R55" s="7">
        <f>18/3.2808</f>
        <v>5.4864667154352595</v>
      </c>
      <c r="S55" s="7"/>
      <c r="T55" s="7"/>
      <c r="U55" s="7">
        <v>0</v>
      </c>
    </row>
    <row r="56" spans="1:21" s="2" customFormat="1" x14ac:dyDescent="0.25">
      <c r="A56" s="3" t="s">
        <v>61</v>
      </c>
      <c r="B56" s="5" t="s">
        <v>36</v>
      </c>
      <c r="C56" s="12" t="s">
        <v>36</v>
      </c>
      <c r="D56" s="12" t="s">
        <v>36</v>
      </c>
      <c r="E56" s="12" t="s">
        <v>36</v>
      </c>
      <c r="F56" s="12" t="s">
        <v>36</v>
      </c>
      <c r="G56" s="12" t="s">
        <v>36</v>
      </c>
      <c r="H56" s="12" t="s">
        <v>36</v>
      </c>
      <c r="I56" s="12" t="s">
        <v>36</v>
      </c>
      <c r="J56" s="12" t="s">
        <v>129</v>
      </c>
      <c r="K56" s="12" t="s">
        <v>53</v>
      </c>
      <c r="L56" s="12" t="s">
        <v>36</v>
      </c>
      <c r="M56" s="12" t="s">
        <v>36</v>
      </c>
      <c r="N56" s="12" t="s">
        <v>104</v>
      </c>
      <c r="O56" s="12" t="s">
        <v>53</v>
      </c>
      <c r="P56" s="12" t="s">
        <v>129</v>
      </c>
      <c r="Q56" s="12" t="s">
        <v>53</v>
      </c>
      <c r="R56" s="12" t="s">
        <v>36</v>
      </c>
      <c r="S56" s="12" t="s">
        <v>36</v>
      </c>
      <c r="T56" s="12" t="s">
        <v>36</v>
      </c>
      <c r="U56" s="12" t="s">
        <v>126</v>
      </c>
    </row>
    <row r="57" spans="1:21" x14ac:dyDescent="0.25">
      <c r="A57" s="3" t="s">
        <v>62</v>
      </c>
      <c r="B57" s="4" t="s">
        <v>36</v>
      </c>
      <c r="C57" s="7" t="s">
        <v>36</v>
      </c>
      <c r="D57" s="7" t="s">
        <v>36</v>
      </c>
      <c r="E57" s="7" t="s">
        <v>36</v>
      </c>
      <c r="F57" s="7" t="s">
        <v>36</v>
      </c>
      <c r="G57" s="7" t="s">
        <v>36</v>
      </c>
      <c r="H57" s="7" t="s">
        <v>36</v>
      </c>
      <c r="I57" s="7" t="s">
        <v>36</v>
      </c>
      <c r="J57" s="7">
        <v>4</v>
      </c>
      <c r="K57" s="7">
        <v>6</v>
      </c>
      <c r="L57" s="7" t="s">
        <v>36</v>
      </c>
      <c r="M57" s="7" t="s">
        <v>36</v>
      </c>
      <c r="N57" s="7">
        <v>1</v>
      </c>
      <c r="O57" s="7">
        <v>1</v>
      </c>
      <c r="P57" s="7">
        <v>34</v>
      </c>
      <c r="Q57" s="7">
        <v>1</v>
      </c>
      <c r="R57" s="7" t="s">
        <v>36</v>
      </c>
      <c r="S57" s="7" t="s">
        <v>36</v>
      </c>
      <c r="T57" s="7" t="s">
        <v>36</v>
      </c>
      <c r="U57" s="7">
        <v>20</v>
      </c>
    </row>
    <row r="58" spans="1:21" x14ac:dyDescent="0.25">
      <c r="A58" s="3" t="s">
        <v>131</v>
      </c>
      <c r="B58" s="4" t="s">
        <v>2</v>
      </c>
      <c r="C58" s="7" t="s">
        <v>36</v>
      </c>
      <c r="D58" s="7" t="s">
        <v>36</v>
      </c>
      <c r="E58" s="7" t="s">
        <v>36</v>
      </c>
      <c r="F58" s="7" t="s">
        <v>36</v>
      </c>
      <c r="G58" s="7" t="s">
        <v>36</v>
      </c>
      <c r="H58" s="7" t="s">
        <v>36</v>
      </c>
      <c r="I58" s="7" t="s">
        <v>36</v>
      </c>
      <c r="J58" s="7">
        <v>31</v>
      </c>
      <c r="K58" s="7">
        <v>42</v>
      </c>
      <c r="L58" s="7" t="s">
        <v>36</v>
      </c>
      <c r="M58" s="7" t="s">
        <v>36</v>
      </c>
      <c r="N58" s="7">
        <v>80</v>
      </c>
      <c r="O58" s="7">
        <v>50</v>
      </c>
      <c r="P58" s="7">
        <v>24</v>
      </c>
      <c r="Q58" s="7">
        <v>17</v>
      </c>
      <c r="R58" s="7" t="s">
        <v>36</v>
      </c>
      <c r="S58" s="7" t="s">
        <v>36</v>
      </c>
      <c r="T58" s="7" t="s">
        <v>36</v>
      </c>
      <c r="U58" s="7">
        <v>20</v>
      </c>
    </row>
    <row r="59" spans="1:21" x14ac:dyDescent="0.25">
      <c r="A59" s="3" t="s">
        <v>63</v>
      </c>
      <c r="B59" s="4" t="s">
        <v>2</v>
      </c>
      <c r="C59" s="7" t="s">
        <v>36</v>
      </c>
      <c r="D59" s="7" t="s">
        <v>36</v>
      </c>
      <c r="E59" s="7" t="s">
        <v>36</v>
      </c>
      <c r="F59" s="7" t="s">
        <v>36</v>
      </c>
      <c r="G59" s="7" t="s">
        <v>36</v>
      </c>
      <c r="H59" s="7" t="s">
        <v>36</v>
      </c>
      <c r="I59" s="7" t="s">
        <v>36</v>
      </c>
      <c r="J59" s="14">
        <v>0.5</v>
      </c>
      <c r="K59" s="7">
        <v>-8.9</v>
      </c>
      <c r="L59" s="7" t="s">
        <v>36</v>
      </c>
      <c r="M59" s="7" t="s">
        <v>36</v>
      </c>
      <c r="N59" s="7">
        <v>-4.6500000000000004</v>
      </c>
      <c r="O59" s="7">
        <v>-7</v>
      </c>
      <c r="P59" s="7">
        <v>-2.5</v>
      </c>
      <c r="Q59" s="7">
        <v>-3.7</v>
      </c>
      <c r="R59" s="7" t="s">
        <v>36</v>
      </c>
      <c r="S59" s="7" t="s">
        <v>36</v>
      </c>
      <c r="T59" s="7" t="s">
        <v>36</v>
      </c>
      <c r="U59" s="7">
        <v>-11</v>
      </c>
    </row>
    <row r="60" spans="1:21" x14ac:dyDescent="0.25">
      <c r="A60" s="3" t="s">
        <v>137</v>
      </c>
      <c r="B60" s="4"/>
      <c r="C60" s="7" t="s">
        <v>143</v>
      </c>
      <c r="D60" s="7" t="s">
        <v>143</v>
      </c>
      <c r="E60" s="7" t="s">
        <v>143</v>
      </c>
      <c r="F60" s="7" t="s">
        <v>143</v>
      </c>
      <c r="G60" s="7" t="s">
        <v>143</v>
      </c>
      <c r="H60" s="7" t="s">
        <v>143</v>
      </c>
      <c r="I60" s="7" t="s">
        <v>143</v>
      </c>
      <c r="J60" s="9" t="s">
        <v>143</v>
      </c>
      <c r="K60" s="7" t="s">
        <v>143</v>
      </c>
      <c r="L60" s="7" t="s">
        <v>143</v>
      </c>
      <c r="M60" s="7" t="s">
        <v>143</v>
      </c>
      <c r="N60" s="7" t="s">
        <v>143</v>
      </c>
      <c r="O60" s="7" t="s">
        <v>143</v>
      </c>
      <c r="P60" s="7" t="s">
        <v>143</v>
      </c>
      <c r="Q60" s="7" t="s">
        <v>142</v>
      </c>
      <c r="R60" s="7" t="s">
        <v>143</v>
      </c>
      <c r="S60" s="7" t="s">
        <v>143</v>
      </c>
      <c r="T60" s="7" t="s">
        <v>143</v>
      </c>
      <c r="U60" s="7" t="s">
        <v>143</v>
      </c>
    </row>
    <row r="61" spans="1:21" x14ac:dyDescent="0.25">
      <c r="A61" s="3" t="s">
        <v>148</v>
      </c>
      <c r="B61" s="4" t="s">
        <v>2</v>
      </c>
      <c r="C61" s="7"/>
      <c r="D61" s="7"/>
      <c r="E61" s="7"/>
      <c r="F61" s="7"/>
      <c r="G61" s="7"/>
      <c r="H61" s="7"/>
      <c r="I61" s="7"/>
      <c r="J61" s="9" t="s">
        <v>147</v>
      </c>
      <c r="K61" s="7">
        <v>9.6999999999999993</v>
      </c>
      <c r="L61" s="7"/>
      <c r="M61" s="7"/>
      <c r="N61" s="7">
        <v>18.8</v>
      </c>
      <c r="O61" s="7">
        <v>6.5</v>
      </c>
      <c r="P61" s="7">
        <v>7.5</v>
      </c>
      <c r="Q61" s="7">
        <f>25/3.2808</f>
        <v>7.6200926603267494</v>
      </c>
      <c r="R61" s="7"/>
      <c r="S61" s="7"/>
      <c r="T61" s="7"/>
      <c r="U61" s="7">
        <v>0</v>
      </c>
    </row>
    <row r="62" spans="1:21" s="2" customFormat="1" x14ac:dyDescent="0.25">
      <c r="A62" s="3" t="s">
        <v>72</v>
      </c>
      <c r="B62" s="5" t="s">
        <v>36</v>
      </c>
      <c r="C62" s="12" t="s">
        <v>36</v>
      </c>
      <c r="D62" s="7" t="s">
        <v>36</v>
      </c>
      <c r="E62" s="12" t="s">
        <v>36</v>
      </c>
      <c r="F62" s="12" t="s">
        <v>36</v>
      </c>
      <c r="G62" s="12" t="s">
        <v>36</v>
      </c>
      <c r="H62" s="12" t="s">
        <v>36</v>
      </c>
      <c r="I62" s="12" t="s">
        <v>36</v>
      </c>
      <c r="J62" s="12" t="s">
        <v>36</v>
      </c>
      <c r="K62" s="12" t="s">
        <v>53</v>
      </c>
      <c r="L62" s="12" t="s">
        <v>36</v>
      </c>
      <c r="M62" s="12" t="s">
        <v>36</v>
      </c>
      <c r="N62" s="12" t="s">
        <v>36</v>
      </c>
      <c r="O62" s="12" t="s">
        <v>53</v>
      </c>
      <c r="P62" s="12" t="s">
        <v>129</v>
      </c>
      <c r="Q62" s="12" t="s">
        <v>36</v>
      </c>
      <c r="R62" s="12" t="s">
        <v>36</v>
      </c>
      <c r="S62" s="12" t="s">
        <v>36</v>
      </c>
      <c r="T62" s="12" t="s">
        <v>36</v>
      </c>
      <c r="U62" s="12" t="s">
        <v>126</v>
      </c>
    </row>
    <row r="63" spans="1:21" x14ac:dyDescent="0.25">
      <c r="A63" s="3" t="s">
        <v>73</v>
      </c>
      <c r="B63" s="4" t="s">
        <v>36</v>
      </c>
      <c r="C63" s="7" t="s">
        <v>36</v>
      </c>
      <c r="D63" s="7" t="s">
        <v>36</v>
      </c>
      <c r="E63" s="7" t="s">
        <v>36</v>
      </c>
      <c r="F63" s="7" t="s">
        <v>36</v>
      </c>
      <c r="G63" s="7" t="s">
        <v>36</v>
      </c>
      <c r="H63" s="7" t="s">
        <v>36</v>
      </c>
      <c r="I63" s="7" t="s">
        <v>36</v>
      </c>
      <c r="J63" s="7" t="s">
        <v>36</v>
      </c>
      <c r="K63" s="7">
        <v>9</v>
      </c>
      <c r="L63" s="7" t="s">
        <v>36</v>
      </c>
      <c r="M63" s="7" t="s">
        <v>36</v>
      </c>
      <c r="N63" s="7" t="s">
        <v>36</v>
      </c>
      <c r="O63" s="7">
        <v>1</v>
      </c>
      <c r="P63" s="7">
        <v>30</v>
      </c>
      <c r="Q63" s="7" t="s">
        <v>36</v>
      </c>
      <c r="R63" s="7" t="s">
        <v>36</v>
      </c>
      <c r="S63" s="7" t="s">
        <v>36</v>
      </c>
      <c r="T63" s="7" t="s">
        <v>36</v>
      </c>
      <c r="U63" s="7">
        <v>20</v>
      </c>
    </row>
    <row r="64" spans="1:21" x14ac:dyDescent="0.25">
      <c r="A64" s="3" t="s">
        <v>74</v>
      </c>
      <c r="B64" s="4" t="s">
        <v>2</v>
      </c>
      <c r="C64" s="7" t="s">
        <v>36</v>
      </c>
      <c r="D64" s="7" t="s">
        <v>36</v>
      </c>
      <c r="E64" s="7" t="s">
        <v>36</v>
      </c>
      <c r="F64" s="7" t="s">
        <v>36</v>
      </c>
      <c r="G64" s="7" t="s">
        <v>36</v>
      </c>
      <c r="H64" s="7" t="s">
        <v>36</v>
      </c>
      <c r="I64" s="7" t="s">
        <v>36</v>
      </c>
      <c r="J64" s="7" t="s">
        <v>36</v>
      </c>
      <c r="K64" s="7">
        <v>42</v>
      </c>
      <c r="L64" s="7" t="s">
        <v>36</v>
      </c>
      <c r="M64" s="7" t="s">
        <v>36</v>
      </c>
      <c r="N64" s="7" t="s">
        <v>36</v>
      </c>
      <c r="O64" s="7">
        <v>63.5</v>
      </c>
      <c r="P64" s="7">
        <v>24</v>
      </c>
      <c r="Q64" s="7" t="s">
        <v>36</v>
      </c>
      <c r="R64" s="7" t="s">
        <v>36</v>
      </c>
      <c r="S64" s="7" t="s">
        <v>36</v>
      </c>
      <c r="T64" s="7" t="s">
        <v>36</v>
      </c>
      <c r="U64" s="7">
        <v>20</v>
      </c>
    </row>
    <row r="65" spans="1:21" x14ac:dyDescent="0.25">
      <c r="A65" s="3" t="s">
        <v>79</v>
      </c>
      <c r="B65" s="4" t="s">
        <v>2</v>
      </c>
      <c r="C65" s="7" t="s">
        <v>36</v>
      </c>
      <c r="D65" s="7" t="s">
        <v>36</v>
      </c>
      <c r="E65" s="7" t="s">
        <v>36</v>
      </c>
      <c r="F65" s="7" t="s">
        <v>36</v>
      </c>
      <c r="G65" s="7" t="s">
        <v>36</v>
      </c>
      <c r="H65" s="7" t="s">
        <v>36</v>
      </c>
      <c r="I65" s="7" t="s">
        <v>36</v>
      </c>
      <c r="J65" s="7" t="s">
        <v>36</v>
      </c>
      <c r="K65" s="7">
        <v>-7.9</v>
      </c>
      <c r="L65" s="7" t="s">
        <v>36</v>
      </c>
      <c r="M65" s="7" t="s">
        <v>36</v>
      </c>
      <c r="N65" s="7" t="s">
        <v>36</v>
      </c>
      <c r="O65" s="7">
        <v>-7</v>
      </c>
      <c r="P65" s="7">
        <v>-5</v>
      </c>
      <c r="Q65" s="7" t="s">
        <v>36</v>
      </c>
      <c r="R65" s="7" t="s">
        <v>36</v>
      </c>
      <c r="S65" s="7" t="s">
        <v>36</v>
      </c>
      <c r="T65" s="7" t="s">
        <v>36</v>
      </c>
      <c r="U65" s="7">
        <v>-6</v>
      </c>
    </row>
    <row r="66" spans="1:21" x14ac:dyDescent="0.25">
      <c r="A66" s="3" t="s">
        <v>138</v>
      </c>
      <c r="B66" s="4"/>
      <c r="C66" s="7" t="s">
        <v>143</v>
      </c>
      <c r="D66" s="7" t="s">
        <v>143</v>
      </c>
      <c r="E66" s="7" t="s">
        <v>143</v>
      </c>
      <c r="F66" s="7" t="s">
        <v>143</v>
      </c>
      <c r="G66" s="7" t="s">
        <v>143</v>
      </c>
      <c r="H66" s="7" t="s">
        <v>143</v>
      </c>
      <c r="I66" s="7" t="s">
        <v>143</v>
      </c>
      <c r="J66" s="7" t="s">
        <v>143</v>
      </c>
      <c r="K66" s="7" t="s">
        <v>143</v>
      </c>
      <c r="L66" s="7" t="s">
        <v>143</v>
      </c>
      <c r="M66" s="7" t="s">
        <v>143</v>
      </c>
      <c r="N66" s="7" t="s">
        <v>143</v>
      </c>
      <c r="O66" s="7" t="s">
        <v>143</v>
      </c>
      <c r="P66" s="7" t="s">
        <v>143</v>
      </c>
      <c r="Q66" s="7" t="s">
        <v>143</v>
      </c>
      <c r="R66" s="7" t="s">
        <v>143</v>
      </c>
      <c r="S66" s="7" t="s">
        <v>143</v>
      </c>
      <c r="T66" s="7" t="s">
        <v>143</v>
      </c>
      <c r="U66" s="7" t="s">
        <v>142</v>
      </c>
    </row>
    <row r="67" spans="1:21" x14ac:dyDescent="0.25">
      <c r="A67" s="3" t="s">
        <v>149</v>
      </c>
      <c r="B67" s="4"/>
      <c r="C67" s="7"/>
      <c r="D67" s="7"/>
      <c r="E67" s="7"/>
      <c r="F67" s="7"/>
      <c r="G67" s="7"/>
      <c r="H67" s="7"/>
      <c r="I67" s="7"/>
      <c r="J67" s="7"/>
      <c r="K67" s="7">
        <v>9.6999999999999993</v>
      </c>
      <c r="L67" s="7"/>
      <c r="M67" s="7"/>
      <c r="N67" s="7"/>
      <c r="O67" s="7">
        <v>6.5</v>
      </c>
      <c r="P67" s="7">
        <v>7.5</v>
      </c>
      <c r="Q67" s="7"/>
      <c r="R67" s="7"/>
      <c r="S67" s="7"/>
      <c r="T67" s="7"/>
      <c r="U67" s="7">
        <v>0</v>
      </c>
    </row>
    <row r="68" spans="1:21" x14ac:dyDescent="0.25">
      <c r="A68" s="3" t="s">
        <v>76</v>
      </c>
      <c r="B68" s="4" t="s">
        <v>36</v>
      </c>
      <c r="C68" s="7" t="s">
        <v>36</v>
      </c>
      <c r="D68" s="7" t="s">
        <v>36</v>
      </c>
      <c r="E68" s="7" t="s">
        <v>36</v>
      </c>
      <c r="F68" s="7" t="s">
        <v>36</v>
      </c>
      <c r="G68" s="7" t="s">
        <v>36</v>
      </c>
      <c r="H68" s="7" t="s">
        <v>36</v>
      </c>
      <c r="I68" s="7" t="s">
        <v>36</v>
      </c>
      <c r="J68" s="7" t="s">
        <v>36</v>
      </c>
      <c r="K68" s="7" t="s">
        <v>53</v>
      </c>
      <c r="L68" s="7" t="s">
        <v>36</v>
      </c>
      <c r="M68" s="7" t="s">
        <v>36</v>
      </c>
      <c r="N68" s="7" t="s">
        <v>36</v>
      </c>
      <c r="O68" s="12" t="s">
        <v>53</v>
      </c>
      <c r="P68" s="7" t="s">
        <v>36</v>
      </c>
      <c r="Q68" s="7" t="s">
        <v>36</v>
      </c>
      <c r="R68" s="7" t="s">
        <v>36</v>
      </c>
      <c r="S68" s="7" t="s">
        <v>36</v>
      </c>
      <c r="T68" s="7" t="s">
        <v>36</v>
      </c>
      <c r="U68" s="7" t="s">
        <v>36</v>
      </c>
    </row>
    <row r="69" spans="1:21" x14ac:dyDescent="0.25">
      <c r="A69" s="3" t="s">
        <v>77</v>
      </c>
      <c r="B69" s="4" t="s">
        <v>36</v>
      </c>
      <c r="C69" s="7" t="s">
        <v>36</v>
      </c>
      <c r="D69" s="7" t="s">
        <v>36</v>
      </c>
      <c r="E69" s="7" t="s">
        <v>36</v>
      </c>
      <c r="F69" s="7" t="s">
        <v>36</v>
      </c>
      <c r="G69" s="7" t="s">
        <v>36</v>
      </c>
      <c r="H69" s="7" t="s">
        <v>36</v>
      </c>
      <c r="I69" s="7" t="s">
        <v>36</v>
      </c>
      <c r="J69" s="7" t="s">
        <v>36</v>
      </c>
      <c r="K69" s="7">
        <v>8</v>
      </c>
      <c r="L69" s="7" t="s">
        <v>36</v>
      </c>
      <c r="M69" s="7" t="s">
        <v>36</v>
      </c>
      <c r="N69" s="7" t="s">
        <v>36</v>
      </c>
      <c r="O69" s="7">
        <v>3</v>
      </c>
      <c r="P69" s="7" t="s">
        <v>36</v>
      </c>
      <c r="Q69" s="7" t="s">
        <v>36</v>
      </c>
      <c r="R69" s="7" t="s">
        <v>36</v>
      </c>
      <c r="S69" s="7" t="s">
        <v>36</v>
      </c>
      <c r="T69" s="7" t="s">
        <v>36</v>
      </c>
      <c r="U69" s="7" t="s">
        <v>36</v>
      </c>
    </row>
    <row r="70" spans="1:21" x14ac:dyDescent="0.25">
      <c r="A70" s="3" t="s">
        <v>78</v>
      </c>
      <c r="B70" s="4" t="s">
        <v>2</v>
      </c>
      <c r="C70" s="7" t="s">
        <v>36</v>
      </c>
      <c r="D70" s="7" t="s">
        <v>36</v>
      </c>
      <c r="E70" s="7" t="s">
        <v>36</v>
      </c>
      <c r="F70" s="7" t="s">
        <v>36</v>
      </c>
      <c r="G70" s="7" t="s">
        <v>36</v>
      </c>
      <c r="H70" s="7" t="s">
        <v>36</v>
      </c>
      <c r="I70" s="7" t="s">
        <v>36</v>
      </c>
      <c r="J70" s="7" t="s">
        <v>36</v>
      </c>
      <c r="K70" s="7">
        <v>42</v>
      </c>
      <c r="L70" s="7" t="s">
        <v>36</v>
      </c>
      <c r="M70" s="7" t="s">
        <v>36</v>
      </c>
      <c r="N70" s="7" t="s">
        <v>36</v>
      </c>
      <c r="O70" s="7">
        <v>50</v>
      </c>
      <c r="P70" s="7" t="s">
        <v>36</v>
      </c>
      <c r="Q70" s="7" t="s">
        <v>36</v>
      </c>
      <c r="R70" s="7" t="s">
        <v>36</v>
      </c>
      <c r="S70" s="7" t="s">
        <v>36</v>
      </c>
      <c r="T70" s="7" t="s">
        <v>36</v>
      </c>
      <c r="U70" s="7" t="s">
        <v>36</v>
      </c>
    </row>
    <row r="71" spans="1:21" x14ac:dyDescent="0.25">
      <c r="A71" s="3" t="s">
        <v>75</v>
      </c>
      <c r="B71" s="4" t="s">
        <v>2</v>
      </c>
      <c r="C71" s="7" t="s">
        <v>36</v>
      </c>
      <c r="D71" s="7" t="s">
        <v>36</v>
      </c>
      <c r="E71" s="7" t="s">
        <v>36</v>
      </c>
      <c r="F71" s="7" t="s">
        <v>36</v>
      </c>
      <c r="G71" s="7" t="s">
        <v>36</v>
      </c>
      <c r="H71" s="7" t="s">
        <v>36</v>
      </c>
      <c r="I71" s="7" t="s">
        <v>36</v>
      </c>
      <c r="J71" s="7" t="s">
        <v>36</v>
      </c>
      <c r="K71" s="7">
        <v>-6.9</v>
      </c>
      <c r="L71" s="7" t="s">
        <v>36</v>
      </c>
      <c r="M71" s="7" t="s">
        <v>36</v>
      </c>
      <c r="N71" s="7" t="s">
        <v>36</v>
      </c>
      <c r="O71" s="7">
        <v>-5</v>
      </c>
      <c r="P71" s="7" t="s">
        <v>36</v>
      </c>
      <c r="Q71" s="7" t="s">
        <v>36</v>
      </c>
      <c r="R71" s="7" t="s">
        <v>36</v>
      </c>
      <c r="S71" s="7" t="s">
        <v>36</v>
      </c>
      <c r="T71" s="7" t="s">
        <v>36</v>
      </c>
      <c r="U71" s="7" t="s">
        <v>36</v>
      </c>
    </row>
    <row r="72" spans="1:21" x14ac:dyDescent="0.25">
      <c r="A72" s="3" t="s">
        <v>139</v>
      </c>
      <c r="B72" s="4"/>
      <c r="C72" s="7" t="s">
        <v>143</v>
      </c>
      <c r="D72" s="7" t="s">
        <v>143</v>
      </c>
      <c r="E72" s="7" t="s">
        <v>143</v>
      </c>
      <c r="F72" s="7" t="s">
        <v>143</v>
      </c>
      <c r="G72" s="7" t="s">
        <v>143</v>
      </c>
      <c r="H72" s="7" t="s">
        <v>143</v>
      </c>
      <c r="I72" s="7" t="s">
        <v>143</v>
      </c>
      <c r="J72" s="7" t="s">
        <v>143</v>
      </c>
      <c r="K72" s="7" t="s">
        <v>143</v>
      </c>
      <c r="L72" s="7" t="s">
        <v>143</v>
      </c>
      <c r="M72" s="7" t="s">
        <v>143</v>
      </c>
      <c r="N72" s="7" t="s">
        <v>143</v>
      </c>
      <c r="O72" s="7" t="s">
        <v>143</v>
      </c>
      <c r="P72" s="7" t="s">
        <v>143</v>
      </c>
      <c r="Q72" s="7" t="s">
        <v>143</v>
      </c>
      <c r="R72" s="7" t="s">
        <v>143</v>
      </c>
      <c r="S72" s="7" t="s">
        <v>143</v>
      </c>
      <c r="T72" s="7" t="s">
        <v>143</v>
      </c>
      <c r="U72" s="7" t="s">
        <v>143</v>
      </c>
    </row>
    <row r="73" spans="1:21" x14ac:dyDescent="0.25">
      <c r="A73" s="3" t="s">
        <v>150</v>
      </c>
      <c r="B73" s="4"/>
      <c r="C73" s="7"/>
      <c r="D73" s="7"/>
      <c r="E73" s="7"/>
      <c r="F73" s="7"/>
      <c r="G73" s="7"/>
      <c r="H73" s="7"/>
      <c r="I73" s="7"/>
      <c r="J73" s="7"/>
      <c r="K73" s="7">
        <v>9.6999999999999993</v>
      </c>
      <c r="L73" s="7"/>
      <c r="M73" s="7"/>
      <c r="N73" s="7"/>
      <c r="O73" s="7">
        <v>6.5</v>
      </c>
      <c r="P73" s="7"/>
      <c r="Q73" s="7"/>
      <c r="R73" s="7"/>
      <c r="S73" s="7"/>
      <c r="T73" s="7"/>
      <c r="U73" s="7"/>
    </row>
    <row r="74" spans="1:21" x14ac:dyDescent="0.25">
      <c r="A74" s="3" t="s">
        <v>80</v>
      </c>
      <c r="B74" s="4" t="s">
        <v>36</v>
      </c>
      <c r="C74" s="7" t="s">
        <v>36</v>
      </c>
      <c r="D74" s="7" t="s">
        <v>36</v>
      </c>
      <c r="E74" s="7" t="s">
        <v>36</v>
      </c>
      <c r="F74" s="7" t="s">
        <v>36</v>
      </c>
      <c r="G74" s="7" t="s">
        <v>36</v>
      </c>
      <c r="H74" s="7" t="s">
        <v>36</v>
      </c>
      <c r="I74" s="7" t="s">
        <v>36</v>
      </c>
      <c r="J74" s="7" t="s">
        <v>36</v>
      </c>
      <c r="K74" s="7" t="s">
        <v>53</v>
      </c>
      <c r="L74" s="7" t="s">
        <v>36</v>
      </c>
      <c r="M74" s="7" t="s">
        <v>36</v>
      </c>
      <c r="N74" s="7" t="s">
        <v>36</v>
      </c>
      <c r="O74" s="7" t="s">
        <v>36</v>
      </c>
      <c r="P74" s="7" t="s">
        <v>36</v>
      </c>
      <c r="Q74" s="7" t="s">
        <v>36</v>
      </c>
      <c r="R74" s="7" t="s">
        <v>36</v>
      </c>
      <c r="S74" s="7" t="s">
        <v>36</v>
      </c>
      <c r="T74" s="7" t="s">
        <v>36</v>
      </c>
      <c r="U74" s="7" t="s">
        <v>36</v>
      </c>
    </row>
    <row r="75" spans="1:21" x14ac:dyDescent="0.25">
      <c r="A75" s="3" t="s">
        <v>81</v>
      </c>
      <c r="B75" s="4" t="s">
        <v>36</v>
      </c>
      <c r="C75" s="7" t="s">
        <v>36</v>
      </c>
      <c r="D75" s="7" t="s">
        <v>36</v>
      </c>
      <c r="E75" s="7" t="s">
        <v>36</v>
      </c>
      <c r="F75" s="7" t="s">
        <v>36</v>
      </c>
      <c r="G75" s="7" t="s">
        <v>36</v>
      </c>
      <c r="H75" s="7" t="s">
        <v>36</v>
      </c>
      <c r="I75" s="7" t="s">
        <v>36</v>
      </c>
      <c r="J75" s="7" t="s">
        <v>36</v>
      </c>
      <c r="K75" s="7">
        <v>6</v>
      </c>
      <c r="L75" s="7" t="s">
        <v>36</v>
      </c>
      <c r="M75" s="7" t="s">
        <v>36</v>
      </c>
      <c r="N75" s="7" t="s">
        <v>36</v>
      </c>
      <c r="O75" s="7" t="s">
        <v>36</v>
      </c>
      <c r="P75" s="7" t="s">
        <v>36</v>
      </c>
      <c r="Q75" s="7" t="s">
        <v>36</v>
      </c>
      <c r="R75" s="7" t="s">
        <v>36</v>
      </c>
      <c r="S75" s="7" t="s">
        <v>36</v>
      </c>
      <c r="T75" s="7" t="s">
        <v>36</v>
      </c>
      <c r="U75" s="7" t="s">
        <v>36</v>
      </c>
    </row>
    <row r="76" spans="1:21" x14ac:dyDescent="0.25">
      <c r="A76" s="3" t="s">
        <v>82</v>
      </c>
      <c r="B76" s="4" t="s">
        <v>2</v>
      </c>
      <c r="C76" s="7" t="s">
        <v>36</v>
      </c>
      <c r="D76" s="7" t="s">
        <v>36</v>
      </c>
      <c r="E76" s="7" t="s">
        <v>36</v>
      </c>
      <c r="F76" s="7" t="s">
        <v>36</v>
      </c>
      <c r="G76" s="7" t="s">
        <v>36</v>
      </c>
      <c r="H76" s="7" t="s">
        <v>36</v>
      </c>
      <c r="I76" s="7" t="s">
        <v>36</v>
      </c>
      <c r="J76" s="7" t="s">
        <v>36</v>
      </c>
      <c r="K76" s="7">
        <v>42</v>
      </c>
      <c r="L76" s="7" t="s">
        <v>36</v>
      </c>
      <c r="M76" s="7" t="s">
        <v>36</v>
      </c>
      <c r="N76" s="7" t="s">
        <v>36</v>
      </c>
      <c r="O76" s="7" t="s">
        <v>36</v>
      </c>
      <c r="P76" s="7" t="s">
        <v>36</v>
      </c>
      <c r="Q76" s="7" t="s">
        <v>36</v>
      </c>
      <c r="R76" s="7" t="s">
        <v>36</v>
      </c>
      <c r="S76" s="7" t="s">
        <v>36</v>
      </c>
      <c r="T76" s="7" t="s">
        <v>36</v>
      </c>
      <c r="U76" s="7" t="s">
        <v>36</v>
      </c>
    </row>
    <row r="77" spans="1:21" x14ac:dyDescent="0.25">
      <c r="A77" s="3" t="s">
        <v>83</v>
      </c>
      <c r="B77" s="4" t="s">
        <v>2</v>
      </c>
      <c r="C77" s="7" t="s">
        <v>36</v>
      </c>
      <c r="D77" s="7" t="s">
        <v>36</v>
      </c>
      <c r="E77" s="7" t="s">
        <v>36</v>
      </c>
      <c r="F77" s="7" t="s">
        <v>36</v>
      </c>
      <c r="G77" s="7" t="s">
        <v>36</v>
      </c>
      <c r="H77" s="7" t="s">
        <v>36</v>
      </c>
      <c r="I77" s="7" t="s">
        <v>36</v>
      </c>
      <c r="J77" s="7" t="s">
        <v>36</v>
      </c>
      <c r="K77" s="7">
        <v>-5.9</v>
      </c>
      <c r="L77" s="7" t="s">
        <v>36</v>
      </c>
      <c r="M77" s="7" t="s">
        <v>36</v>
      </c>
      <c r="N77" s="7" t="s">
        <v>36</v>
      </c>
      <c r="O77" s="7" t="s">
        <v>36</v>
      </c>
      <c r="P77" s="7" t="s">
        <v>36</v>
      </c>
      <c r="Q77" s="7" t="s">
        <v>36</v>
      </c>
      <c r="R77" s="7" t="s">
        <v>36</v>
      </c>
      <c r="S77" s="7" t="s">
        <v>36</v>
      </c>
      <c r="T77" s="7" t="s">
        <v>36</v>
      </c>
      <c r="U77" s="7" t="s">
        <v>36</v>
      </c>
    </row>
    <row r="78" spans="1:21" x14ac:dyDescent="0.25">
      <c r="A78" s="3" t="s">
        <v>140</v>
      </c>
      <c r="B78" s="4"/>
      <c r="C78" s="7" t="s">
        <v>143</v>
      </c>
      <c r="D78" s="7" t="s">
        <v>143</v>
      </c>
      <c r="E78" s="7" t="s">
        <v>143</v>
      </c>
      <c r="F78" s="7" t="s">
        <v>143</v>
      </c>
      <c r="G78" s="7" t="s">
        <v>143</v>
      </c>
      <c r="H78" s="7" t="s">
        <v>143</v>
      </c>
      <c r="I78" s="7" t="s">
        <v>143</v>
      </c>
      <c r="J78" s="7" t="s">
        <v>143</v>
      </c>
      <c r="K78" s="7" t="s">
        <v>143</v>
      </c>
      <c r="L78" s="7" t="s">
        <v>143</v>
      </c>
      <c r="M78" s="7" t="s">
        <v>143</v>
      </c>
      <c r="N78" s="7" t="s">
        <v>143</v>
      </c>
      <c r="O78" s="7" t="s">
        <v>143</v>
      </c>
      <c r="P78" s="7" t="s">
        <v>143</v>
      </c>
      <c r="Q78" s="7" t="s">
        <v>143</v>
      </c>
      <c r="R78" s="7" t="s">
        <v>143</v>
      </c>
      <c r="S78" s="7" t="s">
        <v>143</v>
      </c>
      <c r="T78" s="7" t="s">
        <v>143</v>
      </c>
      <c r="U78" s="7" t="s">
        <v>143</v>
      </c>
    </row>
    <row r="79" spans="1:21" x14ac:dyDescent="0.25">
      <c r="A79" s="3" t="s">
        <v>151</v>
      </c>
      <c r="B79" s="4"/>
      <c r="C79" s="7"/>
      <c r="D79" s="7"/>
      <c r="E79" s="7"/>
      <c r="F79" s="7"/>
      <c r="G79" s="7"/>
      <c r="H79" s="7"/>
      <c r="I79" s="7"/>
      <c r="J79" s="7"/>
      <c r="K79" s="7">
        <v>9.6999999999999993</v>
      </c>
      <c r="L79" s="7"/>
      <c r="M79" s="7"/>
      <c r="N79" s="7"/>
      <c r="O79" s="7"/>
      <c r="P79" s="7"/>
      <c r="Q79" s="7"/>
      <c r="R79" s="7"/>
      <c r="S79" s="7"/>
      <c r="T79" s="7"/>
      <c r="U79" s="7"/>
    </row>
    <row r="80" spans="1:21" x14ac:dyDescent="0.25">
      <c r="A80" s="3" t="s">
        <v>84</v>
      </c>
      <c r="B80" s="4" t="s">
        <v>36</v>
      </c>
      <c r="C80" s="7" t="s">
        <v>36</v>
      </c>
      <c r="D80" s="7" t="s">
        <v>36</v>
      </c>
      <c r="E80" s="7" t="s">
        <v>36</v>
      </c>
      <c r="F80" s="7" t="s">
        <v>36</v>
      </c>
      <c r="G80" s="7" t="s">
        <v>36</v>
      </c>
      <c r="H80" s="7" t="s">
        <v>36</v>
      </c>
      <c r="I80" s="7" t="s">
        <v>36</v>
      </c>
      <c r="J80" s="7" t="s">
        <v>36</v>
      </c>
      <c r="K80" s="7" t="s">
        <v>53</v>
      </c>
      <c r="L80" s="7" t="s">
        <v>36</v>
      </c>
      <c r="M80" s="7" t="s">
        <v>36</v>
      </c>
      <c r="N80" s="7" t="s">
        <v>36</v>
      </c>
      <c r="O80" s="7" t="s">
        <v>36</v>
      </c>
      <c r="P80" s="7" t="s">
        <v>36</v>
      </c>
      <c r="Q80" s="7" t="s">
        <v>36</v>
      </c>
      <c r="R80" s="7" t="s">
        <v>36</v>
      </c>
      <c r="S80" s="7" t="s">
        <v>36</v>
      </c>
      <c r="T80" s="7" t="s">
        <v>36</v>
      </c>
      <c r="U80" s="7" t="s">
        <v>36</v>
      </c>
    </row>
    <row r="81" spans="1:22" x14ac:dyDescent="0.25">
      <c r="A81" s="3" t="s">
        <v>85</v>
      </c>
      <c r="B81" s="4" t="s">
        <v>36</v>
      </c>
      <c r="C81" s="7" t="s">
        <v>36</v>
      </c>
      <c r="D81" s="7" t="s">
        <v>36</v>
      </c>
      <c r="E81" s="7" t="s">
        <v>36</v>
      </c>
      <c r="F81" s="7" t="s">
        <v>36</v>
      </c>
      <c r="G81" s="7" t="s">
        <v>36</v>
      </c>
      <c r="H81" s="7" t="s">
        <v>36</v>
      </c>
      <c r="I81" s="7" t="s">
        <v>36</v>
      </c>
      <c r="J81" s="7" t="s">
        <v>36</v>
      </c>
      <c r="K81" s="7">
        <v>15</v>
      </c>
      <c r="L81" s="7" t="s">
        <v>36</v>
      </c>
      <c r="M81" s="7" t="s">
        <v>36</v>
      </c>
      <c r="N81" s="7" t="s">
        <v>36</v>
      </c>
      <c r="O81" s="7" t="s">
        <v>36</v>
      </c>
      <c r="P81" s="7" t="s">
        <v>36</v>
      </c>
      <c r="Q81" s="7" t="s">
        <v>36</v>
      </c>
      <c r="R81" s="7" t="s">
        <v>36</v>
      </c>
      <c r="S81" s="7" t="s">
        <v>36</v>
      </c>
      <c r="T81" s="7" t="s">
        <v>36</v>
      </c>
      <c r="U81" s="7" t="s">
        <v>36</v>
      </c>
    </row>
    <row r="82" spans="1:22" x14ac:dyDescent="0.25">
      <c r="A82" s="3" t="s">
        <v>86</v>
      </c>
      <c r="B82" s="4" t="s">
        <v>2</v>
      </c>
      <c r="C82" s="7" t="s">
        <v>36</v>
      </c>
      <c r="D82" s="7" t="s">
        <v>36</v>
      </c>
      <c r="E82" s="7" t="s">
        <v>36</v>
      </c>
      <c r="F82" s="7" t="s">
        <v>36</v>
      </c>
      <c r="G82" s="7" t="s">
        <v>36</v>
      </c>
      <c r="H82" s="7" t="s">
        <v>36</v>
      </c>
      <c r="I82" s="7" t="s">
        <v>36</v>
      </c>
      <c r="J82" s="7" t="s">
        <v>36</v>
      </c>
      <c r="K82" s="7">
        <v>42</v>
      </c>
      <c r="L82" s="7" t="s">
        <v>36</v>
      </c>
      <c r="M82" s="7" t="s">
        <v>36</v>
      </c>
      <c r="N82" s="7" t="s">
        <v>36</v>
      </c>
      <c r="O82" s="7" t="s">
        <v>36</v>
      </c>
      <c r="P82" s="7" t="s">
        <v>36</v>
      </c>
      <c r="Q82" s="7" t="s">
        <v>36</v>
      </c>
      <c r="R82" s="7" t="s">
        <v>36</v>
      </c>
      <c r="S82" s="7" t="s">
        <v>36</v>
      </c>
      <c r="T82" s="7" t="s">
        <v>36</v>
      </c>
      <c r="U82" s="7" t="s">
        <v>36</v>
      </c>
    </row>
    <row r="83" spans="1:22" x14ac:dyDescent="0.25">
      <c r="A83" s="3" t="s">
        <v>87</v>
      </c>
      <c r="B83" s="4" t="s">
        <v>2</v>
      </c>
      <c r="C83" s="7" t="s">
        <v>36</v>
      </c>
      <c r="D83" s="7" t="s">
        <v>36</v>
      </c>
      <c r="E83" s="7" t="s">
        <v>36</v>
      </c>
      <c r="F83" s="7" t="s">
        <v>36</v>
      </c>
      <c r="G83" s="7" t="s">
        <v>36</v>
      </c>
      <c r="H83" s="7" t="s">
        <v>36</v>
      </c>
      <c r="I83" s="7" t="s">
        <v>36</v>
      </c>
      <c r="J83" s="7" t="s">
        <v>36</v>
      </c>
      <c r="K83" s="7">
        <v>-4.9000000000000004</v>
      </c>
      <c r="L83" s="7" t="s">
        <v>36</v>
      </c>
      <c r="M83" s="7" t="s">
        <v>36</v>
      </c>
      <c r="N83" s="7" t="s">
        <v>36</v>
      </c>
      <c r="O83" s="7" t="s">
        <v>36</v>
      </c>
      <c r="P83" s="7" t="s">
        <v>36</v>
      </c>
      <c r="Q83" s="7" t="s">
        <v>36</v>
      </c>
      <c r="R83" s="7" t="s">
        <v>36</v>
      </c>
      <c r="S83" s="7" t="s">
        <v>36</v>
      </c>
      <c r="T83" s="7" t="s">
        <v>36</v>
      </c>
      <c r="U83" s="7" t="s">
        <v>36</v>
      </c>
    </row>
    <row r="84" spans="1:22" x14ac:dyDescent="0.25">
      <c r="A84" s="3" t="s">
        <v>141</v>
      </c>
      <c r="B84" s="4"/>
      <c r="C84" s="33" t="s">
        <v>143</v>
      </c>
      <c r="D84" s="33" t="s">
        <v>143</v>
      </c>
      <c r="E84" s="33" t="s">
        <v>143</v>
      </c>
      <c r="F84" s="33" t="s">
        <v>143</v>
      </c>
      <c r="G84" s="33" t="s">
        <v>143</v>
      </c>
      <c r="H84" s="33" t="s">
        <v>143</v>
      </c>
      <c r="I84" s="33" t="s">
        <v>143</v>
      </c>
      <c r="J84" s="33" t="s">
        <v>143</v>
      </c>
      <c r="K84" s="7" t="s">
        <v>143</v>
      </c>
      <c r="L84" s="33" t="s">
        <v>143</v>
      </c>
      <c r="M84" s="33" t="s">
        <v>143</v>
      </c>
      <c r="N84" s="33" t="s">
        <v>143</v>
      </c>
      <c r="O84" s="33" t="s">
        <v>143</v>
      </c>
      <c r="P84" s="33" t="s">
        <v>143</v>
      </c>
      <c r="Q84" s="33" t="s">
        <v>143</v>
      </c>
      <c r="R84" s="33" t="s">
        <v>143</v>
      </c>
      <c r="S84" s="33" t="s">
        <v>143</v>
      </c>
      <c r="T84" s="33" t="s">
        <v>143</v>
      </c>
      <c r="U84" s="33" t="s">
        <v>143</v>
      </c>
    </row>
    <row r="85" spans="1:22" x14ac:dyDescent="0.25">
      <c r="A85" s="3" t="s">
        <v>152</v>
      </c>
      <c r="B85" s="4" t="s">
        <v>2</v>
      </c>
      <c r="C85" s="7"/>
      <c r="D85" s="7"/>
      <c r="E85" s="7"/>
      <c r="F85" s="7"/>
      <c r="G85" s="7"/>
      <c r="H85" s="7"/>
      <c r="I85" s="7"/>
      <c r="J85" s="7"/>
      <c r="K85" s="7">
        <v>9.6999999999999993</v>
      </c>
      <c r="L85" s="7"/>
      <c r="M85" s="7"/>
      <c r="N85" s="7"/>
      <c r="O85" s="7"/>
      <c r="P85" s="7"/>
      <c r="Q85" s="7"/>
      <c r="R85" s="7"/>
      <c r="S85" s="7"/>
      <c r="T85" s="7"/>
      <c r="U85" s="7"/>
    </row>
    <row r="86" spans="1:22" x14ac:dyDescent="0.25">
      <c r="A86" s="3" t="s">
        <v>212</v>
      </c>
      <c r="B86" s="31" t="s">
        <v>134</v>
      </c>
      <c r="C86" s="7">
        <v>51.916918000000003</v>
      </c>
      <c r="D86" s="7">
        <v>-71.402366000000001</v>
      </c>
      <c r="E86" s="7">
        <v>-70.906437999999994</v>
      </c>
      <c r="F86" s="7">
        <v>53.528829000000002</v>
      </c>
      <c r="G86" s="7">
        <v>-73.534685999999994</v>
      </c>
      <c r="H86" s="7">
        <v>54.262436000000001</v>
      </c>
      <c r="I86" s="7">
        <v>53.739949000000003</v>
      </c>
      <c r="J86" s="7">
        <v>51.497008000000001</v>
      </c>
      <c r="K86" s="7">
        <v>51.645603000000001</v>
      </c>
      <c r="L86" s="7">
        <v>51.955246000000002</v>
      </c>
      <c r="M86" s="7">
        <v>51.865555999999998</v>
      </c>
      <c r="N86" s="7">
        <v>52.611345999999998</v>
      </c>
      <c r="O86" s="7">
        <v>53.319603999999998</v>
      </c>
      <c r="P86" s="7">
        <v>59.991300000000003</v>
      </c>
      <c r="Q86" s="7">
        <v>-89.901449999999997</v>
      </c>
      <c r="R86" s="7">
        <v>-90.034101000000007</v>
      </c>
      <c r="S86" s="7">
        <v>-90.084085999999999</v>
      </c>
      <c r="T86" s="7">
        <v>-90.070252999999994</v>
      </c>
      <c r="U86" s="7">
        <v>45.433847999999998</v>
      </c>
    </row>
    <row r="87" spans="1:22" x14ac:dyDescent="0.25">
      <c r="A87" s="3" t="s">
        <v>211</v>
      </c>
      <c r="B87" s="31" t="s">
        <v>134</v>
      </c>
      <c r="C87" s="7">
        <v>4.5793059999999999</v>
      </c>
      <c r="D87" s="7">
        <v>41.815694000000001</v>
      </c>
      <c r="E87" s="7">
        <v>41.624293000000002</v>
      </c>
      <c r="F87" s="7">
        <v>10.044206000000001</v>
      </c>
      <c r="G87" s="7">
        <v>41.037000999999997</v>
      </c>
      <c r="H87" s="7">
        <v>8.8454139999999999</v>
      </c>
      <c r="I87" s="7">
        <v>-0.33096500000000001</v>
      </c>
      <c r="J87" s="7">
        <v>3.6891E-2</v>
      </c>
      <c r="K87" s="7">
        <v>3.7169150000000002</v>
      </c>
      <c r="L87" s="7">
        <v>4.1623799999999997</v>
      </c>
      <c r="M87" s="7">
        <v>4.3073040000000002</v>
      </c>
      <c r="N87" s="7">
        <v>5.8406339999999997</v>
      </c>
      <c r="O87" s="7">
        <v>7.3068710000000001</v>
      </c>
      <c r="P87" s="7">
        <v>29.695761999999998</v>
      </c>
      <c r="Q87" s="7">
        <v>30.014060000000001</v>
      </c>
      <c r="R87" s="7">
        <v>30.030448</v>
      </c>
      <c r="S87" s="7">
        <v>29.909808999999999</v>
      </c>
      <c r="T87" s="7">
        <v>29.815966</v>
      </c>
      <c r="U87" s="7">
        <v>12.411545</v>
      </c>
    </row>
    <row r="88" spans="1:22" x14ac:dyDescent="0.25">
      <c r="A88" s="3" t="s">
        <v>153</v>
      </c>
      <c r="B88" s="31" t="s">
        <v>36</v>
      </c>
      <c r="C88" s="7" t="s">
        <v>155</v>
      </c>
      <c r="D88" s="7" t="s">
        <v>155</v>
      </c>
      <c r="E88" s="7" t="s">
        <v>154</v>
      </c>
      <c r="F88" s="7" t="s">
        <v>156</v>
      </c>
      <c r="G88" s="7" t="s">
        <v>156</v>
      </c>
      <c r="H88" s="7" t="s">
        <v>154</v>
      </c>
      <c r="I88" s="7" t="s">
        <v>155</v>
      </c>
      <c r="J88" s="7" t="s">
        <v>155</v>
      </c>
      <c r="K88" s="7" t="s">
        <v>154</v>
      </c>
      <c r="L88" s="7" t="s">
        <v>155</v>
      </c>
      <c r="M88" s="7" t="s">
        <v>155</v>
      </c>
      <c r="N88" s="7" t="s">
        <v>155</v>
      </c>
      <c r="O88" s="7" t="s">
        <v>155</v>
      </c>
      <c r="P88" s="7" t="s">
        <v>154</v>
      </c>
      <c r="Q88" s="7" t="s">
        <v>156</v>
      </c>
      <c r="R88" s="7" t="s">
        <v>156</v>
      </c>
      <c r="S88" s="7" t="s">
        <v>156</v>
      </c>
      <c r="T88" s="7" t="s">
        <v>156</v>
      </c>
      <c r="U88" s="7" t="s">
        <v>154</v>
      </c>
    </row>
    <row r="89" spans="1:22" ht="60" x14ac:dyDescent="0.25">
      <c r="A89" s="3" t="s">
        <v>167</v>
      </c>
      <c r="B89" s="31" t="s">
        <v>36</v>
      </c>
      <c r="C89" s="7" t="s">
        <v>19</v>
      </c>
      <c r="D89" s="7" t="s">
        <v>178</v>
      </c>
      <c r="E89" s="7" t="s">
        <v>19</v>
      </c>
      <c r="F89" s="7" t="s">
        <v>168</v>
      </c>
      <c r="G89" s="7" t="s">
        <v>19</v>
      </c>
      <c r="H89" s="7" t="s">
        <v>173</v>
      </c>
      <c r="I89" s="7" t="s">
        <v>19</v>
      </c>
      <c r="J89" s="7" t="s">
        <v>174</v>
      </c>
      <c r="K89" s="7" t="s">
        <v>175</v>
      </c>
      <c r="L89" s="7" t="s">
        <v>19</v>
      </c>
      <c r="M89" s="7" t="s">
        <v>19</v>
      </c>
      <c r="N89" s="7" t="s">
        <v>176</v>
      </c>
      <c r="O89" s="7" t="s">
        <v>178</v>
      </c>
      <c r="P89" s="7" t="s">
        <v>177</v>
      </c>
      <c r="Q89" s="7" t="s">
        <v>19</v>
      </c>
      <c r="R89" s="7" t="s">
        <v>179</v>
      </c>
      <c r="S89" s="7" t="s">
        <v>19</v>
      </c>
      <c r="T89" s="7" t="s">
        <v>19</v>
      </c>
      <c r="U89" s="7" t="s">
        <v>178</v>
      </c>
    </row>
    <row r="90" spans="1:22" x14ac:dyDescent="0.25">
      <c r="A90" s="3" t="s">
        <v>180</v>
      </c>
      <c r="B90" s="31" t="s">
        <v>36</v>
      </c>
      <c r="C90" s="7" t="s">
        <v>205</v>
      </c>
      <c r="D90" s="7" t="s">
        <v>196</v>
      </c>
      <c r="E90" s="7" t="s">
        <v>181</v>
      </c>
      <c r="F90" s="7" t="s">
        <v>204</v>
      </c>
      <c r="G90" s="7" t="s">
        <v>182</v>
      </c>
      <c r="H90" s="7" t="s">
        <v>183</v>
      </c>
      <c r="I90" s="7" t="s">
        <v>184</v>
      </c>
      <c r="J90" s="7" t="s">
        <v>185</v>
      </c>
      <c r="K90" s="7" t="s">
        <v>206</v>
      </c>
      <c r="L90" s="7" t="s">
        <v>186</v>
      </c>
      <c r="M90" s="7" t="s">
        <v>187</v>
      </c>
      <c r="N90" s="7" t="s">
        <v>188</v>
      </c>
      <c r="O90" s="7" t="s">
        <v>189</v>
      </c>
      <c r="P90" s="7" t="s">
        <v>195</v>
      </c>
      <c r="Q90" s="7" t="s">
        <v>190</v>
      </c>
      <c r="R90" s="7" t="s">
        <v>191</v>
      </c>
      <c r="S90" s="7" t="s">
        <v>194</v>
      </c>
      <c r="T90" s="7" t="s">
        <v>192</v>
      </c>
      <c r="U90" s="7" t="s">
        <v>193</v>
      </c>
    </row>
    <row r="91" spans="1:22" x14ac:dyDescent="0.25">
      <c r="A91" s="3" t="s">
        <v>197</v>
      </c>
      <c r="B91" s="31" t="s">
        <v>36</v>
      </c>
      <c r="C91" s="32"/>
      <c r="D91" s="32"/>
      <c r="E91" s="32"/>
      <c r="F91" s="32"/>
      <c r="G91" s="32"/>
      <c r="H91" s="32"/>
      <c r="I91" s="32"/>
      <c r="J91" s="32"/>
      <c r="K91" s="32"/>
      <c r="L91" s="32"/>
      <c r="M91" s="32"/>
      <c r="N91" s="32"/>
      <c r="O91" s="32"/>
      <c r="P91" s="32"/>
      <c r="Q91" s="32"/>
      <c r="R91" s="32"/>
      <c r="S91" s="32"/>
      <c r="T91" s="32"/>
      <c r="U91" s="32"/>
    </row>
    <row r="92" spans="1:22" x14ac:dyDescent="0.25">
      <c r="A92" s="3" t="s">
        <v>198</v>
      </c>
      <c r="B92" s="31" t="s">
        <v>36</v>
      </c>
      <c r="C92" s="7" t="s">
        <v>143</v>
      </c>
      <c r="D92" s="7" t="s">
        <v>142</v>
      </c>
      <c r="E92" s="7" t="s">
        <v>142</v>
      </c>
      <c r="F92" s="7" t="s">
        <v>143</v>
      </c>
      <c r="G92" s="7" t="s">
        <v>142</v>
      </c>
      <c r="H92" s="7" t="s">
        <v>143</v>
      </c>
      <c r="I92" s="7" t="s">
        <v>143</v>
      </c>
      <c r="J92" s="7" t="s">
        <v>143</v>
      </c>
      <c r="K92" s="7" t="s">
        <v>143</v>
      </c>
      <c r="L92" s="7" t="s">
        <v>143</v>
      </c>
      <c r="M92" s="7" t="s">
        <v>143</v>
      </c>
      <c r="N92" s="7" t="s">
        <v>143</v>
      </c>
      <c r="O92" s="7" t="s">
        <v>142</v>
      </c>
      <c r="P92" s="7" t="s">
        <v>143</v>
      </c>
      <c r="Q92" s="7" t="s">
        <v>143</v>
      </c>
      <c r="R92" s="7" t="s">
        <v>143</v>
      </c>
      <c r="S92" s="7" t="s">
        <v>143</v>
      </c>
      <c r="T92" s="7" t="s">
        <v>142</v>
      </c>
      <c r="U92" s="7" t="s">
        <v>143</v>
      </c>
    </row>
    <row r="93" spans="1:22" x14ac:dyDescent="0.25">
      <c r="A93" s="3" t="s">
        <v>200</v>
      </c>
      <c r="B93" s="4" t="s">
        <v>133</v>
      </c>
      <c r="C93" s="7"/>
      <c r="D93" s="7">
        <v>198</v>
      </c>
      <c r="E93" s="7">
        <v>6.5</v>
      </c>
      <c r="F93" s="7"/>
      <c r="G93" s="7">
        <v>22.5</v>
      </c>
      <c r="H93" s="7"/>
      <c r="I93" s="7"/>
      <c r="J93" s="7"/>
      <c r="K93" s="7"/>
      <c r="L93" s="7"/>
      <c r="M93" s="7"/>
      <c r="N93" s="7"/>
      <c r="O93" s="7">
        <v>100</v>
      </c>
      <c r="P93" s="7"/>
      <c r="Q93" s="7"/>
      <c r="R93" s="7"/>
      <c r="S93" s="7"/>
      <c r="T93" s="37">
        <v>542</v>
      </c>
      <c r="U93" s="7"/>
    </row>
    <row r="94" spans="1:22" ht="30" x14ac:dyDescent="0.25">
      <c r="A94" s="3" t="s">
        <v>201</v>
      </c>
      <c r="B94" s="31" t="s">
        <v>36</v>
      </c>
      <c r="C94" s="7" t="s">
        <v>208</v>
      </c>
      <c r="D94" s="7" t="s">
        <v>202</v>
      </c>
      <c r="E94" s="7" t="s">
        <v>209</v>
      </c>
      <c r="F94" s="7" t="s">
        <v>313</v>
      </c>
      <c r="G94" s="7" t="s">
        <v>210</v>
      </c>
      <c r="H94" s="7" t="s">
        <v>313</v>
      </c>
      <c r="I94" s="7" t="s">
        <v>210</v>
      </c>
      <c r="J94" s="7" t="s">
        <v>207</v>
      </c>
      <c r="K94" s="7" t="s">
        <v>207</v>
      </c>
      <c r="L94" s="7" t="s">
        <v>207</v>
      </c>
      <c r="M94" s="7" t="s">
        <v>208</v>
      </c>
      <c r="N94" s="7" t="s">
        <v>208</v>
      </c>
      <c r="O94" s="7" t="s">
        <v>208</v>
      </c>
      <c r="P94" s="7" t="s">
        <v>207</v>
      </c>
      <c r="Q94" s="7" t="s">
        <v>208</v>
      </c>
      <c r="R94" s="7" t="s">
        <v>202</v>
      </c>
      <c r="S94" s="7" t="s">
        <v>202</v>
      </c>
      <c r="T94" s="7" t="s">
        <v>202</v>
      </c>
      <c r="U94" s="7" t="s">
        <v>207</v>
      </c>
    </row>
    <row r="95" spans="1:22" x14ac:dyDescent="0.25">
      <c r="A95" s="3" t="s">
        <v>317</v>
      </c>
      <c r="B95" s="4" t="s">
        <v>254</v>
      </c>
      <c r="C95" s="38">
        <f>(157000*C15+102000*C16+26000*C17)/1000000</f>
        <v>199.77449830915967</v>
      </c>
      <c r="D95" s="38">
        <f t="shared" ref="D95:U95" si="4">(157000*D15+102000*D16+26000*D17)/1000000</f>
        <v>119.095</v>
      </c>
      <c r="E95" s="38">
        <f t="shared" si="4"/>
        <v>866.40899999999999</v>
      </c>
      <c r="F95" s="7" t="s">
        <v>313</v>
      </c>
      <c r="G95" s="38">
        <f t="shared" si="4"/>
        <v>265.5</v>
      </c>
      <c r="H95" s="38">
        <f t="shared" si="4"/>
        <v>960.91450000000009</v>
      </c>
      <c r="I95" s="38">
        <f t="shared" si="4"/>
        <v>65.707370887603204</v>
      </c>
      <c r="J95" s="38">
        <f t="shared" si="4"/>
        <v>977.72778366333444</v>
      </c>
      <c r="K95" s="38">
        <f t="shared" si="4"/>
        <v>5541.3743999999997</v>
      </c>
      <c r="L95" s="38">
        <f t="shared" si="4"/>
        <v>3028.5053989642597</v>
      </c>
      <c r="M95" s="38">
        <f t="shared" si="4"/>
        <v>343.70474999999999</v>
      </c>
      <c r="N95" s="38">
        <f t="shared" si="4"/>
        <v>501.1921999999999</v>
      </c>
      <c r="O95" s="38">
        <f t="shared" si="4"/>
        <v>757.0838</v>
      </c>
      <c r="P95" s="38">
        <f t="shared" si="4"/>
        <v>7057.099518</v>
      </c>
      <c r="Q95" s="38">
        <f t="shared" si="4"/>
        <v>1065.8916999999999</v>
      </c>
      <c r="R95" s="38">
        <f t="shared" si="4"/>
        <v>156.38480000000001</v>
      </c>
      <c r="S95" s="38">
        <f t="shared" si="4"/>
        <v>106.40249248000001</v>
      </c>
      <c r="T95" s="38">
        <f t="shared" si="4"/>
        <v>506.42045999999999</v>
      </c>
      <c r="U95" s="38">
        <f t="shared" si="4"/>
        <v>3102.72</v>
      </c>
    </row>
    <row r="96" spans="1:22" x14ac:dyDescent="0.25">
      <c r="A96" s="3" t="s">
        <v>319</v>
      </c>
      <c r="B96" s="31" t="s">
        <v>315</v>
      </c>
      <c r="C96" s="68">
        <f>(C95-$C$12)/$C$12</f>
        <v>0.4465930362719745</v>
      </c>
      <c r="D96" s="68">
        <f t="shared" ref="D96:K96" si="5">(D95-D12)/D12</f>
        <v>-0.11911982248520704</v>
      </c>
      <c r="E96" s="68">
        <f t="shared" si="5"/>
        <v>4.0578458844133092</v>
      </c>
      <c r="F96" s="68"/>
      <c r="G96" s="68">
        <f t="shared" si="5"/>
        <v>1.4447513812154698</v>
      </c>
      <c r="H96" s="68">
        <f t="shared" si="5"/>
        <v>0.83766398929049557</v>
      </c>
      <c r="I96" s="68">
        <f t="shared" si="5"/>
        <v>2.6342572393585848</v>
      </c>
      <c r="J96" s="68">
        <f t="shared" si="5"/>
        <v>-0.31483687199486027</v>
      </c>
      <c r="K96" s="68">
        <f t="shared" si="5"/>
        <v>9.88249851279E-2</v>
      </c>
      <c r="L96" s="68">
        <f t="shared" ref="L96" si="6">(L95-L12)/L12</f>
        <v>2.5810634964695036</v>
      </c>
      <c r="M96" s="68">
        <f t="shared" ref="M96" si="7">(M95-M12)/M12</f>
        <v>0.86593241042345281</v>
      </c>
      <c r="N96" s="68">
        <f t="shared" ref="N96" si="8">(N95-N12)/N12</f>
        <v>2.3038378378378375</v>
      </c>
      <c r="O96" s="68">
        <f t="shared" ref="O96" si="9">(O95-O12)/O12</f>
        <v>0.72064499999999998</v>
      </c>
      <c r="P96" s="68">
        <f t="shared" ref="P96" si="10">(P95-P12)/P12</f>
        <v>-4.1545631128616055E-2</v>
      </c>
      <c r="Q96" s="68">
        <f t="shared" ref="Q96" si="11">(Q95-Q12)/Q12</f>
        <v>-0.21798114453411599</v>
      </c>
      <c r="R96" s="68">
        <f t="shared" ref="R96:S96" si="12">(R95-R12)/R12</f>
        <v>-0.13022914349276973</v>
      </c>
      <c r="S96" s="68">
        <f t="shared" si="12"/>
        <v>1.1803789442622954</v>
      </c>
      <c r="T96" s="68">
        <f t="shared" ref="T96" si="13">(T95-T12)/T12</f>
        <v>0.24642003445729752</v>
      </c>
      <c r="U96" s="68">
        <f t="shared" ref="U96" si="14">(U95-U12)/U12</f>
        <v>-0.43586909090909093</v>
      </c>
      <c r="V96" s="72">
        <f>AVERAGE(C96:U96)</f>
        <v>0.8977018074768589</v>
      </c>
    </row>
    <row r="97" spans="22:22" x14ac:dyDescent="0.25">
      <c r="V97" s="69"/>
    </row>
  </sheetData>
  <conditionalFormatting sqref="C9:U11">
    <cfRule type="cellIs" dxfId="0" priority="1" operator="equal">
      <formula>-999</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32"/>
  <sheetViews>
    <sheetView zoomScale="85" zoomScaleNormal="85" workbookViewId="0">
      <selection activeCell="A14" sqref="A14"/>
    </sheetView>
  </sheetViews>
  <sheetFormatPr defaultRowHeight="15" x14ac:dyDescent="0.25"/>
  <cols>
    <col min="1" max="1" width="15.140625" customWidth="1"/>
    <col min="2" max="2" width="3.140625" style="20" bestFit="1" customWidth="1"/>
    <col min="3" max="3" width="30.140625" customWidth="1"/>
    <col min="4" max="4" width="9.140625" customWidth="1"/>
    <col min="5" max="5" width="9.85546875" customWidth="1"/>
    <col min="6" max="9" width="14" style="21" customWidth="1"/>
    <col min="10" max="10" width="9.5703125" style="21" customWidth="1"/>
    <col min="11" max="11" width="10.85546875" customWidth="1"/>
    <col min="12" max="12" width="9.85546875" customWidth="1"/>
    <col min="13" max="13" width="17.85546875" customWidth="1"/>
    <col min="14" max="14" width="8.140625" customWidth="1"/>
    <col min="15" max="15" width="21.85546875" customWidth="1"/>
    <col min="16" max="16" width="15.140625" style="40" customWidth="1"/>
    <col min="17" max="17" width="21.85546875" style="40" customWidth="1"/>
  </cols>
  <sheetData>
    <row r="1" spans="1:19" x14ac:dyDescent="0.25">
      <c r="A1" s="29" t="s">
        <v>247</v>
      </c>
      <c r="C1" s="29" t="s">
        <v>309</v>
      </c>
      <c r="D1" s="29"/>
      <c r="E1" s="30"/>
      <c r="F1" s="29"/>
      <c r="G1"/>
      <c r="H1" s="40"/>
      <c r="I1" s="40"/>
      <c r="J1"/>
    </row>
    <row r="2" spans="1:19" x14ac:dyDescent="0.25">
      <c r="A2" s="29" t="s">
        <v>246</v>
      </c>
      <c r="C2" s="29" t="s">
        <v>307</v>
      </c>
      <c r="D2" s="29"/>
      <c r="E2" s="30"/>
      <c r="F2" s="29"/>
      <c r="G2"/>
      <c r="H2" s="40"/>
      <c r="I2" s="40"/>
      <c r="J2"/>
    </row>
    <row r="3" spans="1:19" x14ac:dyDescent="0.25">
      <c r="A3" s="29" t="s">
        <v>245</v>
      </c>
      <c r="C3" s="29" t="s">
        <v>308</v>
      </c>
      <c r="D3" s="29"/>
      <c r="E3" s="30"/>
      <c r="F3" s="29"/>
      <c r="G3"/>
      <c r="H3" s="40"/>
      <c r="I3" s="40"/>
      <c r="J3"/>
    </row>
    <row r="4" spans="1:19" x14ac:dyDescent="0.25">
      <c r="A4" s="29" t="s">
        <v>249</v>
      </c>
      <c r="C4" s="29" t="s">
        <v>253</v>
      </c>
      <c r="D4" s="29"/>
      <c r="E4" s="30"/>
      <c r="F4" s="29"/>
      <c r="G4"/>
      <c r="H4" s="40"/>
      <c r="I4" s="40"/>
      <c r="J4"/>
    </row>
    <row r="5" spans="1:19" x14ac:dyDescent="0.25">
      <c r="A5" s="29" t="s">
        <v>250</v>
      </c>
      <c r="C5" s="29" t="s">
        <v>318</v>
      </c>
      <c r="D5" s="29"/>
      <c r="E5" s="30"/>
      <c r="F5" s="29"/>
      <c r="G5"/>
      <c r="H5" s="40"/>
      <c r="I5" s="40"/>
      <c r="J5"/>
    </row>
    <row r="6" spans="1:19" ht="42" customHeight="1" x14ac:dyDescent="0.25">
      <c r="C6" s="74"/>
      <c r="D6" s="74"/>
      <c r="E6" s="74"/>
      <c r="F6" s="74"/>
      <c r="G6"/>
      <c r="H6" s="40"/>
      <c r="I6" s="40"/>
      <c r="J6"/>
    </row>
    <row r="7" spans="1:19" ht="52.5" customHeight="1" x14ac:dyDescent="0.25">
      <c r="B7" s="22"/>
      <c r="C7" s="22" t="s">
        <v>215</v>
      </c>
      <c r="D7" s="56" t="s">
        <v>300</v>
      </c>
      <c r="E7" s="56" t="s">
        <v>276</v>
      </c>
      <c r="F7" s="56" t="s">
        <v>324</v>
      </c>
      <c r="G7" s="56" t="s">
        <v>303</v>
      </c>
      <c r="H7" s="56" t="s">
        <v>321</v>
      </c>
      <c r="I7" s="56" t="s">
        <v>322</v>
      </c>
      <c r="J7" s="56" t="s">
        <v>301</v>
      </c>
      <c r="K7" s="56" t="s">
        <v>277</v>
      </c>
      <c r="L7" s="56" t="s">
        <v>278</v>
      </c>
      <c r="M7" s="56" t="s">
        <v>279</v>
      </c>
      <c r="N7" s="56" t="s">
        <v>302</v>
      </c>
      <c r="O7" s="56" t="s">
        <v>280</v>
      </c>
      <c r="P7" s="56" t="s">
        <v>304</v>
      </c>
      <c r="Q7" s="56" t="s">
        <v>305</v>
      </c>
      <c r="R7" s="73"/>
      <c r="S7" s="73"/>
    </row>
    <row r="8" spans="1:19" x14ac:dyDescent="0.25">
      <c r="B8" s="22">
        <v>1</v>
      </c>
      <c r="C8" s="41" t="s">
        <v>281</v>
      </c>
      <c r="D8" s="53">
        <v>40</v>
      </c>
      <c r="E8" s="53" t="s">
        <v>299</v>
      </c>
      <c r="F8" s="53">
        <v>1956</v>
      </c>
      <c r="G8" s="53">
        <v>0.26</v>
      </c>
      <c r="H8" s="53">
        <v>692</v>
      </c>
      <c r="I8" s="53">
        <v>3237</v>
      </c>
      <c r="J8" s="60">
        <v>270.10000000000002</v>
      </c>
      <c r="K8" s="60">
        <v>881.4</v>
      </c>
      <c r="L8" s="54">
        <f>K8/J8*D8*G8*I8/H8</f>
        <v>158.75170788810823</v>
      </c>
      <c r="M8" s="55">
        <f>ROUND(L8*1000000,-5)</f>
        <v>158800000</v>
      </c>
      <c r="N8" s="53">
        <v>1.1499999999999999</v>
      </c>
      <c r="O8" s="57">
        <f>ROUND(M8/N8,-5)</f>
        <v>138100000</v>
      </c>
      <c r="P8" s="53">
        <v>121.8</v>
      </c>
      <c r="Q8" s="58">
        <f>ROUND(O8/P8,-5)/1000000</f>
        <v>1.1000000000000001</v>
      </c>
    </row>
    <row r="9" spans="1:19" x14ac:dyDescent="0.25">
      <c r="B9" s="22">
        <v>2</v>
      </c>
      <c r="C9" s="41" t="s">
        <v>255</v>
      </c>
      <c r="D9" s="53">
        <v>15</v>
      </c>
      <c r="E9" s="53" t="s">
        <v>282</v>
      </c>
      <c r="F9" s="53">
        <v>1966</v>
      </c>
      <c r="G9" s="53">
        <v>1</v>
      </c>
      <c r="H9" s="53">
        <v>1019</v>
      </c>
      <c r="I9" s="53">
        <v>3237</v>
      </c>
      <c r="J9" s="60">
        <f>J8</f>
        <v>270.10000000000002</v>
      </c>
      <c r="K9" s="59">
        <f>K8</f>
        <v>881.4</v>
      </c>
      <c r="L9" s="54">
        <f t="shared" ref="L9:L11" si="0">K9/J9*D9*G9*I9/H9</f>
        <v>155.49206687160898</v>
      </c>
      <c r="M9" s="55">
        <f t="shared" ref="M9:M24" si="1">ROUND(L9*1000000,-5)</f>
        <v>155500000</v>
      </c>
      <c r="N9" s="53">
        <v>1.1499999999999999</v>
      </c>
      <c r="O9" s="57">
        <f t="shared" ref="O9:O24" si="2">ROUND(M9/N9,-5)</f>
        <v>135200000</v>
      </c>
      <c r="P9" s="53">
        <v>44.599999999999994</v>
      </c>
      <c r="Q9" s="58">
        <f t="shared" ref="Q9:Q25" si="3">ROUND(O9/P9,-5)/1000000</f>
        <v>3</v>
      </c>
    </row>
    <row r="10" spans="1:19" x14ac:dyDescent="0.25">
      <c r="B10" s="22">
        <v>3</v>
      </c>
      <c r="C10" s="41" t="s">
        <v>283</v>
      </c>
      <c r="D10" s="53">
        <v>19</v>
      </c>
      <c r="E10" s="53" t="s">
        <v>282</v>
      </c>
      <c r="F10" s="53">
        <v>1966</v>
      </c>
      <c r="G10" s="53">
        <v>1</v>
      </c>
      <c r="H10" s="53">
        <v>1019</v>
      </c>
      <c r="I10" s="53">
        <v>3237</v>
      </c>
      <c r="J10" s="60">
        <f t="shared" ref="J10:J13" si="4">J9</f>
        <v>270.10000000000002</v>
      </c>
      <c r="K10" s="59">
        <f t="shared" ref="K10:K25" si="5">K9</f>
        <v>881.4</v>
      </c>
      <c r="L10" s="54">
        <f t="shared" si="0"/>
        <v>196.95661803737138</v>
      </c>
      <c r="M10" s="55">
        <f t="shared" si="1"/>
        <v>197000000</v>
      </c>
      <c r="N10" s="53">
        <v>1.1499999999999999</v>
      </c>
      <c r="O10" s="57">
        <f t="shared" si="2"/>
        <v>171300000</v>
      </c>
      <c r="P10" s="53">
        <v>110</v>
      </c>
      <c r="Q10" s="58">
        <f t="shared" si="3"/>
        <v>1.6</v>
      </c>
    </row>
    <row r="11" spans="1:19" x14ac:dyDescent="0.25">
      <c r="B11" s="22">
        <v>4</v>
      </c>
      <c r="C11" s="41" t="s">
        <v>284</v>
      </c>
      <c r="D11" s="53">
        <v>15</v>
      </c>
      <c r="E11" s="53" t="s">
        <v>282</v>
      </c>
      <c r="F11" s="53">
        <v>1969</v>
      </c>
      <c r="G11" s="53">
        <v>1</v>
      </c>
      <c r="H11" s="53">
        <v>1269</v>
      </c>
      <c r="I11" s="53">
        <v>3237</v>
      </c>
      <c r="J11" s="60">
        <f t="shared" si="4"/>
        <v>270.10000000000002</v>
      </c>
      <c r="K11" s="59">
        <f t="shared" si="5"/>
        <v>881.4</v>
      </c>
      <c r="L11" s="54">
        <f t="shared" si="0"/>
        <v>124.85927197964504</v>
      </c>
      <c r="M11" s="55">
        <f t="shared" si="1"/>
        <v>124900000</v>
      </c>
      <c r="N11" s="53">
        <v>1.1499999999999999</v>
      </c>
      <c r="O11" s="57">
        <f t="shared" si="2"/>
        <v>108600000</v>
      </c>
      <c r="P11" s="53">
        <v>30</v>
      </c>
      <c r="Q11" s="58">
        <f t="shared" si="3"/>
        <v>3.6</v>
      </c>
    </row>
    <row r="12" spans="1:19" x14ac:dyDescent="0.25">
      <c r="B12" s="22">
        <v>5</v>
      </c>
      <c r="C12" s="41" t="s">
        <v>285</v>
      </c>
      <c r="D12" s="53">
        <v>87</v>
      </c>
      <c r="E12" s="53" t="s">
        <v>286</v>
      </c>
      <c r="F12" s="53">
        <v>1973</v>
      </c>
      <c r="G12" s="53">
        <v>1.24</v>
      </c>
      <c r="H12" s="53">
        <v>1895</v>
      </c>
      <c r="I12" s="53">
        <v>3237</v>
      </c>
      <c r="J12" s="60">
        <f t="shared" si="4"/>
        <v>270.10000000000002</v>
      </c>
      <c r="K12" s="59">
        <f t="shared" si="5"/>
        <v>881.4</v>
      </c>
      <c r="L12" s="54">
        <f>K12/J12*D12*G12*I12/H12</f>
        <v>601.34386537967453</v>
      </c>
      <c r="M12" s="55">
        <f t="shared" si="1"/>
        <v>601300000</v>
      </c>
      <c r="N12" s="53">
        <v>1.1499999999999999</v>
      </c>
      <c r="O12" s="57">
        <f t="shared" si="2"/>
        <v>522900000</v>
      </c>
      <c r="P12" s="53">
        <v>258</v>
      </c>
      <c r="Q12" s="58">
        <f t="shared" si="3"/>
        <v>2</v>
      </c>
    </row>
    <row r="13" spans="1:19" x14ac:dyDescent="0.25">
      <c r="B13" s="22">
        <v>6</v>
      </c>
      <c r="C13" s="41" t="s">
        <v>287</v>
      </c>
      <c r="D13" s="53">
        <v>2.7</v>
      </c>
      <c r="E13" s="53" t="s">
        <v>288</v>
      </c>
      <c r="F13" s="53">
        <v>1980</v>
      </c>
      <c r="G13" s="53">
        <v>2.36</v>
      </c>
      <c r="H13" s="53" t="s">
        <v>323</v>
      </c>
      <c r="I13" s="53" t="s">
        <v>323</v>
      </c>
      <c r="J13" s="60">
        <f t="shared" si="4"/>
        <v>270.10000000000002</v>
      </c>
      <c r="K13" s="59">
        <f t="shared" si="5"/>
        <v>881.4</v>
      </c>
      <c r="L13" s="54">
        <f>K13/J13*D13*G13</f>
        <v>20.793338763420952</v>
      </c>
      <c r="M13" s="55">
        <f>ROUND(L13*1000000,-4)</f>
        <v>20790000</v>
      </c>
      <c r="N13" s="53">
        <v>1.1499999999999999</v>
      </c>
      <c r="O13" s="57">
        <f>ROUND(M13/N13,-4)</f>
        <v>18080000</v>
      </c>
      <c r="P13" s="53">
        <v>40.700000000000003</v>
      </c>
      <c r="Q13" s="58">
        <f t="shared" si="3"/>
        <v>0.4</v>
      </c>
    </row>
    <row r="14" spans="1:19" x14ac:dyDescent="0.25">
      <c r="B14" s="22">
        <v>7</v>
      </c>
      <c r="C14" s="41" t="s">
        <v>289</v>
      </c>
      <c r="D14" s="53">
        <v>467</v>
      </c>
      <c r="E14" s="53" t="s">
        <v>288</v>
      </c>
      <c r="F14" s="53">
        <v>1984</v>
      </c>
      <c r="G14" s="53">
        <v>1.35</v>
      </c>
      <c r="H14" s="53" t="s">
        <v>323</v>
      </c>
      <c r="I14" s="53" t="s">
        <v>323</v>
      </c>
      <c r="J14" s="59">
        <v>338.7</v>
      </c>
      <c r="K14" s="59">
        <f t="shared" si="5"/>
        <v>881.4</v>
      </c>
      <c r="L14" s="54">
        <f t="shared" ref="L14:L25" si="6">K14/J14*D14*G14</f>
        <v>1640.6218777679362</v>
      </c>
      <c r="M14" s="55">
        <f>ROUND(L14*1000000,-6)</f>
        <v>1641000000</v>
      </c>
      <c r="N14" s="53">
        <v>1.1499999999999999</v>
      </c>
      <c r="O14" s="57">
        <f>ROUND(M14/N14,-6)</f>
        <v>1427000000</v>
      </c>
      <c r="P14" s="53">
        <v>523.70000000000005</v>
      </c>
      <c r="Q14" s="58">
        <f t="shared" si="3"/>
        <v>2.7</v>
      </c>
    </row>
    <row r="15" spans="1:19" x14ac:dyDescent="0.25">
      <c r="B15" s="22">
        <v>8</v>
      </c>
      <c r="C15" s="41" t="s">
        <v>290</v>
      </c>
      <c r="D15" s="53">
        <v>2360</v>
      </c>
      <c r="E15" s="53" t="s">
        <v>286</v>
      </c>
      <c r="F15" s="53">
        <v>1986</v>
      </c>
      <c r="G15" s="53">
        <v>0.97</v>
      </c>
      <c r="H15" s="53" t="s">
        <v>323</v>
      </c>
      <c r="I15" s="53" t="s">
        <v>323</v>
      </c>
      <c r="J15" s="53">
        <v>347.9</v>
      </c>
      <c r="K15" s="59">
        <f t="shared" si="5"/>
        <v>881.4</v>
      </c>
      <c r="L15" s="54">
        <f t="shared" si="6"/>
        <v>5799.6576027594137</v>
      </c>
      <c r="M15" s="55">
        <f>ROUND(L15*1000000,-6)</f>
        <v>5800000000</v>
      </c>
      <c r="N15" s="53">
        <v>1.1499999999999999</v>
      </c>
      <c r="O15" s="57">
        <f>ROUND(M15/N15,-6)</f>
        <v>5043000000</v>
      </c>
      <c r="P15" s="53">
        <v>2806</v>
      </c>
      <c r="Q15" s="58">
        <f t="shared" si="3"/>
        <v>1.8</v>
      </c>
    </row>
    <row r="16" spans="1:19" x14ac:dyDescent="0.25">
      <c r="B16" s="22">
        <v>9</v>
      </c>
      <c r="C16" s="41" t="s">
        <v>291</v>
      </c>
      <c r="D16" s="53">
        <v>450</v>
      </c>
      <c r="E16" s="53" t="s">
        <v>286</v>
      </c>
      <c r="F16" s="53">
        <v>1997</v>
      </c>
      <c r="G16" s="53">
        <v>1.1299999999999999</v>
      </c>
      <c r="H16" s="53" t="s">
        <v>323</v>
      </c>
      <c r="I16" s="53" t="s">
        <v>323</v>
      </c>
      <c r="J16" s="53">
        <v>460.8</v>
      </c>
      <c r="K16" s="59">
        <f t="shared" si="5"/>
        <v>881.4</v>
      </c>
      <c r="L16" s="54">
        <f>K16/J16*D16*G16</f>
        <v>972.63867187499977</v>
      </c>
      <c r="M16" s="55">
        <f t="shared" si="1"/>
        <v>972600000</v>
      </c>
      <c r="N16" s="53">
        <v>1.1499999999999999</v>
      </c>
      <c r="O16" s="57">
        <f t="shared" si="2"/>
        <v>845700000</v>
      </c>
      <c r="P16" s="53">
        <v>849.99999999999989</v>
      </c>
      <c r="Q16" s="58">
        <f t="shared" si="3"/>
        <v>1</v>
      </c>
    </row>
    <row r="17" spans="2:17" x14ac:dyDescent="0.25">
      <c r="B17" s="22">
        <v>10</v>
      </c>
      <c r="C17" s="41" t="s">
        <v>292</v>
      </c>
      <c r="D17" s="53">
        <v>98</v>
      </c>
      <c r="E17" s="53" t="s">
        <v>286</v>
      </c>
      <c r="F17" s="53">
        <v>1997</v>
      </c>
      <c r="G17" s="53">
        <v>1.1299999999999999</v>
      </c>
      <c r="H17" s="53" t="s">
        <v>323</v>
      </c>
      <c r="I17" s="53" t="s">
        <v>323</v>
      </c>
      <c r="J17" s="53">
        <v>460.8</v>
      </c>
      <c r="K17" s="59">
        <f t="shared" si="5"/>
        <v>881.4</v>
      </c>
      <c r="L17" s="54">
        <f t="shared" si="6"/>
        <v>211.81908854166662</v>
      </c>
      <c r="M17" s="55">
        <f t="shared" si="1"/>
        <v>211800000</v>
      </c>
      <c r="N17" s="53">
        <v>1.1499999999999999</v>
      </c>
      <c r="O17" s="57">
        <f t="shared" si="2"/>
        <v>184200000</v>
      </c>
      <c r="P17" s="53">
        <v>232.5</v>
      </c>
      <c r="Q17" s="58">
        <f t="shared" si="3"/>
        <v>0.8</v>
      </c>
    </row>
    <row r="18" spans="2:17" x14ac:dyDescent="0.25">
      <c r="B18" s="22">
        <v>11</v>
      </c>
      <c r="C18" s="41" t="s">
        <v>293</v>
      </c>
      <c r="D18" s="53">
        <v>100</v>
      </c>
      <c r="E18" s="53" t="s">
        <v>286</v>
      </c>
      <c r="F18" s="53">
        <v>2002</v>
      </c>
      <c r="G18" s="53">
        <v>0.99</v>
      </c>
      <c r="H18" s="53" t="s">
        <v>323</v>
      </c>
      <c r="I18" s="53" t="s">
        <v>323</v>
      </c>
      <c r="J18" s="53">
        <v>500.1</v>
      </c>
      <c r="K18" s="59">
        <f t="shared" si="5"/>
        <v>881.4</v>
      </c>
      <c r="L18" s="54">
        <f t="shared" si="6"/>
        <v>174.48230353929213</v>
      </c>
      <c r="M18" s="55">
        <f t="shared" si="1"/>
        <v>174500000</v>
      </c>
      <c r="N18" s="53">
        <v>1.1499999999999999</v>
      </c>
      <c r="O18" s="57">
        <f t="shared" si="2"/>
        <v>151700000</v>
      </c>
      <c r="P18" s="53">
        <v>217.99999999999997</v>
      </c>
      <c r="Q18" s="58">
        <f t="shared" si="3"/>
        <v>0.7</v>
      </c>
    </row>
    <row r="19" spans="2:17" x14ac:dyDescent="0.25">
      <c r="B19" s="22">
        <v>12</v>
      </c>
      <c r="C19" s="41" t="s">
        <v>294</v>
      </c>
      <c r="D19" s="53">
        <v>290</v>
      </c>
      <c r="E19" s="53" t="s">
        <v>286</v>
      </c>
      <c r="F19" s="53">
        <v>2002</v>
      </c>
      <c r="G19" s="53">
        <v>0.99</v>
      </c>
      <c r="H19" s="53" t="s">
        <v>323</v>
      </c>
      <c r="I19" s="53" t="s">
        <v>323</v>
      </c>
      <c r="J19" s="53">
        <v>500.1</v>
      </c>
      <c r="K19" s="59">
        <f t="shared" si="5"/>
        <v>881.4</v>
      </c>
      <c r="L19" s="54">
        <f t="shared" si="6"/>
        <v>505.99868026394716</v>
      </c>
      <c r="M19" s="55">
        <f t="shared" si="1"/>
        <v>506000000</v>
      </c>
      <c r="N19" s="53">
        <v>1.1499999999999999</v>
      </c>
      <c r="O19" s="57">
        <f t="shared" si="2"/>
        <v>440000000</v>
      </c>
      <c r="P19" s="53">
        <v>462</v>
      </c>
      <c r="Q19" s="58">
        <f t="shared" si="3"/>
        <v>1</v>
      </c>
    </row>
    <row r="20" spans="2:17" x14ac:dyDescent="0.25">
      <c r="B20" s="22">
        <v>13</v>
      </c>
      <c r="C20" s="41" t="s">
        <v>295</v>
      </c>
      <c r="D20" s="53">
        <v>4500</v>
      </c>
      <c r="E20" s="53" t="s">
        <v>288</v>
      </c>
      <c r="F20" s="53">
        <v>2010</v>
      </c>
      <c r="G20" s="53">
        <v>1.5</v>
      </c>
      <c r="H20" s="53" t="s">
        <v>323</v>
      </c>
      <c r="I20" s="53" t="s">
        <v>323</v>
      </c>
      <c r="J20" s="53">
        <v>702.6</v>
      </c>
      <c r="K20" s="59">
        <f t="shared" si="5"/>
        <v>881.4</v>
      </c>
      <c r="L20" s="54">
        <f t="shared" si="6"/>
        <v>8467.7625960717342</v>
      </c>
      <c r="M20" s="55">
        <f>ROUND(L20*1000000,-6)</f>
        <v>8468000000</v>
      </c>
      <c r="N20" s="53">
        <v>1.1499999999999999</v>
      </c>
      <c r="O20" s="57">
        <f>ROUND(M20/N20,-6)</f>
        <v>7363000000</v>
      </c>
      <c r="P20" s="59">
        <v>2297.71</v>
      </c>
      <c r="Q20" s="58">
        <f t="shared" si="3"/>
        <v>3.2</v>
      </c>
    </row>
    <row r="21" spans="2:17" x14ac:dyDescent="0.25">
      <c r="B21" s="22">
        <v>14</v>
      </c>
      <c r="C21" s="41" t="s">
        <v>190</v>
      </c>
      <c r="D21" s="53">
        <v>1250</v>
      </c>
      <c r="E21" s="53" t="s">
        <v>282</v>
      </c>
      <c r="F21" s="53">
        <v>2010</v>
      </c>
      <c r="G21" s="53">
        <v>1</v>
      </c>
      <c r="H21" s="53" t="s">
        <v>323</v>
      </c>
      <c r="I21" s="53" t="s">
        <v>323</v>
      </c>
      <c r="J21" s="53">
        <v>702.6</v>
      </c>
      <c r="K21" s="59">
        <f t="shared" si="5"/>
        <v>881.4</v>
      </c>
      <c r="L21" s="54">
        <f t="shared" si="6"/>
        <v>1568.1041844577285</v>
      </c>
      <c r="M21" s="55">
        <f>ROUND(L21*1000000,-6)</f>
        <v>1568000000</v>
      </c>
      <c r="N21" s="53">
        <v>1.1499999999999999</v>
      </c>
      <c r="O21" s="57">
        <f>ROUND(M21/N21,-6)</f>
        <v>1363000000</v>
      </c>
      <c r="P21" s="53">
        <v>217</v>
      </c>
      <c r="Q21" s="58">
        <f t="shared" si="3"/>
        <v>6.3</v>
      </c>
    </row>
    <row r="22" spans="2:17" x14ac:dyDescent="0.25">
      <c r="B22" s="22">
        <v>15</v>
      </c>
      <c r="C22" s="41" t="s">
        <v>296</v>
      </c>
      <c r="D22" s="53">
        <v>165</v>
      </c>
      <c r="E22" s="53" t="s">
        <v>282</v>
      </c>
      <c r="F22" s="53">
        <v>2009</v>
      </c>
      <c r="G22" s="53">
        <v>1</v>
      </c>
      <c r="H22" s="53" t="s">
        <v>323</v>
      </c>
      <c r="I22" s="53" t="s">
        <v>323</v>
      </c>
      <c r="J22" s="53">
        <v>703.2</v>
      </c>
      <c r="K22" s="59">
        <f t="shared" si="5"/>
        <v>881.4</v>
      </c>
      <c r="L22" s="54">
        <f t="shared" si="6"/>
        <v>206.81313993174058</v>
      </c>
      <c r="M22" s="55">
        <f t="shared" si="1"/>
        <v>206800000</v>
      </c>
      <c r="N22" s="53">
        <v>1.1499999999999999</v>
      </c>
      <c r="O22" s="57">
        <f t="shared" si="2"/>
        <v>179800000</v>
      </c>
      <c r="P22" s="53">
        <v>99</v>
      </c>
      <c r="Q22" s="58">
        <f t="shared" si="3"/>
        <v>1.8</v>
      </c>
    </row>
    <row r="23" spans="2:17" x14ac:dyDescent="0.25">
      <c r="B23" s="26">
        <v>16</v>
      </c>
      <c r="C23" s="41" t="s">
        <v>297</v>
      </c>
      <c r="D23" s="53">
        <v>43.2</v>
      </c>
      <c r="E23" s="53" t="s">
        <v>282</v>
      </c>
      <c r="F23" s="53">
        <v>2008</v>
      </c>
      <c r="G23" s="53">
        <v>1</v>
      </c>
      <c r="H23" s="53" t="s">
        <v>323</v>
      </c>
      <c r="I23" s="53" t="s">
        <v>323</v>
      </c>
      <c r="J23" s="53">
        <v>678.9</v>
      </c>
      <c r="K23" s="59">
        <f t="shared" si="5"/>
        <v>881.4</v>
      </c>
      <c r="L23" s="71">
        <f t="shared" si="6"/>
        <v>56.085550154661952</v>
      </c>
      <c r="M23" s="55">
        <f t="shared" si="1"/>
        <v>56100000</v>
      </c>
      <c r="N23" s="53">
        <v>1.1499999999999999</v>
      </c>
      <c r="O23" s="57">
        <f t="shared" si="2"/>
        <v>48800000</v>
      </c>
      <c r="P23" s="53">
        <v>86.000000000000014</v>
      </c>
      <c r="Q23" s="58">
        <f t="shared" si="3"/>
        <v>0.6</v>
      </c>
    </row>
    <row r="24" spans="2:17" x14ac:dyDescent="0.25">
      <c r="B24" s="22">
        <v>17</v>
      </c>
      <c r="C24" s="41" t="s">
        <v>298</v>
      </c>
      <c r="D24" s="53">
        <v>385</v>
      </c>
      <c r="E24" s="53" t="s">
        <v>282</v>
      </c>
      <c r="F24" s="53">
        <v>2011</v>
      </c>
      <c r="G24" s="53">
        <v>1</v>
      </c>
      <c r="H24" s="53" t="s">
        <v>323</v>
      </c>
      <c r="I24" s="53" t="s">
        <v>323</v>
      </c>
      <c r="J24" s="53">
        <v>726.3</v>
      </c>
      <c r="K24" s="59">
        <f t="shared" si="5"/>
        <v>881.4</v>
      </c>
      <c r="L24" s="54">
        <f t="shared" si="6"/>
        <v>467.21602643535732</v>
      </c>
      <c r="M24" s="55">
        <f t="shared" si="1"/>
        <v>467200000</v>
      </c>
      <c r="N24" s="53">
        <v>1.1499999999999999</v>
      </c>
      <c r="O24" s="57">
        <f t="shared" si="2"/>
        <v>406300000</v>
      </c>
      <c r="P24" s="53">
        <v>160</v>
      </c>
      <c r="Q24" s="58">
        <f t="shared" si="3"/>
        <v>2.5</v>
      </c>
    </row>
    <row r="25" spans="2:17" x14ac:dyDescent="0.25">
      <c r="B25" s="39">
        <v>18</v>
      </c>
      <c r="C25" s="41" t="s">
        <v>193</v>
      </c>
      <c r="D25" s="53">
        <v>5500</v>
      </c>
      <c r="E25" s="53" t="s">
        <v>286</v>
      </c>
      <c r="F25" s="53">
        <v>2019</v>
      </c>
      <c r="G25" s="53">
        <v>1.1499999999999999</v>
      </c>
      <c r="H25" s="53" t="s">
        <v>323</v>
      </c>
      <c r="I25" s="53" t="s">
        <v>323</v>
      </c>
      <c r="J25" s="59">
        <f>K25</f>
        <v>881.4</v>
      </c>
      <c r="K25" s="59">
        <f t="shared" si="5"/>
        <v>881.4</v>
      </c>
      <c r="L25" s="54">
        <f t="shared" si="6"/>
        <v>6324.9999999999991</v>
      </c>
      <c r="M25" s="55">
        <f>ROUND(L25*1000000,-6)</f>
        <v>6325000000</v>
      </c>
      <c r="N25" s="53">
        <v>1.1499999999999999</v>
      </c>
      <c r="O25" s="57">
        <f>ROUND(M25/N25,-6)</f>
        <v>5500000000</v>
      </c>
      <c r="P25" s="53">
        <v>1580</v>
      </c>
      <c r="Q25" s="58">
        <f t="shared" si="3"/>
        <v>3.5</v>
      </c>
    </row>
    <row r="26" spans="2:17" s="40" customFormat="1" ht="7.5" customHeight="1" x14ac:dyDescent="0.25">
      <c r="B26" s="28"/>
      <c r="C26" s="43"/>
      <c r="D26" s="44"/>
      <c r="E26" s="44"/>
      <c r="F26" s="44"/>
      <c r="G26" s="44"/>
      <c r="H26" s="44"/>
      <c r="I26" s="44"/>
      <c r="J26" s="44"/>
      <c r="K26" s="45"/>
      <c r="L26" s="46"/>
      <c r="M26" s="47"/>
      <c r="N26" s="48"/>
      <c r="O26" s="49"/>
      <c r="P26" s="49"/>
      <c r="Q26" s="49"/>
    </row>
    <row r="27" spans="2:17" ht="32.1" customHeight="1" x14ac:dyDescent="0.25">
      <c r="B27" s="80" t="s">
        <v>326</v>
      </c>
      <c r="C27" s="80"/>
      <c r="D27" s="80"/>
      <c r="E27" s="80"/>
      <c r="F27" s="80"/>
      <c r="G27" s="80"/>
      <c r="H27" s="80"/>
      <c r="I27" s="80"/>
      <c r="J27" s="80"/>
      <c r="K27" s="80"/>
      <c r="L27" s="80"/>
      <c r="M27" s="80"/>
      <c r="N27" s="80"/>
      <c r="O27" s="80"/>
      <c r="P27" s="80"/>
      <c r="Q27" s="80"/>
    </row>
    <row r="28" spans="2:17" ht="44.45" customHeight="1" x14ac:dyDescent="0.25">
      <c r="B28" s="79" t="s">
        <v>325</v>
      </c>
      <c r="C28" s="79"/>
      <c r="D28" s="79"/>
      <c r="E28" s="79"/>
      <c r="F28" s="79"/>
      <c r="G28" s="79"/>
      <c r="H28" s="79"/>
      <c r="I28" s="79"/>
      <c r="J28" s="79"/>
      <c r="K28" s="79"/>
      <c r="L28" s="79"/>
      <c r="M28" s="79"/>
      <c r="N28" s="79"/>
      <c r="O28" s="79"/>
      <c r="P28" s="79"/>
      <c r="Q28" s="79"/>
    </row>
    <row r="29" spans="2:17" x14ac:dyDescent="0.25">
      <c r="B29" s="27" t="s">
        <v>216</v>
      </c>
      <c r="C29" s="28"/>
      <c r="D29" s="28"/>
      <c r="E29" s="28"/>
      <c r="F29" s="28"/>
      <c r="G29" s="28"/>
      <c r="H29" s="28"/>
      <c r="I29" s="28"/>
      <c r="J29" s="28"/>
      <c r="K29" s="28"/>
      <c r="L29" s="28"/>
      <c r="M29" s="28"/>
      <c r="N29" s="28"/>
      <c r="O29" s="28"/>
      <c r="P29" s="28"/>
      <c r="Q29" s="28"/>
    </row>
    <row r="30" spans="2:17" x14ac:dyDescent="0.25">
      <c r="B30" s="28"/>
      <c r="C30" s="28"/>
      <c r="D30" s="28"/>
      <c r="E30" s="28"/>
      <c r="F30" s="28"/>
      <c r="G30" s="28"/>
      <c r="H30" s="28"/>
      <c r="I30" s="28"/>
      <c r="J30" s="28"/>
      <c r="K30" s="28"/>
      <c r="L30" s="28"/>
      <c r="M30" s="28"/>
      <c r="N30" s="28"/>
      <c r="O30" s="28"/>
      <c r="P30" s="28"/>
      <c r="Q30" s="28"/>
    </row>
    <row r="31" spans="2:17" x14ac:dyDescent="0.25">
      <c r="B31" s="28"/>
      <c r="C31" s="28"/>
      <c r="D31" s="28"/>
      <c r="E31" s="28"/>
      <c r="F31" s="28"/>
      <c r="G31" s="28"/>
      <c r="H31" s="28"/>
      <c r="I31" s="28"/>
      <c r="J31" s="28"/>
      <c r="K31" s="28"/>
      <c r="L31" s="28"/>
      <c r="M31" s="28"/>
      <c r="N31" s="28"/>
      <c r="O31" s="28"/>
      <c r="P31" s="28"/>
      <c r="Q31" s="28"/>
    </row>
    <row r="32" spans="2:17" x14ac:dyDescent="0.25">
      <c r="B32" s="28"/>
      <c r="C32" s="28"/>
      <c r="D32" s="28"/>
      <c r="E32" s="28"/>
      <c r="F32" s="28"/>
      <c r="G32" s="28"/>
      <c r="H32" s="28"/>
      <c r="I32" s="28"/>
      <c r="J32" s="28"/>
      <c r="K32" s="28"/>
      <c r="L32" s="28"/>
      <c r="M32" s="28"/>
      <c r="N32" s="28"/>
      <c r="O32" s="28"/>
      <c r="P32" s="28"/>
      <c r="Q32" s="28"/>
    </row>
  </sheetData>
  <mergeCells count="3">
    <mergeCell ref="C6:F6"/>
    <mergeCell ref="B28:Q28"/>
    <mergeCell ref="B27:Q27"/>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C18"/>
  <sheetViews>
    <sheetView workbookViewId="0">
      <selection activeCell="C16" sqref="C16"/>
    </sheetView>
  </sheetViews>
  <sheetFormatPr defaultRowHeight="15" x14ac:dyDescent="0.25"/>
  <cols>
    <col min="3" max="3" width="86.140625" customWidth="1"/>
    <col min="4" max="4" width="38.42578125" bestFit="1" customWidth="1"/>
  </cols>
  <sheetData>
    <row r="1" spans="2:3" x14ac:dyDescent="0.25">
      <c r="B1" s="64" t="s">
        <v>23</v>
      </c>
      <c r="C1" t="s">
        <v>24</v>
      </c>
    </row>
    <row r="2" spans="2:3" x14ac:dyDescent="0.25">
      <c r="C2" t="s">
        <v>26</v>
      </c>
    </row>
    <row r="4" spans="2:3" x14ac:dyDescent="0.25">
      <c r="C4" t="s">
        <v>27</v>
      </c>
    </row>
    <row r="5" spans="2:3" x14ac:dyDescent="0.25">
      <c r="C5" t="s">
        <v>24</v>
      </c>
    </row>
    <row r="6" spans="2:3" x14ac:dyDescent="0.25">
      <c r="C6" t="s">
        <v>28</v>
      </c>
    </row>
    <row r="7" spans="2:3" x14ac:dyDescent="0.25">
      <c r="C7" t="s">
        <v>25</v>
      </c>
    </row>
    <row r="9" spans="2:3" x14ac:dyDescent="0.25">
      <c r="C9" s="20" t="s">
        <v>312</v>
      </c>
    </row>
    <row r="10" spans="2:3" ht="30" x14ac:dyDescent="0.25">
      <c r="C10" s="70" t="s">
        <v>320</v>
      </c>
    </row>
    <row r="11" spans="2:3" x14ac:dyDescent="0.25">
      <c r="C11" s="40"/>
    </row>
    <row r="12" spans="2:3" x14ac:dyDescent="0.25">
      <c r="C12" s="40"/>
    </row>
    <row r="15" spans="2:3" x14ac:dyDescent="0.25">
      <c r="C15" t="s">
        <v>311</v>
      </c>
    </row>
    <row r="16" spans="2:3" x14ac:dyDescent="0.25">
      <c r="C16" t="s">
        <v>166</v>
      </c>
    </row>
    <row r="17" spans="3:3" x14ac:dyDescent="0.25">
      <c r="C17" t="s">
        <v>274</v>
      </c>
    </row>
    <row r="18" spans="3:3" x14ac:dyDescent="0.25">
      <c r="C18" t="s">
        <v>316</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Appendix A1</vt:lpstr>
      <vt:lpstr>Appendix A2</vt:lpstr>
      <vt:lpstr>Appendix A3</vt:lpstr>
      <vt:lpstr>readme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Kluijver, Maarten</dc:creator>
  <cp:lastModifiedBy>Kluijver, Maarten</cp:lastModifiedBy>
  <dcterms:created xsi:type="dcterms:W3CDTF">2018-05-09T12:52:05Z</dcterms:created>
  <dcterms:modified xsi:type="dcterms:W3CDTF">2019-11-16T17:43:58Z</dcterms:modified>
</cp:coreProperties>
</file>