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/>
  <xr:revisionPtr revIDLastSave="0" documentId="13_ncr:1_{63E7191D-AE6C-4F00-ADC8-2CD523DB1BA0}" xr6:coauthVersionLast="47" xr6:coauthVersionMax="47" xr10:uidLastSave="{00000000-0000-0000-0000-000000000000}"/>
  <bookViews>
    <workbookView xWindow="-25320" yWindow="-120" windowWidth="25440" windowHeight="15390" activeTab="2" xr2:uid="{00000000-000D-0000-FFFF-FFFF00000000}"/>
  </bookViews>
  <sheets>
    <sheet name="Blank" sheetId="1" r:id="rId1"/>
    <sheet name="A-FeCN" sheetId="2" r:id="rId2"/>
    <sheet name="CSCA trials" sheetId="5" r:id="rId3"/>
    <sheet name="CsCA 250 Bulk production" sheetId="7" r:id="rId4"/>
    <sheet name="CA0.5-FECN" sheetId="3" r:id="rId5"/>
    <sheet name="CA1-FeCN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6" i="5" l="1"/>
  <c r="Y5" i="5"/>
  <c r="X5" i="5"/>
  <c r="O9" i="7"/>
  <c r="N9" i="7"/>
  <c r="X7" i="7"/>
  <c r="Y7" i="7"/>
  <c r="X8" i="7"/>
  <c r="Z8" i="7" s="1"/>
  <c r="Y8" i="7"/>
  <c r="X9" i="7"/>
  <c r="Y9" i="7"/>
  <c r="H8" i="2"/>
  <c r="G8" i="2"/>
  <c r="F8" i="2"/>
  <c r="E8" i="2"/>
  <c r="N8" i="7"/>
  <c r="M18" i="2"/>
  <c r="Y6" i="7"/>
  <c r="Y15" i="5"/>
  <c r="X15" i="5"/>
  <c r="Z15" i="5"/>
  <c r="X16" i="5"/>
  <c r="Y16" i="5"/>
  <c r="Y14" i="5"/>
  <c r="Z14" i="5" s="1"/>
  <c r="X14" i="5"/>
  <c r="K7" i="2"/>
  <c r="K8" i="7"/>
  <c r="J8" i="7"/>
  <c r="I8" i="7"/>
  <c r="H8" i="7"/>
  <c r="Z7" i="7" l="1"/>
  <c r="Z9" i="7"/>
  <c r="O6" i="7"/>
  <c r="N7" i="7"/>
  <c r="E7" i="7"/>
  <c r="J7" i="7" s="1"/>
  <c r="H7" i="7"/>
  <c r="I7" i="7"/>
  <c r="K7" i="7" l="1"/>
  <c r="J9" i="1"/>
  <c r="X6" i="7"/>
  <c r="Z6" i="7" s="1"/>
  <c r="N6" i="7"/>
  <c r="H6" i="7"/>
  <c r="Y5" i="2"/>
  <c r="I6" i="7"/>
  <c r="E6" i="7"/>
  <c r="J6" i="7" s="1"/>
  <c r="H14" i="5"/>
  <c r="I14" i="5"/>
  <c r="N16" i="5"/>
  <c r="N15" i="5"/>
  <c r="N14" i="5"/>
  <c r="N8" i="5"/>
  <c r="E14" i="5"/>
  <c r="J14" i="5" s="1"/>
  <c r="C7" i="2"/>
  <c r="J11" i="5"/>
  <c r="I11" i="5"/>
  <c r="H11" i="5"/>
  <c r="Y8" i="5"/>
  <c r="Y10" i="5"/>
  <c r="Y9" i="5"/>
  <c r="Y6" i="5"/>
  <c r="Y7" i="5"/>
  <c r="X8" i="5"/>
  <c r="X10" i="5"/>
  <c r="X9" i="5"/>
  <c r="N10" i="5"/>
  <c r="N9" i="5"/>
  <c r="Z7" i="5"/>
  <c r="X6" i="5"/>
  <c r="X7" i="5"/>
  <c r="N7" i="5"/>
  <c r="N6" i="5"/>
  <c r="K14" i="5" l="1"/>
  <c r="K6" i="7"/>
  <c r="Z8" i="5"/>
  <c r="Z5" i="5"/>
  <c r="Z9" i="5"/>
  <c r="Z10" i="5"/>
  <c r="Z6" i="5"/>
  <c r="N5" i="5"/>
  <c r="R7" i="2" l="1"/>
  <c r="M19" i="2"/>
  <c r="M20" i="2"/>
  <c r="Z5" i="1" l="1"/>
  <c r="AA5" i="1" s="1"/>
  <c r="Z6" i="1"/>
  <c r="AA6" i="1" s="1"/>
  <c r="Z8" i="1"/>
  <c r="Y8" i="1"/>
  <c r="Z7" i="1"/>
  <c r="Y7" i="1"/>
  <c r="Z6" i="2"/>
  <c r="Z7" i="2"/>
  <c r="Z5" i="2"/>
  <c r="T5" i="1"/>
  <c r="T6" i="1"/>
  <c r="T4" i="1"/>
  <c r="R5" i="1"/>
  <c r="R6" i="1"/>
  <c r="R4" i="1"/>
  <c r="T5" i="2"/>
  <c r="U5" i="2"/>
  <c r="T6" i="2"/>
  <c r="U6" i="2"/>
  <c r="T7" i="2"/>
  <c r="U7" i="2"/>
  <c r="U4" i="2"/>
  <c r="T4" i="2"/>
  <c r="Y4" i="2" s="1"/>
  <c r="R6" i="2"/>
  <c r="S4" i="2"/>
  <c r="R4" i="2"/>
  <c r="S6" i="2"/>
  <c r="S7" i="2"/>
  <c r="S5" i="2"/>
  <c r="R5" i="2"/>
  <c r="K6" i="1" l="1"/>
  <c r="K5" i="1" l="1"/>
  <c r="G6" i="1"/>
  <c r="E6" i="1"/>
  <c r="Y6" i="1" s="1"/>
  <c r="G7" i="2"/>
  <c r="H7" i="2"/>
  <c r="E7" i="2" l="1"/>
  <c r="Y7" i="2" s="1"/>
  <c r="AB7" i="2" s="1"/>
  <c r="G5" i="1" l="1"/>
  <c r="E5" i="1"/>
  <c r="Y5" i="1" s="1"/>
  <c r="I6" i="2" l="1"/>
  <c r="K6" i="2" s="1"/>
  <c r="H6" i="2" l="1"/>
  <c r="E6" i="2"/>
  <c r="Y6" i="2" s="1"/>
  <c r="AB6" i="2" s="1"/>
  <c r="F6" i="2"/>
  <c r="G6" i="2"/>
  <c r="G5" i="2" l="1"/>
  <c r="H5" i="2"/>
  <c r="F5" i="2"/>
  <c r="E5" i="2"/>
  <c r="AB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7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should have been 1800 but 400 did not go through
</t>
        </r>
      </text>
    </comment>
  </commentList>
</comments>
</file>

<file path=xl/sharedStrings.xml><?xml version="1.0" encoding="utf-8"?>
<sst xmlns="http://schemas.openxmlformats.org/spreadsheetml/2006/main" count="243" uniqueCount="93">
  <si>
    <t>Batch</t>
  </si>
  <si>
    <t>Date</t>
  </si>
  <si>
    <t>Code B</t>
  </si>
  <si>
    <t>B1</t>
  </si>
  <si>
    <t>B2</t>
  </si>
  <si>
    <t>B3</t>
  </si>
  <si>
    <t>B4</t>
  </si>
  <si>
    <t>Prescription wt</t>
  </si>
  <si>
    <t>FeCN (g)</t>
  </si>
  <si>
    <t>Na-Alg(g)</t>
  </si>
  <si>
    <t>CaCl(g)</t>
  </si>
  <si>
    <t>FeCN in bath(g)</t>
  </si>
  <si>
    <t>Wet weight (g)</t>
  </si>
  <si>
    <t>Dry Weight (g)</t>
  </si>
  <si>
    <t>ICP before</t>
  </si>
  <si>
    <t>ICP after</t>
  </si>
  <si>
    <t>Fe</t>
  </si>
  <si>
    <t>Ca</t>
  </si>
  <si>
    <t>A1</t>
  </si>
  <si>
    <t>Code A</t>
  </si>
  <si>
    <t>A2</t>
  </si>
  <si>
    <t>A3</t>
  </si>
  <si>
    <t>A4</t>
  </si>
  <si>
    <t>Sol 1 (g)</t>
  </si>
  <si>
    <t>Bath (g)</t>
  </si>
  <si>
    <t>wt of beads</t>
  </si>
  <si>
    <t>empty bottle without lid (g)</t>
  </si>
  <si>
    <t>-</t>
  </si>
  <si>
    <t>Yield(g)</t>
  </si>
  <si>
    <t>ICP before (mg/L)</t>
  </si>
  <si>
    <t>ICP after (mg/L)</t>
  </si>
  <si>
    <t>Fe(mg/L)</t>
  </si>
  <si>
    <t>Ca(mg/L)</t>
  </si>
  <si>
    <t>yield %</t>
  </si>
  <si>
    <t>CaCl2</t>
  </si>
  <si>
    <t>CaCl2 %w/V</t>
  </si>
  <si>
    <t>FeCN (% w/V)</t>
  </si>
  <si>
    <t>A0</t>
  </si>
  <si>
    <t>ICP before (% W/v)</t>
  </si>
  <si>
    <t>ICP after (% W/V)</t>
  </si>
  <si>
    <t>FeCN</t>
  </si>
  <si>
    <t xml:space="preserve">CaCl2 </t>
  </si>
  <si>
    <t>Absolute amount in capsule(g)</t>
  </si>
  <si>
    <t>Alg</t>
  </si>
  <si>
    <t>ICP Raw</t>
  </si>
  <si>
    <t>ICP to concentration (Stoichiometry)</t>
  </si>
  <si>
    <t>Dr wt (g)</t>
  </si>
  <si>
    <t>FeCn (g) calculated</t>
  </si>
  <si>
    <t>FeCN (%mass)</t>
  </si>
  <si>
    <t>sol1 (g)</t>
  </si>
  <si>
    <t>Chitosan bath analysis</t>
  </si>
  <si>
    <t>Cs (g)</t>
  </si>
  <si>
    <t>Fe (g)after (ICP) mg/L</t>
  </si>
  <si>
    <t>Cs bath (g)</t>
  </si>
  <si>
    <t>FeCN loss (mg)</t>
  </si>
  <si>
    <t>FeCN initial (g)</t>
  </si>
  <si>
    <t>Encapsulation efficiency (%)</t>
  </si>
  <si>
    <t>Remarks</t>
  </si>
  <si>
    <t>0.5% Cs in 0.1M CH3COOH</t>
  </si>
  <si>
    <t>pH</t>
  </si>
  <si>
    <t>Capsule weight</t>
  </si>
  <si>
    <t xml:space="preserve">CaCl2+FeCN bath </t>
  </si>
  <si>
    <t xml:space="preserve">ICP before </t>
  </si>
  <si>
    <t>0.75% Cs in 0.1M CH3COOH</t>
  </si>
  <si>
    <t>1% Cs in 0.1M CH3COOH</t>
  </si>
  <si>
    <t>Experiment</t>
  </si>
  <si>
    <t>pore solution release 1</t>
  </si>
  <si>
    <t xml:space="preserve">Trial </t>
  </si>
  <si>
    <t>Na-alg (%)</t>
  </si>
  <si>
    <t>Pore solution release 2</t>
  </si>
  <si>
    <t>CSCA250_4%</t>
  </si>
  <si>
    <t>CSCA375_4%</t>
  </si>
  <si>
    <t>CSCA500_4%</t>
  </si>
  <si>
    <t>CSCA250_2%</t>
  </si>
  <si>
    <t>CSCA375_2%</t>
  </si>
  <si>
    <t>CSCA500_2%</t>
  </si>
  <si>
    <t>FeCN (%)</t>
  </si>
  <si>
    <t>wet weight CA (g)</t>
  </si>
  <si>
    <t>Blank CscA</t>
  </si>
  <si>
    <t>CSCA250_B</t>
  </si>
  <si>
    <t>CSCA375_B</t>
  </si>
  <si>
    <t>CSCA500_B</t>
  </si>
  <si>
    <t>Paste leaching</t>
  </si>
  <si>
    <t>C1</t>
  </si>
  <si>
    <t>Total</t>
  </si>
  <si>
    <t>C2</t>
  </si>
  <si>
    <t>C3</t>
  </si>
  <si>
    <t>C4</t>
  </si>
  <si>
    <t>Calcium aglinate with FeCN</t>
  </si>
  <si>
    <t>Blank Calcium alginate capsules</t>
  </si>
  <si>
    <t>Code C</t>
  </si>
  <si>
    <t>Chitosan=Calcium alginate with FeCn</t>
  </si>
  <si>
    <t>FeCN loss 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</si>
</sst>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center"/>
    </xf>
    <xf numFmtId="16" fontId="0" fillId="0" borderId="0" xfId="0" applyNumberFormat="1"/>
    <xf numFmtId="2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 wrapText="1"/>
    </xf>
    <xf numFmtId="0" fontId="0" fillId="0" borderId="3" xfId="0" applyBorder="1"/>
    <xf numFmtId="0" fontId="0" fillId="0" borderId="4" xfId="0" applyBorder="1" applyAlignment="1">
      <alignment horizontal="center" wrapText="1"/>
    </xf>
    <xf numFmtId="0" fontId="0" fillId="0" borderId="5" xfId="0" applyBorder="1"/>
    <xf numFmtId="0" fontId="0" fillId="0" borderId="4" xfId="0" applyBorder="1"/>
    <xf numFmtId="2" fontId="0" fillId="0" borderId="4" xfId="0" applyNumberFormat="1" applyBorder="1"/>
    <xf numFmtId="2" fontId="0" fillId="0" borderId="5" xfId="0" applyNumberFormat="1" applyBorder="1"/>
    <xf numFmtId="0" fontId="0" fillId="0" borderId="6" xfId="0" applyBorder="1"/>
    <xf numFmtId="0" fontId="0" fillId="0" borderId="7" xfId="0" applyBorder="1"/>
    <xf numFmtId="2" fontId="0" fillId="0" borderId="8" xfId="0" applyNumberFormat="1" applyBorder="1"/>
    <xf numFmtId="0" fontId="0" fillId="0" borderId="9" xfId="0" applyBorder="1"/>
    <xf numFmtId="2" fontId="0" fillId="0" borderId="9" xfId="0" applyNumberForma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center"/>
    </xf>
    <xf numFmtId="0" fontId="0" fillId="0" borderId="14" xfId="0" applyBorder="1"/>
    <xf numFmtId="2" fontId="0" fillId="0" borderId="13" xfId="0" applyNumberFormat="1" applyBorder="1"/>
    <xf numFmtId="2" fontId="0" fillId="0" borderId="14" xfId="0" applyNumberFormat="1" applyBorder="1"/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16" fontId="0" fillId="0" borderId="9" xfId="0" applyNumberFormat="1" applyBorder="1"/>
    <xf numFmtId="0" fontId="0" fillId="0" borderId="15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9" xfId="0" applyBorder="1" applyAlignment="1">
      <alignment horizontal="center"/>
    </xf>
    <xf numFmtId="0" fontId="0" fillId="0" borderId="29" xfId="0" applyBorder="1" applyAlignment="1">
      <alignment wrapText="1"/>
    </xf>
    <xf numFmtId="0" fontId="0" fillId="0" borderId="30" xfId="0" applyBorder="1"/>
    <xf numFmtId="2" fontId="0" fillId="0" borderId="9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8" xfId="0" applyBorder="1" applyAlignment="1">
      <alignment wrapText="1"/>
    </xf>
    <xf numFmtId="2" fontId="0" fillId="2" borderId="9" xfId="0" applyNumberFormat="1" applyFill="1" applyBorder="1"/>
    <xf numFmtId="0" fontId="0" fillId="0" borderId="26" xfId="0" applyBorder="1" applyAlignment="1">
      <alignment horizontal="center"/>
    </xf>
    <xf numFmtId="0" fontId="0" fillId="0" borderId="32" xfId="0" applyBorder="1"/>
    <xf numFmtId="0" fontId="0" fillId="0" borderId="33" xfId="0" applyBorder="1"/>
    <xf numFmtId="0" fontId="0" fillId="0" borderId="3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"/>
  <sheetViews>
    <sheetView workbookViewId="0">
      <selection activeCell="A2" sqref="A2"/>
    </sheetView>
  </sheetViews>
  <sheetFormatPr defaultRowHeight="15" x14ac:dyDescent="0.25"/>
  <cols>
    <col min="2" max="2" width="9.42578125" bestFit="1" customWidth="1"/>
    <col min="3" max="4" width="9.42578125" customWidth="1"/>
    <col min="8" max="9" width="17.140625" customWidth="1"/>
    <col min="10" max="11" width="17.85546875" customWidth="1"/>
    <col min="17" max="17" width="14.42578125" customWidth="1"/>
  </cols>
  <sheetData>
    <row r="1" spans="1:27" x14ac:dyDescent="0.25">
      <c r="A1" t="s">
        <v>89</v>
      </c>
    </row>
    <row r="2" spans="1:27" ht="30" x14ac:dyDescent="0.25">
      <c r="A2" t="s">
        <v>2</v>
      </c>
      <c r="E2" s="53" t="s">
        <v>7</v>
      </c>
      <c r="F2" s="53"/>
      <c r="G2" s="53"/>
      <c r="H2" s="1"/>
      <c r="L2" s="53" t="s">
        <v>29</v>
      </c>
      <c r="M2" s="53"/>
      <c r="N2" s="53" t="s">
        <v>30</v>
      </c>
      <c r="O2" s="53"/>
      <c r="Q2" s="5" t="s">
        <v>38</v>
      </c>
      <c r="R2" s="5"/>
      <c r="S2" s="53" t="s">
        <v>39</v>
      </c>
      <c r="T2" s="53"/>
      <c r="W2" s="53" t="s">
        <v>42</v>
      </c>
      <c r="X2" s="53"/>
      <c r="Y2" s="53"/>
      <c r="Z2" s="53"/>
      <c r="AA2" s="53"/>
    </row>
    <row r="3" spans="1:27" x14ac:dyDescent="0.25">
      <c r="A3" t="s">
        <v>0</v>
      </c>
      <c r="B3" t="s">
        <v>1</v>
      </c>
      <c r="C3" t="s">
        <v>23</v>
      </c>
      <c r="D3" t="s">
        <v>24</v>
      </c>
      <c r="E3" t="s">
        <v>9</v>
      </c>
      <c r="F3" t="s">
        <v>8</v>
      </c>
      <c r="G3" t="s">
        <v>10</v>
      </c>
      <c r="H3" t="s">
        <v>11</v>
      </c>
      <c r="I3" t="s">
        <v>12</v>
      </c>
      <c r="J3" t="s">
        <v>13</v>
      </c>
      <c r="K3" t="s">
        <v>28</v>
      </c>
      <c r="L3" t="s">
        <v>16</v>
      </c>
      <c r="M3" t="s">
        <v>17</v>
      </c>
      <c r="N3" t="s">
        <v>16</v>
      </c>
      <c r="O3" t="s">
        <v>17</v>
      </c>
      <c r="Q3" t="s">
        <v>40</v>
      </c>
      <c r="R3" t="s">
        <v>41</v>
      </c>
      <c r="S3" t="s">
        <v>40</v>
      </c>
      <c r="T3" t="s">
        <v>41</v>
      </c>
      <c r="W3" s="5"/>
      <c r="X3" s="5"/>
      <c r="Y3" s="53" t="s">
        <v>15</v>
      </c>
      <c r="Z3" s="53"/>
    </row>
    <row r="4" spans="1:27" x14ac:dyDescent="0.25">
      <c r="A4" t="s">
        <v>3</v>
      </c>
      <c r="B4" s="2">
        <v>44841</v>
      </c>
      <c r="C4" s="2"/>
      <c r="D4" s="2"/>
      <c r="E4">
        <v>4</v>
      </c>
      <c r="F4" t="s">
        <v>27</v>
      </c>
      <c r="G4">
        <v>12</v>
      </c>
      <c r="H4">
        <v>8</v>
      </c>
      <c r="J4">
        <v>4</v>
      </c>
      <c r="L4" t="s">
        <v>27</v>
      </c>
      <c r="M4">
        <v>8404</v>
      </c>
      <c r="N4" t="s">
        <v>27</v>
      </c>
      <c r="O4">
        <v>5558</v>
      </c>
      <c r="Q4" t="s">
        <v>27</v>
      </c>
      <c r="R4" s="3">
        <f>M4*147.07/40.08/1000*100/1000</f>
        <v>3.083773153692615</v>
      </c>
      <c r="S4" t="s">
        <v>27</v>
      </c>
      <c r="T4" s="3">
        <f>O4*147.07/40.08/1000*100/1000</f>
        <v>2.0394587325349303</v>
      </c>
      <c r="Y4" t="s">
        <v>40</v>
      </c>
      <c r="Z4" t="s">
        <v>17</v>
      </c>
      <c r="AA4" t="s">
        <v>43</v>
      </c>
    </row>
    <row r="5" spans="1:27" x14ac:dyDescent="0.25">
      <c r="A5" t="s">
        <v>4</v>
      </c>
      <c r="B5" s="4">
        <v>44903</v>
      </c>
      <c r="C5" s="3">
        <v>1050</v>
      </c>
      <c r="D5" s="3">
        <v>1500</v>
      </c>
      <c r="E5" s="3">
        <f>2/100*C5</f>
        <v>21</v>
      </c>
      <c r="F5" s="3" t="s">
        <v>27</v>
      </c>
      <c r="G5" s="3">
        <f>3/100*D5</f>
        <v>45</v>
      </c>
      <c r="H5" s="3" t="s">
        <v>27</v>
      </c>
      <c r="I5" s="3">
        <v>756.9</v>
      </c>
      <c r="J5" s="3">
        <v>25.33</v>
      </c>
      <c r="K5" s="3">
        <f>J5/I5*100</f>
        <v>3.3465451182454746</v>
      </c>
      <c r="L5" s="3" t="s">
        <v>27</v>
      </c>
      <c r="M5" s="3">
        <v>8549</v>
      </c>
      <c r="N5" t="s">
        <v>27</v>
      </c>
      <c r="O5" s="3">
        <v>4332</v>
      </c>
      <c r="P5" s="3"/>
      <c r="Q5" s="3" t="s">
        <v>27</v>
      </c>
      <c r="R5" s="3">
        <f>M5*147.07/40.08/1000*100/1000</f>
        <v>3.1369796157684631</v>
      </c>
      <c r="S5" t="s">
        <v>27</v>
      </c>
      <c r="T5" s="3">
        <f>O5*147.07/40.08/1000*100/1000</f>
        <v>1.5895889221556887</v>
      </c>
      <c r="Y5" t="e">
        <f>(E5+H5)-T5/100*D5</f>
        <v>#VALUE!</v>
      </c>
      <c r="Z5">
        <f>(M5-O5)/1000*D5/1000</f>
        <v>6.325499999999999</v>
      </c>
      <c r="AA5" s="3">
        <f>J5-Z5</f>
        <v>19.0045</v>
      </c>
    </row>
    <row r="6" spans="1:27" x14ac:dyDescent="0.25">
      <c r="A6" t="s">
        <v>5</v>
      </c>
      <c r="B6" s="2">
        <v>44935</v>
      </c>
      <c r="C6" s="3">
        <v>1800</v>
      </c>
      <c r="D6" s="3">
        <v>2700</v>
      </c>
      <c r="E6" s="3">
        <f>2/100*C6</f>
        <v>36</v>
      </c>
      <c r="F6" s="3" t="s">
        <v>27</v>
      </c>
      <c r="G6" s="3">
        <f>3/100*D6</f>
        <v>81</v>
      </c>
      <c r="H6" s="3" t="s">
        <v>27</v>
      </c>
      <c r="I6" s="3">
        <v>1310.7</v>
      </c>
      <c r="J6" s="3">
        <v>46.3</v>
      </c>
      <c r="K6" s="3">
        <f>J6/I6*100</f>
        <v>3.5324635690852215</v>
      </c>
      <c r="L6" s="3" t="s">
        <v>27</v>
      </c>
      <c r="M6" s="3">
        <v>8113</v>
      </c>
      <c r="N6" t="s">
        <v>27</v>
      </c>
      <c r="O6" s="3">
        <v>4366</v>
      </c>
      <c r="P6" s="3"/>
      <c r="Q6" s="3" t="s">
        <v>27</v>
      </c>
      <c r="R6" s="3">
        <f>M6*147.07/40.08/1000*100/1000</f>
        <v>2.976993288423154</v>
      </c>
      <c r="S6" t="s">
        <v>27</v>
      </c>
      <c r="T6" s="3">
        <f>O6*147.07/40.08/1000*100/1000</f>
        <v>1.6020649201596806</v>
      </c>
      <c r="W6" s="3"/>
      <c r="X6" s="3"/>
      <c r="Y6" t="e">
        <f>(E6+H6)-T6/100*D6</f>
        <v>#VALUE!</v>
      </c>
      <c r="Z6">
        <f>(M6-O6)/1000*D6/1000</f>
        <v>10.116899999999999</v>
      </c>
      <c r="AA6" s="3">
        <f>J6-Z6</f>
        <v>36.183099999999996</v>
      </c>
    </row>
    <row r="7" spans="1:27" x14ac:dyDescent="0.25">
      <c r="A7" t="s">
        <v>6</v>
      </c>
      <c r="Y7">
        <f>(E7+H7)-T7/100*D7</f>
        <v>0</v>
      </c>
      <c r="Z7">
        <f>(N7-P7)/1000*D7/1000</f>
        <v>0</v>
      </c>
    </row>
    <row r="8" spans="1:27" x14ac:dyDescent="0.25">
      <c r="Y8">
        <f>(E8+H8)-T8/100*D8</f>
        <v>0</v>
      </c>
      <c r="Z8">
        <f>(N8-P8)/1000*D8/1000</f>
        <v>0</v>
      </c>
    </row>
    <row r="9" spans="1:27" x14ac:dyDescent="0.25">
      <c r="I9" t="s">
        <v>84</v>
      </c>
      <c r="J9" s="3">
        <f>J6+J5</f>
        <v>71.63</v>
      </c>
    </row>
  </sheetData>
  <mergeCells count="6">
    <mergeCell ref="W2:AA2"/>
    <mergeCell ref="Y3:Z3"/>
    <mergeCell ref="E2:G2"/>
    <mergeCell ref="L2:M2"/>
    <mergeCell ref="N2:O2"/>
    <mergeCell ref="S2:T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20"/>
  <sheetViews>
    <sheetView topLeftCell="K1" workbookViewId="0">
      <selection activeCell="M13" sqref="M13"/>
    </sheetView>
  </sheetViews>
  <sheetFormatPr defaultRowHeight="15" x14ac:dyDescent="0.25"/>
  <cols>
    <col min="2" max="2" width="10.42578125" bestFit="1" customWidth="1"/>
    <col min="3" max="3" width="9.140625" style="20"/>
    <col min="8" max="8" width="17.140625" style="22" customWidth="1"/>
    <col min="9" max="9" width="17.140625" style="20" customWidth="1"/>
    <col min="10" max="10" width="17.85546875" customWidth="1"/>
    <col min="11" max="11" width="17.85546875" style="22" customWidth="1"/>
    <col min="12" max="12" width="29.5703125" hidden="1" customWidth="1"/>
    <col min="13" max="13" width="11.5703125" style="20" customWidth="1"/>
    <col min="14" max="15" width="12" customWidth="1"/>
    <col min="16" max="16" width="12" style="22" customWidth="1"/>
    <col min="17" max="17" width="12" style="20" customWidth="1"/>
    <col min="18" max="18" width="12.5703125" customWidth="1"/>
    <col min="21" max="21" width="9.140625" style="22"/>
  </cols>
  <sheetData>
    <row r="1" spans="1:28" x14ac:dyDescent="0.25">
      <c r="A1" t="s">
        <v>88</v>
      </c>
      <c r="C1" s="17"/>
      <c r="D1" s="18"/>
      <c r="E1" s="18"/>
      <c r="F1" s="18"/>
      <c r="G1" s="18"/>
      <c r="H1" s="19"/>
      <c r="I1" s="17"/>
      <c r="J1" s="18"/>
      <c r="K1" s="19"/>
      <c r="M1" s="56" t="s">
        <v>44</v>
      </c>
      <c r="N1" s="57"/>
      <c r="O1" s="57"/>
      <c r="P1" s="58"/>
      <c r="Q1" s="56" t="s">
        <v>45</v>
      </c>
      <c r="R1" s="57"/>
      <c r="S1" s="57"/>
      <c r="T1" s="57"/>
      <c r="U1" s="58"/>
      <c r="W1" s="54" t="s">
        <v>42</v>
      </c>
      <c r="X1" s="55"/>
      <c r="Y1" s="55"/>
      <c r="Z1" s="55"/>
      <c r="AA1" s="55"/>
      <c r="AB1" s="6"/>
    </row>
    <row r="2" spans="1:28" x14ac:dyDescent="0.25">
      <c r="A2" t="s">
        <v>19</v>
      </c>
      <c r="E2" s="53" t="s">
        <v>7</v>
      </c>
      <c r="F2" s="53"/>
      <c r="G2" s="53"/>
      <c r="H2" s="21"/>
      <c r="I2" s="60" t="s">
        <v>25</v>
      </c>
      <c r="J2" s="53"/>
      <c r="K2" s="21"/>
      <c r="L2" s="1"/>
      <c r="M2" s="25" t="s">
        <v>14</v>
      </c>
      <c r="N2" s="1"/>
      <c r="O2" s="1" t="s">
        <v>15</v>
      </c>
      <c r="P2" s="21"/>
      <c r="Q2" s="25"/>
      <c r="R2" s="5" t="s">
        <v>14</v>
      </c>
      <c r="S2" s="5"/>
      <c r="T2" s="53" t="s">
        <v>15</v>
      </c>
      <c r="U2" s="59"/>
      <c r="W2" s="7"/>
      <c r="X2" s="5"/>
      <c r="Y2" s="53" t="s">
        <v>15</v>
      </c>
      <c r="Z2" s="53"/>
      <c r="AB2" s="8"/>
    </row>
    <row r="3" spans="1:28" x14ac:dyDescent="0.25">
      <c r="A3" t="s">
        <v>0</v>
      </c>
      <c r="B3" t="s">
        <v>1</v>
      </c>
      <c r="C3" s="20" t="s">
        <v>23</v>
      </c>
      <c r="D3" t="s">
        <v>24</v>
      </c>
      <c r="E3" t="s">
        <v>9</v>
      </c>
      <c r="F3" t="s">
        <v>8</v>
      </c>
      <c r="G3" t="s">
        <v>10</v>
      </c>
      <c r="H3" s="22" t="s">
        <v>11</v>
      </c>
      <c r="I3" s="20" t="s">
        <v>12</v>
      </c>
      <c r="J3" t="s">
        <v>13</v>
      </c>
      <c r="K3" s="22" t="s">
        <v>33</v>
      </c>
      <c r="L3" t="s">
        <v>26</v>
      </c>
      <c r="M3" s="20" t="s">
        <v>31</v>
      </c>
      <c r="N3" t="s">
        <v>32</v>
      </c>
      <c r="O3" t="s">
        <v>31</v>
      </c>
      <c r="P3" s="22" t="s">
        <v>32</v>
      </c>
      <c r="R3" t="s">
        <v>36</v>
      </c>
      <c r="S3" t="s">
        <v>35</v>
      </c>
      <c r="T3" t="s">
        <v>40</v>
      </c>
      <c r="U3" s="22" t="s">
        <v>34</v>
      </c>
      <c r="W3" s="9"/>
      <c r="Y3" t="s">
        <v>40</v>
      </c>
      <c r="Z3" t="s">
        <v>17</v>
      </c>
      <c r="AB3" s="8" t="s">
        <v>43</v>
      </c>
    </row>
    <row r="4" spans="1:28" x14ac:dyDescent="0.25">
      <c r="A4" t="s">
        <v>37</v>
      </c>
      <c r="M4" s="20">
        <v>2451</v>
      </c>
      <c r="N4">
        <v>8483</v>
      </c>
      <c r="O4">
        <v>2417</v>
      </c>
      <c r="P4" s="22">
        <v>4803</v>
      </c>
      <c r="R4" s="3">
        <f>M4*484/55.85/1000*100/1000</f>
        <v>2.1240537153088632</v>
      </c>
      <c r="S4" s="3">
        <f>N4*147.07/40.08/1000*100/1000</f>
        <v>3.1127615019960082</v>
      </c>
      <c r="T4" s="3">
        <f>O4*484/55.85/1000*100/1000</f>
        <v>2.0945890778871976</v>
      </c>
      <c r="U4" s="24">
        <f>P4*147.07/40.08/1000*100/1000</f>
        <v>1.7624181886227543</v>
      </c>
      <c r="W4" s="9"/>
      <c r="Y4">
        <f>(E4+H4)-T4/100*D4</f>
        <v>0</v>
      </c>
      <c r="AB4" s="8"/>
    </row>
    <row r="5" spans="1:28" x14ac:dyDescent="0.25">
      <c r="A5" t="s">
        <v>18</v>
      </c>
      <c r="B5" s="2">
        <v>44873</v>
      </c>
      <c r="C5" s="23">
        <v>1000</v>
      </c>
      <c r="D5" s="3">
        <v>1500</v>
      </c>
      <c r="E5" s="3">
        <f>2/100*C5</f>
        <v>20</v>
      </c>
      <c r="F5" s="3">
        <f>2/100*C5</f>
        <v>20</v>
      </c>
      <c r="G5" s="3">
        <f>3/100*D5</f>
        <v>45</v>
      </c>
      <c r="H5" s="24">
        <f>2/100*D5</f>
        <v>30</v>
      </c>
      <c r="I5" s="23">
        <v>776</v>
      </c>
      <c r="J5" s="3">
        <v>33.704000000000001</v>
      </c>
      <c r="K5" s="24">
        <v>0</v>
      </c>
      <c r="L5" s="3">
        <v>26.539000000000001</v>
      </c>
      <c r="M5" s="23">
        <v>2389</v>
      </c>
      <c r="N5" s="3">
        <v>8405</v>
      </c>
      <c r="O5" s="3">
        <v>2332</v>
      </c>
      <c r="P5" s="24">
        <v>4155</v>
      </c>
      <c r="Q5" s="23"/>
      <c r="R5" s="3">
        <f>M5*484/55.85/1000*100/1000</f>
        <v>2.0703240823634737</v>
      </c>
      <c r="S5" s="3">
        <f>N5*147.07/40.08/1000*100/1000</f>
        <v>3.0841400948103788</v>
      </c>
      <c r="T5" s="3">
        <f>O5*484/55.85/1000*100/1000</f>
        <v>2.0209274843330349</v>
      </c>
      <c r="U5" s="24">
        <f>P5*147.07/40.08/1000*100/1000</f>
        <v>1.5246403443113774</v>
      </c>
      <c r="V5" s="3"/>
      <c r="W5" s="10"/>
      <c r="X5" s="3"/>
      <c r="Y5">
        <f>(E5+H5)-T5/100*(D5+C5-I5)</f>
        <v>15.159210170098476</v>
      </c>
      <c r="Z5">
        <f>(N5-P5)/1000*D5/1000</f>
        <v>6.375</v>
      </c>
      <c r="AB5" s="11">
        <f>J5-(Y5+Z5)</f>
        <v>12.169789829901525</v>
      </c>
    </row>
    <row r="6" spans="1:28" x14ac:dyDescent="0.25">
      <c r="A6" t="s">
        <v>20</v>
      </c>
      <c r="B6" s="4">
        <v>44886</v>
      </c>
      <c r="C6" s="23">
        <v>1000</v>
      </c>
      <c r="D6" s="3">
        <v>1500</v>
      </c>
      <c r="E6" s="3">
        <f>2/100*C6</f>
        <v>20</v>
      </c>
      <c r="F6" s="3">
        <f>2/100*C6</f>
        <v>20</v>
      </c>
      <c r="G6" s="3">
        <f>3/100*D6</f>
        <v>45</v>
      </c>
      <c r="H6" s="24">
        <f>2/100*D6</f>
        <v>30</v>
      </c>
      <c r="I6" s="20">
        <f>650+241.7-2*37.3</f>
        <v>817.1</v>
      </c>
      <c r="J6">
        <v>35.844999999999999</v>
      </c>
      <c r="K6" s="24">
        <f>J6/I6*100</f>
        <v>4.3868559539836003</v>
      </c>
      <c r="M6" s="20">
        <v>2347</v>
      </c>
      <c r="N6">
        <v>8257</v>
      </c>
      <c r="O6">
        <v>2344</v>
      </c>
      <c r="P6" s="22">
        <v>4434</v>
      </c>
      <c r="R6" s="3">
        <f>M6*484/55.85/1000*100/1000</f>
        <v>2.033926589077887</v>
      </c>
      <c r="S6" s="3">
        <f>N6*147.07/40.08/1000*100/1000</f>
        <v>3.0298328093812374</v>
      </c>
      <c r="T6" s="3">
        <f>O6*484/55.85/1000*100/1000</f>
        <v>2.0313267681289164</v>
      </c>
      <c r="U6" s="24">
        <f>P6*147.07/40.08/1000*100/1000</f>
        <v>1.6270169161676649</v>
      </c>
      <c r="W6" s="9"/>
      <c r="Y6">
        <f>(E6+H6)-T6/100*(D6+C6-I6)</f>
        <v>15.814801819158468</v>
      </c>
      <c r="Z6">
        <f>(N6-P6)/1000*D6/1000</f>
        <v>5.7344999999999997</v>
      </c>
      <c r="AB6" s="11">
        <f>J6-(Y6+Z6)</f>
        <v>14.29569818084153</v>
      </c>
    </row>
    <row r="7" spans="1:28" ht="15.75" thickBot="1" x14ac:dyDescent="0.3">
      <c r="A7" t="s">
        <v>21</v>
      </c>
      <c r="B7" s="4">
        <v>44930</v>
      </c>
      <c r="C7" s="20">
        <f>1800-362</f>
        <v>1438</v>
      </c>
      <c r="D7">
        <v>2700</v>
      </c>
      <c r="E7">
        <f>2/100*C7</f>
        <v>28.76</v>
      </c>
      <c r="F7">
        <v>36</v>
      </c>
      <c r="G7">
        <f>3/100*D7</f>
        <v>81</v>
      </c>
      <c r="H7" s="22">
        <f>2/100*D7</f>
        <v>54</v>
      </c>
      <c r="I7" s="20">
        <v>1278</v>
      </c>
      <c r="J7">
        <v>46.2</v>
      </c>
      <c r="K7" s="24">
        <f>J7/I7*100</f>
        <v>3.615023474178404</v>
      </c>
      <c r="M7" s="20">
        <v>2258</v>
      </c>
      <c r="N7">
        <v>8101</v>
      </c>
      <c r="O7">
        <v>2230</v>
      </c>
      <c r="P7" s="22">
        <v>4817</v>
      </c>
      <c r="R7" s="3">
        <f>M7*484/55.85/1000*100/1000</f>
        <v>1.9567985675917636</v>
      </c>
      <c r="S7" s="3">
        <f>N7*147.07/40.08/1000*100/1000</f>
        <v>2.9725899950099794</v>
      </c>
      <c r="T7" s="3">
        <f>O7*484/55.85/1000*100/1000</f>
        <v>1.9325335720680394</v>
      </c>
      <c r="U7" s="24">
        <f>P7*147.07/40.08/1000*100/1000</f>
        <v>1.7675553642714572</v>
      </c>
      <c r="W7" s="12"/>
      <c r="X7" s="13"/>
      <c r="Y7">
        <f>(E7+H7)-T7/100*(D7+C7-I7)</f>
        <v>27.489539838854078</v>
      </c>
      <c r="Z7" s="13">
        <f>(N7-P7)/1000*D7/1000</f>
        <v>8.8667999999999996</v>
      </c>
      <c r="AA7" s="13"/>
      <c r="AB7" s="14">
        <f>J7-(Y7+Z7)</f>
        <v>9.8436601611459267</v>
      </c>
    </row>
    <row r="8" spans="1:28" x14ac:dyDescent="0.25">
      <c r="A8" t="s">
        <v>22</v>
      </c>
      <c r="B8" s="4">
        <v>45134</v>
      </c>
      <c r="C8" s="20">
        <v>1200</v>
      </c>
      <c r="D8">
        <v>1800</v>
      </c>
      <c r="E8">
        <f>2/100*C8</f>
        <v>24</v>
      </c>
      <c r="F8" s="3">
        <f>2/100*C8</f>
        <v>24</v>
      </c>
      <c r="G8" s="3">
        <f>3/100*D8</f>
        <v>54</v>
      </c>
      <c r="H8" s="22">
        <f>2/100*D8</f>
        <v>36</v>
      </c>
      <c r="T8" s="3"/>
      <c r="U8" s="24"/>
    </row>
    <row r="11" spans="1:28" x14ac:dyDescent="0.25">
      <c r="O11" s="3"/>
      <c r="P11" s="24"/>
      <c r="Q11" s="23"/>
      <c r="R11" s="3"/>
    </row>
    <row r="12" spans="1:28" x14ac:dyDescent="0.25">
      <c r="O12" s="3"/>
      <c r="P12" s="24"/>
      <c r="Q12" s="23"/>
      <c r="R12" s="3"/>
    </row>
    <row r="13" spans="1:28" x14ac:dyDescent="0.25">
      <c r="O13" s="3"/>
      <c r="P13" s="24"/>
      <c r="Q13" s="23"/>
      <c r="R13" s="3"/>
    </row>
    <row r="14" spans="1:28" x14ac:dyDescent="0.25">
      <c r="O14" s="3"/>
      <c r="P14" s="24"/>
      <c r="Q14" s="23"/>
      <c r="R14" s="3"/>
    </row>
    <row r="15" spans="1:28" x14ac:dyDescent="0.25">
      <c r="O15" s="3"/>
      <c r="P15" s="24"/>
      <c r="Q15" s="23"/>
      <c r="R15" s="3"/>
    </row>
    <row r="16" spans="1:28" x14ac:dyDescent="0.25">
      <c r="I16" s="15"/>
      <c r="J16" s="15" t="s">
        <v>46</v>
      </c>
      <c r="K16" s="15" t="s">
        <v>47</v>
      </c>
      <c r="M16" s="15" t="s">
        <v>48</v>
      </c>
      <c r="O16" s="3"/>
      <c r="P16" s="24"/>
      <c r="Q16" s="23"/>
      <c r="R16" s="3"/>
    </row>
    <row r="17" spans="9:18" x14ac:dyDescent="0.25">
      <c r="I17" s="26" t="s">
        <v>18</v>
      </c>
      <c r="J17" s="26" t="s">
        <v>27</v>
      </c>
      <c r="K17" s="26" t="s">
        <v>27</v>
      </c>
      <c r="M17" s="15"/>
      <c r="O17" s="3"/>
      <c r="P17" s="24"/>
      <c r="Q17" s="23"/>
      <c r="R17" s="3"/>
    </row>
    <row r="18" spans="9:18" x14ac:dyDescent="0.25">
      <c r="I18" s="26" t="s">
        <v>20</v>
      </c>
      <c r="J18" s="27">
        <v>33.704000000000001</v>
      </c>
      <c r="K18" s="26">
        <v>15.16</v>
      </c>
      <c r="M18" s="16">
        <f>K18/J18*100</f>
        <v>44.979824353192498</v>
      </c>
    </row>
    <row r="19" spans="9:18" x14ac:dyDescent="0.25">
      <c r="I19" s="26" t="s">
        <v>21</v>
      </c>
      <c r="J19" s="26">
        <v>35.844999999999999</v>
      </c>
      <c r="K19" s="26">
        <v>15.81</v>
      </c>
      <c r="M19" s="16">
        <f>K19/J19*100</f>
        <v>44.106569953968474</v>
      </c>
    </row>
    <row r="20" spans="9:18" x14ac:dyDescent="0.25">
      <c r="I20" s="26" t="s">
        <v>22</v>
      </c>
      <c r="J20" s="26">
        <v>46.2</v>
      </c>
      <c r="K20" s="26">
        <v>27.49</v>
      </c>
      <c r="M20" s="16">
        <f>K20/J20*100</f>
        <v>59.50216450216449</v>
      </c>
    </row>
  </sheetData>
  <mergeCells count="7">
    <mergeCell ref="W1:AA1"/>
    <mergeCell ref="Y2:Z2"/>
    <mergeCell ref="M1:P1"/>
    <mergeCell ref="Q1:U1"/>
    <mergeCell ref="E2:G2"/>
    <mergeCell ref="T2:U2"/>
    <mergeCell ref="I2:J2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28"/>
  <sheetViews>
    <sheetView tabSelected="1" topLeftCell="M1" zoomScale="86" zoomScaleNormal="86" workbookViewId="0">
      <selection activeCell="X21" sqref="X21"/>
    </sheetView>
  </sheetViews>
  <sheetFormatPr defaultRowHeight="15" x14ac:dyDescent="0.25"/>
  <cols>
    <col min="1" max="1" width="14.7109375" customWidth="1"/>
    <col min="2" max="2" width="12.42578125" customWidth="1"/>
    <col min="3" max="3" width="9.42578125" bestFit="1" customWidth="1"/>
    <col min="11" max="15" width="17.140625" customWidth="1"/>
    <col min="16" max="16" width="22.28515625" customWidth="1"/>
    <col min="17" max="18" width="17.140625" customWidth="1"/>
    <col min="19" max="19" width="17.85546875" customWidth="1"/>
    <col min="24" max="24" width="16.5703125" customWidth="1"/>
    <col min="25" max="25" width="16.28515625" customWidth="1"/>
    <col min="26" max="26" width="18.42578125" customWidth="1"/>
    <col min="27" max="27" width="27.42578125" customWidth="1"/>
  </cols>
  <sheetData>
    <row r="1" spans="1:29" s="28" customFormat="1" ht="15.75" thickBot="1" x14ac:dyDescent="0.3">
      <c r="A1" s="35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66" t="s">
        <v>61</v>
      </c>
      <c r="U1" s="66"/>
      <c r="V1" s="66"/>
      <c r="W1" s="66"/>
      <c r="X1" s="37"/>
      <c r="Y1" s="37"/>
      <c r="Z1" s="37"/>
      <c r="AA1" s="37"/>
    </row>
    <row r="2" spans="1:29" s="15" customFormat="1" ht="30.75" thickBot="1" x14ac:dyDescent="0.3">
      <c r="A2" s="34"/>
      <c r="B2" s="39" t="s">
        <v>2</v>
      </c>
      <c r="C2" s="40"/>
      <c r="D2" s="40"/>
      <c r="E2" s="40"/>
      <c r="F2" s="40"/>
      <c r="G2" s="40"/>
      <c r="H2" s="65" t="s">
        <v>7</v>
      </c>
      <c r="I2" s="65"/>
      <c r="J2" s="65"/>
      <c r="K2" s="41"/>
      <c r="L2" s="41"/>
      <c r="M2" s="41"/>
      <c r="N2" s="65" t="s">
        <v>50</v>
      </c>
      <c r="O2" s="65"/>
      <c r="P2" s="65"/>
      <c r="Q2" s="65"/>
      <c r="R2" s="65" t="s">
        <v>60</v>
      </c>
      <c r="S2" s="65"/>
      <c r="T2" s="65" t="s">
        <v>62</v>
      </c>
      <c r="U2" s="65"/>
      <c r="V2" s="65" t="s">
        <v>15</v>
      </c>
      <c r="W2" s="65"/>
      <c r="X2" s="40" t="s">
        <v>92</v>
      </c>
      <c r="Y2" s="40" t="s">
        <v>55</v>
      </c>
      <c r="Z2" s="42" t="s">
        <v>56</v>
      </c>
      <c r="AA2" s="43" t="s">
        <v>57</v>
      </c>
      <c r="AB2" s="29"/>
    </row>
    <row r="3" spans="1:29" s="32" customFormat="1" ht="15.75" thickBot="1" x14ac:dyDescent="0.3">
      <c r="A3" s="31" t="s">
        <v>65</v>
      </c>
      <c r="B3" s="22" t="s">
        <v>0</v>
      </c>
      <c r="C3" s="38" t="s">
        <v>1</v>
      </c>
      <c r="D3" s="38" t="s">
        <v>49</v>
      </c>
      <c r="E3" s="38" t="s">
        <v>24</v>
      </c>
      <c r="F3" s="38" t="s">
        <v>68</v>
      </c>
      <c r="G3" s="38" t="s">
        <v>76</v>
      </c>
      <c r="H3" s="38" t="s">
        <v>9</v>
      </c>
      <c r="I3" s="38" t="s">
        <v>8</v>
      </c>
      <c r="J3" s="38" t="s">
        <v>10</v>
      </c>
      <c r="K3" s="38" t="s">
        <v>11</v>
      </c>
      <c r="L3" s="38" t="s">
        <v>77</v>
      </c>
      <c r="M3" s="38"/>
      <c r="N3" s="38" t="s">
        <v>51</v>
      </c>
      <c r="O3" s="38" t="s">
        <v>53</v>
      </c>
      <c r="P3" s="38" t="s">
        <v>52</v>
      </c>
      <c r="Q3" s="38" t="s">
        <v>59</v>
      </c>
      <c r="R3" s="38" t="s">
        <v>12</v>
      </c>
      <c r="S3" s="38" t="s">
        <v>13</v>
      </c>
      <c r="T3" s="38" t="s">
        <v>8</v>
      </c>
      <c r="U3" s="38" t="s">
        <v>17</v>
      </c>
      <c r="V3" s="38" t="s">
        <v>16</v>
      </c>
      <c r="W3" s="38" t="s">
        <v>17</v>
      </c>
      <c r="X3" s="38"/>
      <c r="Y3" s="38"/>
      <c r="Z3" s="38"/>
      <c r="AA3" s="38"/>
    </row>
    <row r="4" spans="1:29" s="15" customFormat="1" ht="15.75" thickBot="1" x14ac:dyDescent="0.3">
      <c r="A4" s="34" t="s">
        <v>67</v>
      </c>
      <c r="B4" s="29"/>
      <c r="C4" s="33">
        <v>44841</v>
      </c>
      <c r="D4" s="33"/>
      <c r="E4" s="33"/>
      <c r="F4" s="33"/>
      <c r="G4" s="33"/>
      <c r="H4" s="15">
        <v>4</v>
      </c>
      <c r="I4" s="15">
        <v>4</v>
      </c>
      <c r="J4" s="15">
        <v>12</v>
      </c>
      <c r="K4" s="26">
        <v>8</v>
      </c>
      <c r="L4" s="26"/>
      <c r="M4" s="26"/>
      <c r="S4" s="15">
        <v>4</v>
      </c>
    </row>
    <row r="5" spans="1:29" s="15" customFormat="1" x14ac:dyDescent="0.25">
      <c r="A5" s="67" t="s">
        <v>66</v>
      </c>
      <c r="B5" s="29" t="s">
        <v>73</v>
      </c>
      <c r="C5" s="33">
        <v>44984</v>
      </c>
      <c r="D5" s="70">
        <v>600</v>
      </c>
      <c r="E5" s="70">
        <v>1000</v>
      </c>
      <c r="F5" s="70">
        <v>2</v>
      </c>
      <c r="G5" s="73">
        <v>2</v>
      </c>
      <c r="H5" s="70">
        <v>12</v>
      </c>
      <c r="I5" s="70">
        <v>12</v>
      </c>
      <c r="J5" s="70">
        <v>30</v>
      </c>
      <c r="K5" s="70">
        <v>20</v>
      </c>
      <c r="L5" s="16">
        <v>170</v>
      </c>
      <c r="M5" s="44"/>
      <c r="N5" s="16">
        <f>0.5/100*O5</f>
        <v>2.3445</v>
      </c>
      <c r="O5" s="16">
        <v>468.9</v>
      </c>
      <c r="P5" s="16">
        <v>407</v>
      </c>
      <c r="Q5" s="16">
        <v>4.2</v>
      </c>
      <c r="R5" s="16">
        <v>170</v>
      </c>
      <c r="S5" s="16">
        <v>4</v>
      </c>
      <c r="T5" s="16"/>
      <c r="U5" s="16"/>
      <c r="V5" s="16"/>
      <c r="W5" s="16"/>
      <c r="X5" s="16">
        <f>P5*(O5/1000)*(484.06/55.85)/1000</f>
        <v>1.6540577213607879</v>
      </c>
      <c r="Y5" s="16">
        <f>2/100*L5</f>
        <v>3.4</v>
      </c>
      <c r="Z5" s="16">
        <f>(Y5-X5)/Y5*100</f>
        <v>51.351243489388587</v>
      </c>
      <c r="AA5" s="16" t="s">
        <v>58</v>
      </c>
      <c r="AB5" s="16"/>
      <c r="AC5" s="16"/>
    </row>
    <row r="6" spans="1:29" s="15" customFormat="1" x14ac:dyDescent="0.25">
      <c r="A6" s="68"/>
      <c r="B6" s="29" t="s">
        <v>74</v>
      </c>
      <c r="C6" s="33">
        <v>44984</v>
      </c>
      <c r="D6" s="70"/>
      <c r="E6" s="70"/>
      <c r="F6" s="70"/>
      <c r="G6" s="74"/>
      <c r="H6" s="70"/>
      <c r="I6" s="70"/>
      <c r="J6" s="70"/>
      <c r="K6" s="70"/>
      <c r="L6" s="15">
        <v>168.5</v>
      </c>
      <c r="M6" s="44"/>
      <c r="N6" s="16">
        <f>0.75/100*O6</f>
        <v>3.7649999999999997</v>
      </c>
      <c r="O6" s="15">
        <v>502</v>
      </c>
      <c r="P6" s="15">
        <v>407</v>
      </c>
      <c r="Q6" s="15">
        <v>4.5</v>
      </c>
      <c r="R6" s="15">
        <v>168.5</v>
      </c>
      <c r="S6" s="15">
        <v>4.5</v>
      </c>
      <c r="X6" s="16">
        <f t="shared" ref="X6:X10" si="0">P6*(O6/1000)*(484.06/55.85)/1000</f>
        <v>1.7708188870188002</v>
      </c>
      <c r="Y6" s="16">
        <f t="shared" ref="Y6:Y7" si="1">2/100*L6</f>
        <v>3.37</v>
      </c>
      <c r="Z6" s="16">
        <f t="shared" ref="Z6:Z10" si="2">(Y6-X6)/Y6*100</f>
        <v>47.453445489056378</v>
      </c>
      <c r="AA6" s="16" t="s">
        <v>63</v>
      </c>
    </row>
    <row r="7" spans="1:29" s="15" customFormat="1" ht="15.75" thickBot="1" x14ac:dyDescent="0.3">
      <c r="A7" s="69"/>
      <c r="B7" s="29" t="s">
        <v>75</v>
      </c>
      <c r="C7" s="33">
        <v>44984</v>
      </c>
      <c r="D7" s="70"/>
      <c r="E7" s="70"/>
      <c r="F7" s="70"/>
      <c r="G7" s="75"/>
      <c r="H7" s="70"/>
      <c r="I7" s="70"/>
      <c r="J7" s="70"/>
      <c r="K7" s="70"/>
      <c r="L7" s="15">
        <v>168</v>
      </c>
      <c r="M7" s="44"/>
      <c r="N7" s="16">
        <f>1/100*O7</f>
        <v>4.4000000000000004</v>
      </c>
      <c r="O7" s="15">
        <v>440</v>
      </c>
      <c r="P7" s="15">
        <v>166</v>
      </c>
      <c r="Q7" s="15">
        <v>4.34</v>
      </c>
      <c r="R7" s="15">
        <v>168</v>
      </c>
      <c r="S7" s="15">
        <v>7</v>
      </c>
      <c r="X7" s="16">
        <f t="shared" si="0"/>
        <v>0.63304820769919434</v>
      </c>
      <c r="Y7" s="16">
        <f t="shared" si="1"/>
        <v>3.36</v>
      </c>
      <c r="Z7" s="16">
        <f t="shared" si="2"/>
        <v>81.159279532762071</v>
      </c>
      <c r="AA7" s="16" t="s">
        <v>64</v>
      </c>
    </row>
    <row r="8" spans="1:29" x14ac:dyDescent="0.25">
      <c r="A8" s="71" t="s">
        <v>69</v>
      </c>
      <c r="B8" s="29" t="s">
        <v>70</v>
      </c>
      <c r="C8" s="4">
        <v>45027</v>
      </c>
      <c r="D8" s="62">
        <v>600</v>
      </c>
      <c r="E8" s="62">
        <v>1000</v>
      </c>
      <c r="F8" s="62">
        <v>2</v>
      </c>
      <c r="G8" s="62">
        <v>4</v>
      </c>
      <c r="H8" s="62">
        <v>12</v>
      </c>
      <c r="I8" s="62">
        <v>24</v>
      </c>
      <c r="J8" s="62">
        <v>30</v>
      </c>
      <c r="K8" s="62">
        <v>40</v>
      </c>
      <c r="L8" s="46">
        <v>150</v>
      </c>
      <c r="M8" s="46"/>
      <c r="N8" s="16">
        <f>0.5/100*O8</f>
        <v>2.2530000000000001</v>
      </c>
      <c r="O8" s="38">
        <v>450.6</v>
      </c>
      <c r="P8" s="38">
        <v>358.53</v>
      </c>
      <c r="Q8" s="38">
        <v>3.55</v>
      </c>
      <c r="R8" s="38">
        <v>172.9</v>
      </c>
      <c r="S8" s="38">
        <v>4.5999999999999996</v>
      </c>
      <c r="X8" s="16">
        <f>P8*(O8/1000)*(484.06/55.85)/1000</f>
        <v>1.4002084929110117</v>
      </c>
      <c r="Y8" s="16">
        <f>4/100*L8</f>
        <v>6</v>
      </c>
      <c r="Z8" s="16">
        <f t="shared" si="2"/>
        <v>76.663191784816476</v>
      </c>
      <c r="AA8" s="16" t="s">
        <v>58</v>
      </c>
    </row>
    <row r="9" spans="1:29" x14ac:dyDescent="0.25">
      <c r="A9" s="72"/>
      <c r="B9" s="29" t="s">
        <v>71</v>
      </c>
      <c r="C9" s="4">
        <v>45027</v>
      </c>
      <c r="D9" s="63"/>
      <c r="E9" s="63"/>
      <c r="F9" s="63"/>
      <c r="G9" s="63"/>
      <c r="H9" s="63"/>
      <c r="I9" s="63"/>
      <c r="J9" s="63"/>
      <c r="K9" s="63"/>
      <c r="L9" s="45">
        <v>150</v>
      </c>
      <c r="M9" s="45"/>
      <c r="N9" s="16">
        <f>0.75/100*O9</f>
        <v>3.3764999999999996</v>
      </c>
      <c r="O9" s="38">
        <v>450.2</v>
      </c>
      <c r="P9" s="38">
        <v>448.9</v>
      </c>
      <c r="Q9" s="38">
        <v>4.1100000000000003</v>
      </c>
      <c r="R9" s="38">
        <v>204.3</v>
      </c>
      <c r="S9" s="38">
        <v>6</v>
      </c>
      <c r="X9" s="16">
        <f t="shared" si="0"/>
        <v>1.7515845874091314</v>
      </c>
      <c r="Y9" s="16">
        <f>4/100*L9</f>
        <v>6</v>
      </c>
      <c r="Z9" s="16">
        <f t="shared" si="2"/>
        <v>70.806923543181142</v>
      </c>
      <c r="AA9" s="16" t="s">
        <v>63</v>
      </c>
    </row>
    <row r="10" spans="1:29" x14ac:dyDescent="0.25">
      <c r="A10" s="72"/>
      <c r="B10" s="29" t="s">
        <v>72</v>
      </c>
      <c r="C10" s="4">
        <v>45027</v>
      </c>
      <c r="D10" s="63"/>
      <c r="E10" s="63"/>
      <c r="F10" s="63"/>
      <c r="G10" s="63"/>
      <c r="H10" s="63"/>
      <c r="I10" s="63"/>
      <c r="J10" s="63"/>
      <c r="K10" s="63"/>
      <c r="L10" s="45">
        <v>150</v>
      </c>
      <c r="M10" s="45"/>
      <c r="N10" s="16">
        <f>1/100*O10</f>
        <v>4.37</v>
      </c>
      <c r="O10" s="38">
        <v>437</v>
      </c>
      <c r="P10" s="38">
        <v>8.5</v>
      </c>
      <c r="Q10" s="38">
        <v>4.41</v>
      </c>
      <c r="R10" s="38">
        <v>204</v>
      </c>
      <c r="S10" s="38">
        <v>6.6</v>
      </c>
      <c r="X10" s="16">
        <f t="shared" si="0"/>
        <v>3.2194106893464636E-2</v>
      </c>
      <c r="Y10" s="16">
        <f>4/100*L10</f>
        <v>6</v>
      </c>
      <c r="Z10" s="16">
        <f t="shared" si="2"/>
        <v>99.463431551775599</v>
      </c>
      <c r="AA10" s="16" t="s">
        <v>64</v>
      </c>
    </row>
    <row r="11" spans="1:29" x14ac:dyDescent="0.25">
      <c r="A11" s="64" t="s">
        <v>78</v>
      </c>
      <c r="B11" s="22" t="s">
        <v>79</v>
      </c>
      <c r="D11" s="61">
        <v>600</v>
      </c>
      <c r="E11" s="61">
        <v>1000</v>
      </c>
      <c r="F11" s="61">
        <v>2</v>
      </c>
      <c r="G11" s="61">
        <v>0</v>
      </c>
      <c r="H11" s="61">
        <f>F11/100*D11</f>
        <v>12</v>
      </c>
      <c r="I11" s="61">
        <f>G11/100*D11</f>
        <v>0</v>
      </c>
      <c r="J11" s="61">
        <f>3/100*E11</f>
        <v>30</v>
      </c>
      <c r="K11" s="63">
        <v>0</v>
      </c>
    </row>
    <row r="12" spans="1:29" x14ac:dyDescent="0.25">
      <c r="A12" s="64"/>
      <c r="B12" s="22" t="s">
        <v>80</v>
      </c>
      <c r="D12" s="61"/>
      <c r="E12" s="61"/>
      <c r="F12" s="61"/>
      <c r="G12" s="61"/>
      <c r="H12" s="61"/>
      <c r="I12" s="61"/>
      <c r="J12" s="61"/>
      <c r="K12" s="63"/>
    </row>
    <row r="13" spans="1:29" x14ac:dyDescent="0.25">
      <c r="A13" s="64"/>
      <c r="B13" s="22" t="s">
        <v>81</v>
      </c>
      <c r="D13" s="61"/>
      <c r="E13" s="61"/>
      <c r="F13" s="61"/>
      <c r="G13" s="61"/>
      <c r="H13" s="61"/>
      <c r="I13" s="61"/>
      <c r="J13" s="61"/>
      <c r="K13" s="63"/>
    </row>
    <row r="14" spans="1:29" x14ac:dyDescent="0.25">
      <c r="A14" s="64" t="s">
        <v>82</v>
      </c>
      <c r="B14" s="29" t="s">
        <v>70</v>
      </c>
      <c r="C14" s="4">
        <v>45097</v>
      </c>
      <c r="D14" s="61">
        <v>800</v>
      </c>
      <c r="E14" s="63">
        <f>D14*1.5</f>
        <v>1200</v>
      </c>
      <c r="F14" s="61">
        <v>2</v>
      </c>
      <c r="G14" s="61">
        <v>4</v>
      </c>
      <c r="H14" s="61">
        <f>F14/100*D14</f>
        <v>16</v>
      </c>
      <c r="I14" s="61">
        <f>G14/100*D14</f>
        <v>32</v>
      </c>
      <c r="J14" s="61">
        <f>3/100*E14</f>
        <v>36</v>
      </c>
      <c r="K14" s="62">
        <f>4/100*E14</f>
        <v>48</v>
      </c>
      <c r="L14">
        <v>257</v>
      </c>
      <c r="N14" s="16">
        <f>0.5/100*O14</f>
        <v>3.25</v>
      </c>
      <c r="O14">
        <v>650</v>
      </c>
      <c r="P14">
        <v>668</v>
      </c>
      <c r="X14" s="16">
        <f>P14*(O14/1000)*(484.06/55.85)/1000</f>
        <v>3.7632739838854072</v>
      </c>
      <c r="Y14" s="16">
        <f>4/100*L14</f>
        <v>10.28</v>
      </c>
      <c r="Z14" s="16">
        <f t="shared" ref="Z14" si="3">(Y14-X14)/Y14*100</f>
        <v>63.392276421348178</v>
      </c>
    </row>
    <row r="15" spans="1:29" x14ac:dyDescent="0.25">
      <c r="A15" s="64"/>
      <c r="B15" s="29" t="s">
        <v>71</v>
      </c>
      <c r="C15" s="4">
        <v>45097</v>
      </c>
      <c r="D15" s="61"/>
      <c r="E15" s="63"/>
      <c r="F15" s="61"/>
      <c r="G15" s="61"/>
      <c r="H15" s="61"/>
      <c r="I15" s="61"/>
      <c r="J15" s="61"/>
      <c r="K15" s="63"/>
      <c r="L15">
        <v>230</v>
      </c>
      <c r="N15" s="16">
        <f>0.75/100*O15</f>
        <v>4.875</v>
      </c>
      <c r="O15">
        <v>650</v>
      </c>
      <c r="P15">
        <v>522</v>
      </c>
      <c r="X15" s="16">
        <f>P15*(O15/1000)*(484.06/55.85)/1000</f>
        <v>2.9407620053715311</v>
      </c>
      <c r="Y15" s="16">
        <f>4/100*L15</f>
        <v>9.2000000000000011</v>
      </c>
      <c r="Z15" s="16">
        <f t="shared" ref="Z15:Z16" si="4">(Y15-X15)/Y15*100</f>
        <v>68.035195593787705</v>
      </c>
    </row>
    <row r="16" spans="1:29" x14ac:dyDescent="0.25">
      <c r="A16" s="64"/>
      <c r="B16" s="29" t="s">
        <v>72</v>
      </c>
      <c r="C16" s="4">
        <v>45097</v>
      </c>
      <c r="D16" s="61"/>
      <c r="E16" s="63"/>
      <c r="F16" s="61"/>
      <c r="G16" s="61"/>
      <c r="H16" s="61"/>
      <c r="I16" s="61"/>
      <c r="J16" s="61"/>
      <c r="K16" s="63"/>
      <c r="L16">
        <v>230</v>
      </c>
      <c r="N16" s="16">
        <f>1/100*O16</f>
        <v>6.5</v>
      </c>
      <c r="O16">
        <v>650</v>
      </c>
      <c r="P16">
        <v>215</v>
      </c>
      <c r="X16" s="16">
        <f>P16*(O16/1000)*(484.06/55.85)/1000</f>
        <v>1.2112333930170098</v>
      </c>
      <c r="Y16" s="16">
        <f>4/100*L16</f>
        <v>9.2000000000000011</v>
      </c>
      <c r="Z16" s="16">
        <f>(Y16-X16)/Y16*100</f>
        <v>86.834419641119453</v>
      </c>
    </row>
    <row r="17" spans="1:26" x14ac:dyDescent="0.25">
      <c r="A17" s="30"/>
      <c r="X17" s="16"/>
      <c r="Y17" s="16"/>
      <c r="Z17" s="16"/>
    </row>
    <row r="18" spans="1:26" x14ac:dyDescent="0.25">
      <c r="A18" s="30"/>
    </row>
    <row r="19" spans="1:26" x14ac:dyDescent="0.25">
      <c r="A19" s="30"/>
    </row>
    <row r="20" spans="1:26" x14ac:dyDescent="0.25">
      <c r="A20" s="30"/>
    </row>
    <row r="21" spans="1:26" x14ac:dyDescent="0.25">
      <c r="A21" s="30"/>
    </row>
    <row r="22" spans="1:26" x14ac:dyDescent="0.25">
      <c r="A22" s="30"/>
    </row>
    <row r="23" spans="1:26" x14ac:dyDescent="0.25">
      <c r="A23" s="30"/>
    </row>
    <row r="24" spans="1:26" x14ac:dyDescent="0.25">
      <c r="A24" s="30"/>
    </row>
    <row r="25" spans="1:26" x14ac:dyDescent="0.25">
      <c r="A25" s="30"/>
    </row>
    <row r="26" spans="1:26" x14ac:dyDescent="0.25">
      <c r="A26" s="30"/>
    </row>
    <row r="27" spans="1:26" x14ac:dyDescent="0.25">
      <c r="A27" s="30"/>
    </row>
    <row r="28" spans="1:26" ht="15.75" thickBot="1" x14ac:dyDescent="0.3">
      <c r="A28" s="31"/>
    </row>
  </sheetData>
  <mergeCells count="42">
    <mergeCell ref="H11:H13"/>
    <mergeCell ref="I11:I13"/>
    <mergeCell ref="J11:J13"/>
    <mergeCell ref="K11:K13"/>
    <mergeCell ref="A11:A13"/>
    <mergeCell ref="D11:D13"/>
    <mergeCell ref="E11:E13"/>
    <mergeCell ref="F11:F13"/>
    <mergeCell ref="G11:G13"/>
    <mergeCell ref="I8:I10"/>
    <mergeCell ref="J8:J10"/>
    <mergeCell ref="K8:K10"/>
    <mergeCell ref="G5:G7"/>
    <mergeCell ref="G8:G10"/>
    <mergeCell ref="K5:K7"/>
    <mergeCell ref="A8:A10"/>
    <mergeCell ref="D8:D10"/>
    <mergeCell ref="E8:E10"/>
    <mergeCell ref="F8:F10"/>
    <mergeCell ref="H8:H10"/>
    <mergeCell ref="N2:Q2"/>
    <mergeCell ref="R2:S2"/>
    <mergeCell ref="T1:W1"/>
    <mergeCell ref="A5:A7"/>
    <mergeCell ref="F5:F7"/>
    <mergeCell ref="H2:J2"/>
    <mergeCell ref="T2:U2"/>
    <mergeCell ref="V2:W2"/>
    <mergeCell ref="D5:D7"/>
    <mergeCell ref="E5:E7"/>
    <mergeCell ref="H5:H7"/>
    <mergeCell ref="I5:I7"/>
    <mergeCell ref="J5:J7"/>
    <mergeCell ref="H14:H16"/>
    <mergeCell ref="I14:I16"/>
    <mergeCell ref="J14:J16"/>
    <mergeCell ref="K14:K16"/>
    <mergeCell ref="A14:A16"/>
    <mergeCell ref="D14:D16"/>
    <mergeCell ref="E14:E16"/>
    <mergeCell ref="F14:F16"/>
    <mergeCell ref="G14:G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B3E78-D0C2-42A6-884D-0A4F4C0BFC37}">
  <dimension ref="A1:AC18"/>
  <sheetViews>
    <sheetView topLeftCell="A2" workbookViewId="0">
      <selection activeCell="L19" sqref="L19"/>
    </sheetView>
  </sheetViews>
  <sheetFormatPr defaultRowHeight="15" x14ac:dyDescent="0.25"/>
  <cols>
    <col min="1" max="1" width="14.7109375" customWidth="1"/>
    <col min="2" max="2" width="12.42578125" customWidth="1"/>
    <col min="3" max="3" width="9.42578125" bestFit="1" customWidth="1"/>
    <col min="11" max="15" width="17.140625" customWidth="1"/>
    <col min="16" max="16" width="22.28515625" customWidth="1"/>
    <col min="17" max="18" width="17.140625" customWidth="1"/>
    <col min="19" max="19" width="17.85546875" customWidth="1"/>
    <col min="24" max="24" width="16.5703125" customWidth="1"/>
    <col min="25" max="25" width="16.28515625" customWidth="1"/>
    <col min="26" max="26" width="18.42578125" customWidth="1"/>
    <col min="27" max="27" width="27.42578125" customWidth="1"/>
  </cols>
  <sheetData>
    <row r="1" spans="1:29" s="28" customFormat="1" ht="15.75" thickBot="1" x14ac:dyDescent="0.3">
      <c r="A1" s="35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66" t="s">
        <v>61</v>
      </c>
      <c r="U1" s="66"/>
      <c r="V1" s="66"/>
      <c r="W1" s="66"/>
      <c r="X1" s="37"/>
      <c r="Y1" s="37"/>
      <c r="Z1" s="37"/>
      <c r="AA1" s="37"/>
    </row>
    <row r="2" spans="1:29" s="52" customFormat="1" ht="15.75" thickBot="1" x14ac:dyDescent="0.3">
      <c r="A2" s="35" t="s">
        <v>91</v>
      </c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49"/>
      <c r="U2" s="49"/>
      <c r="V2" s="49"/>
      <c r="W2" s="49"/>
      <c r="X2" s="37"/>
      <c r="Y2" s="37"/>
      <c r="Z2" s="37"/>
      <c r="AA2" s="50"/>
      <c r="AB2" s="51"/>
    </row>
    <row r="3" spans="1:29" s="15" customFormat="1" ht="30.75" thickBot="1" x14ac:dyDescent="0.3">
      <c r="A3" s="35" t="s">
        <v>91</v>
      </c>
      <c r="B3" s="39" t="s">
        <v>90</v>
      </c>
      <c r="C3" s="40"/>
      <c r="D3" s="40"/>
      <c r="E3" s="40"/>
      <c r="F3" s="40"/>
      <c r="G3" s="40"/>
      <c r="H3" s="65" t="s">
        <v>7</v>
      </c>
      <c r="I3" s="65"/>
      <c r="J3" s="65"/>
      <c r="K3" s="41"/>
      <c r="L3" s="41"/>
      <c r="M3" s="41"/>
      <c r="N3" s="65" t="s">
        <v>50</v>
      </c>
      <c r="O3" s="65"/>
      <c r="P3" s="65"/>
      <c r="Q3" s="65"/>
      <c r="R3" s="65" t="s">
        <v>60</v>
      </c>
      <c r="S3" s="65"/>
      <c r="T3" s="65" t="s">
        <v>62</v>
      </c>
      <c r="U3" s="65"/>
      <c r="V3" s="65" t="s">
        <v>15</v>
      </c>
      <c r="W3" s="65"/>
      <c r="X3" s="40" t="s">
        <v>54</v>
      </c>
      <c r="Y3" s="40" t="s">
        <v>55</v>
      </c>
      <c r="Z3" s="42" t="s">
        <v>56</v>
      </c>
      <c r="AA3" s="43" t="s">
        <v>57</v>
      </c>
      <c r="AB3" s="29"/>
    </row>
    <row r="4" spans="1:29" s="32" customFormat="1" ht="15.75" thickBot="1" x14ac:dyDescent="0.3">
      <c r="A4" s="31" t="s">
        <v>65</v>
      </c>
      <c r="B4" s="22" t="s">
        <v>0</v>
      </c>
      <c r="C4" s="38" t="s">
        <v>1</v>
      </c>
      <c r="D4" s="38" t="s">
        <v>49</v>
      </c>
      <c r="E4" s="38" t="s">
        <v>24</v>
      </c>
      <c r="F4" s="38" t="s">
        <v>68</v>
      </c>
      <c r="G4" s="38" t="s">
        <v>76</v>
      </c>
      <c r="H4" s="38" t="s">
        <v>9</v>
      </c>
      <c r="I4" s="38" t="s">
        <v>8</v>
      </c>
      <c r="J4" s="38" t="s">
        <v>10</v>
      </c>
      <c r="K4" s="38" t="s">
        <v>11</v>
      </c>
      <c r="L4" s="38" t="s">
        <v>77</v>
      </c>
      <c r="M4" s="38"/>
      <c r="N4" s="38" t="s">
        <v>51</v>
      </c>
      <c r="O4" s="38" t="s">
        <v>53</v>
      </c>
      <c r="P4" s="38" t="s">
        <v>52</v>
      </c>
      <c r="Q4" s="38" t="s">
        <v>59</v>
      </c>
      <c r="R4" s="38" t="s">
        <v>12</v>
      </c>
      <c r="S4" s="38" t="s">
        <v>13</v>
      </c>
      <c r="T4" s="38" t="s">
        <v>8</v>
      </c>
      <c r="U4" s="38" t="s">
        <v>17</v>
      </c>
      <c r="V4" s="38" t="s">
        <v>16</v>
      </c>
      <c r="W4" s="38" t="s">
        <v>17</v>
      </c>
      <c r="X4" s="38"/>
      <c r="Y4" s="38"/>
      <c r="Z4" s="38"/>
      <c r="AA4" s="38"/>
    </row>
    <row r="5" spans="1:29" s="15" customFormat="1" ht="15.75" thickBot="1" x14ac:dyDescent="0.3">
      <c r="A5" s="34" t="s">
        <v>67</v>
      </c>
      <c r="B5" s="29"/>
      <c r="C5" s="33">
        <v>44841</v>
      </c>
      <c r="D5" s="33"/>
      <c r="E5" s="33"/>
      <c r="F5" s="33"/>
      <c r="G5" s="33"/>
      <c r="H5" s="15">
        <v>4</v>
      </c>
      <c r="I5" s="15">
        <v>4</v>
      </c>
      <c r="J5" s="15">
        <v>12</v>
      </c>
      <c r="K5" s="26">
        <v>8</v>
      </c>
      <c r="L5" s="26"/>
      <c r="M5" s="26"/>
      <c r="S5" s="15">
        <v>4</v>
      </c>
    </row>
    <row r="6" spans="1:29" s="15" customFormat="1" x14ac:dyDescent="0.25">
      <c r="A6" s="47" t="s">
        <v>83</v>
      </c>
      <c r="B6" s="29" t="s">
        <v>70</v>
      </c>
      <c r="C6" s="33">
        <v>45104</v>
      </c>
      <c r="D6" s="48">
        <v>1500</v>
      </c>
      <c r="E6" s="16">
        <f>D6*1.5</f>
        <v>2250</v>
      </c>
      <c r="F6" s="16">
        <v>2</v>
      </c>
      <c r="G6" s="32">
        <v>4</v>
      </c>
      <c r="H6" s="16">
        <f>F6/100*D6</f>
        <v>30</v>
      </c>
      <c r="I6" s="16">
        <f>G6/100*D6</f>
        <v>60</v>
      </c>
      <c r="J6" s="16">
        <f>3/100*E6</f>
        <v>67.5</v>
      </c>
      <c r="K6" s="16">
        <f>4/100*E6</f>
        <v>90</v>
      </c>
      <c r="L6" s="48">
        <v>1059</v>
      </c>
      <c r="M6" s="16"/>
      <c r="N6" s="16">
        <f>0.5/100*O6</f>
        <v>17.164999999999999</v>
      </c>
      <c r="O6">
        <f>4000-567</f>
        <v>3433</v>
      </c>
      <c r="P6" s="48">
        <v>308</v>
      </c>
      <c r="Q6" s="48"/>
      <c r="R6" s="48"/>
      <c r="S6" s="48">
        <v>25</v>
      </c>
      <c r="T6" s="16"/>
      <c r="U6" s="16"/>
      <c r="V6" s="16"/>
      <c r="W6" s="16"/>
      <c r="X6" s="16">
        <f>P6*(O6/1000)*(484.06/55.85)/1000</f>
        <v>9.1643261923008073</v>
      </c>
      <c r="Y6" s="16">
        <f>4/100*L6</f>
        <v>42.36</v>
      </c>
      <c r="Z6" s="16">
        <f>(Y6-X6)/Y6*100</f>
        <v>78.365613332623212</v>
      </c>
      <c r="AA6" s="16" t="s">
        <v>58</v>
      </c>
      <c r="AB6" s="16"/>
      <c r="AC6" s="16"/>
    </row>
    <row r="7" spans="1:29" x14ac:dyDescent="0.25">
      <c r="A7" s="30" t="s">
        <v>85</v>
      </c>
      <c r="B7" s="29" t="s">
        <v>70</v>
      </c>
      <c r="C7" s="2">
        <v>45110</v>
      </c>
      <c r="D7">
        <v>1200</v>
      </c>
      <c r="E7" s="16">
        <f>D7*1.5</f>
        <v>1800</v>
      </c>
      <c r="F7" s="16">
        <v>2</v>
      </c>
      <c r="G7" s="32">
        <v>4</v>
      </c>
      <c r="H7" s="16">
        <f>F7/100*D7</f>
        <v>24</v>
      </c>
      <c r="I7" s="16">
        <f>G7/100*D7</f>
        <v>48</v>
      </c>
      <c r="J7" s="16">
        <f>3/100*E7</f>
        <v>54</v>
      </c>
      <c r="K7" s="16">
        <f>4/100*E7</f>
        <v>72</v>
      </c>
      <c r="L7" s="48">
        <v>1038.2</v>
      </c>
      <c r="N7" s="16">
        <f>0.5/100*O7</f>
        <v>17.650000000000002</v>
      </c>
      <c r="O7">
        <v>3530</v>
      </c>
      <c r="P7">
        <v>511</v>
      </c>
      <c r="X7" s="16">
        <f t="shared" ref="X7" si="0">P7*(O7/1000)*(484.06/55.85)/1000</f>
        <v>15.634054606982989</v>
      </c>
      <c r="Y7" s="16">
        <f t="shared" ref="Y7:Y9" si="1">4/100*L7</f>
        <v>41.528000000000006</v>
      </c>
      <c r="Z7" s="16">
        <f t="shared" ref="Z7:Z9" si="2">(Y7-X7)/Y7*100</f>
        <v>62.352979659547799</v>
      </c>
    </row>
    <row r="8" spans="1:29" x14ac:dyDescent="0.25">
      <c r="A8" s="30" t="s">
        <v>86</v>
      </c>
      <c r="B8" s="29" t="s">
        <v>70</v>
      </c>
      <c r="C8" s="2">
        <v>45112</v>
      </c>
      <c r="D8">
        <v>1200</v>
      </c>
      <c r="E8">
        <v>1800</v>
      </c>
      <c r="F8" s="16">
        <v>2</v>
      </c>
      <c r="G8" s="32">
        <v>4</v>
      </c>
      <c r="H8" s="16">
        <f>F8/100*D8</f>
        <v>24</v>
      </c>
      <c r="I8" s="16">
        <f>G8/100*D8</f>
        <v>48</v>
      </c>
      <c r="J8" s="16">
        <f>3/100*E8</f>
        <v>54</v>
      </c>
      <c r="K8" s="16">
        <f>4/100*E8</f>
        <v>72</v>
      </c>
      <c r="L8">
        <v>1053</v>
      </c>
      <c r="N8" s="16">
        <f>0.5/100*O8</f>
        <v>19.8995</v>
      </c>
      <c r="O8">
        <v>3979.9</v>
      </c>
      <c r="P8">
        <v>280</v>
      </c>
      <c r="X8" s="16">
        <f>P8*(O8/1000)*(484.06/55.85)/1000</f>
        <v>9.6584227452103857</v>
      </c>
      <c r="Y8" s="16">
        <f t="shared" si="1"/>
        <v>42.12</v>
      </c>
      <c r="Z8" s="16">
        <f t="shared" si="2"/>
        <v>77.069271735018077</v>
      </c>
    </row>
    <row r="9" spans="1:29" x14ac:dyDescent="0.25">
      <c r="A9" s="30" t="s">
        <v>87</v>
      </c>
      <c r="B9" s="29" t="s">
        <v>70</v>
      </c>
      <c r="L9">
        <v>1013.6</v>
      </c>
      <c r="N9" s="16">
        <f>0.5/100*O9</f>
        <v>14.975999999999997</v>
      </c>
      <c r="O9">
        <f>(2202.2-100.4)+1170.5-305+1198.5-1170.6</f>
        <v>2995.1999999999994</v>
      </c>
      <c r="P9">
        <v>537</v>
      </c>
      <c r="X9" s="16">
        <f>P9*(O9/1000)*(484.06/55.85)/1000</f>
        <v>13.940428772497757</v>
      </c>
      <c r="Y9" s="16">
        <f t="shared" si="1"/>
        <v>40.544000000000004</v>
      </c>
      <c r="Z9" s="16">
        <f t="shared" si="2"/>
        <v>65.616543082829139</v>
      </c>
    </row>
    <row r="10" spans="1:29" x14ac:dyDescent="0.25">
      <c r="A10" s="30"/>
    </row>
    <row r="11" spans="1:29" x14ac:dyDescent="0.25">
      <c r="A11" s="30"/>
    </row>
    <row r="12" spans="1:29" x14ac:dyDescent="0.25">
      <c r="A12" s="30"/>
    </row>
    <row r="13" spans="1:29" x14ac:dyDescent="0.25">
      <c r="A13" s="30"/>
    </row>
    <row r="14" spans="1:29" x14ac:dyDescent="0.25">
      <c r="A14" s="30"/>
    </row>
    <row r="15" spans="1:29" x14ac:dyDescent="0.25">
      <c r="A15" s="30"/>
    </row>
    <row r="16" spans="1:29" x14ac:dyDescent="0.25">
      <c r="A16" s="30"/>
    </row>
    <row r="17" spans="1:1" x14ac:dyDescent="0.25">
      <c r="A17" s="30"/>
    </row>
    <row r="18" spans="1:1" ht="15.75" thickBot="1" x14ac:dyDescent="0.3">
      <c r="A18" s="31"/>
    </row>
  </sheetData>
  <mergeCells count="6">
    <mergeCell ref="T1:W1"/>
    <mergeCell ref="H3:J3"/>
    <mergeCell ref="N3:Q3"/>
    <mergeCell ref="R3:S3"/>
    <mergeCell ref="T3:U3"/>
    <mergeCell ref="V3:W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"/>
  <sheetViews>
    <sheetView workbookViewId="0">
      <selection activeCell="F23" sqref="F23"/>
    </sheetView>
  </sheetViews>
  <sheetFormatPr defaultRowHeight="15" x14ac:dyDescent="0.25"/>
  <cols>
    <col min="6" max="7" width="17.140625" customWidth="1"/>
    <col min="8" max="8" width="17.85546875" customWidth="1"/>
  </cols>
  <sheetData>
    <row r="1" spans="1:12" x14ac:dyDescent="0.25">
      <c r="A1" t="s">
        <v>2</v>
      </c>
      <c r="C1" s="53" t="s">
        <v>7</v>
      </c>
      <c r="D1" s="53"/>
      <c r="E1" s="53"/>
      <c r="F1" s="1"/>
      <c r="I1" s="53" t="s">
        <v>14</v>
      </c>
      <c r="J1" s="53"/>
      <c r="K1" s="53" t="s">
        <v>15</v>
      </c>
      <c r="L1" s="53"/>
    </row>
    <row r="2" spans="1:12" x14ac:dyDescent="0.25">
      <c r="A2" t="s">
        <v>0</v>
      </c>
      <c r="B2" t="s">
        <v>1</v>
      </c>
      <c r="C2" t="s">
        <v>9</v>
      </c>
      <c r="D2" t="s">
        <v>8</v>
      </c>
      <c r="E2" t="s">
        <v>10</v>
      </c>
      <c r="F2" t="s">
        <v>11</v>
      </c>
      <c r="G2" t="s">
        <v>12</v>
      </c>
      <c r="H2" t="s">
        <v>13</v>
      </c>
      <c r="I2" t="s">
        <v>8</v>
      </c>
      <c r="J2" t="s">
        <v>17</v>
      </c>
      <c r="K2" t="s">
        <v>16</v>
      </c>
      <c r="L2" t="s">
        <v>17</v>
      </c>
    </row>
    <row r="3" spans="1:12" x14ac:dyDescent="0.25">
      <c r="A3" t="s">
        <v>3</v>
      </c>
      <c r="B3" s="2">
        <v>44841</v>
      </c>
      <c r="C3">
        <v>4</v>
      </c>
      <c r="D3">
        <v>4</v>
      </c>
      <c r="E3">
        <v>12</v>
      </c>
      <c r="F3">
        <v>8</v>
      </c>
      <c r="H3">
        <v>4</v>
      </c>
    </row>
    <row r="4" spans="1:12" x14ac:dyDescent="0.25">
      <c r="A4" t="s">
        <v>4</v>
      </c>
    </row>
    <row r="5" spans="1:12" x14ac:dyDescent="0.25">
      <c r="A5" t="s">
        <v>5</v>
      </c>
    </row>
    <row r="6" spans="1:12" x14ac:dyDescent="0.25">
      <c r="A6" t="s">
        <v>6</v>
      </c>
    </row>
  </sheetData>
  <mergeCells count="3">
    <mergeCell ref="C1:E1"/>
    <mergeCell ref="I1:J1"/>
    <mergeCell ref="K1:L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"/>
  <sheetViews>
    <sheetView workbookViewId="0">
      <selection activeCell="C18" sqref="C18"/>
    </sheetView>
  </sheetViews>
  <sheetFormatPr defaultRowHeight="15" x14ac:dyDescent="0.25"/>
  <cols>
    <col min="6" max="7" width="17.140625" customWidth="1"/>
    <col min="8" max="8" width="17.85546875" customWidth="1"/>
  </cols>
  <sheetData>
    <row r="1" spans="1:12" x14ac:dyDescent="0.25">
      <c r="A1" t="s">
        <v>2</v>
      </c>
      <c r="C1" s="53" t="s">
        <v>7</v>
      </c>
      <c r="D1" s="53"/>
      <c r="E1" s="53"/>
      <c r="F1" s="1"/>
      <c r="I1" s="53" t="s">
        <v>14</v>
      </c>
      <c r="J1" s="53"/>
      <c r="K1" s="53" t="s">
        <v>15</v>
      </c>
      <c r="L1" s="53"/>
    </row>
    <row r="2" spans="1:12" x14ac:dyDescent="0.25">
      <c r="A2" t="s">
        <v>0</v>
      </c>
      <c r="B2" t="s">
        <v>1</v>
      </c>
      <c r="C2" t="s">
        <v>9</v>
      </c>
      <c r="D2" t="s">
        <v>8</v>
      </c>
      <c r="E2" t="s">
        <v>10</v>
      </c>
      <c r="F2" t="s">
        <v>11</v>
      </c>
      <c r="G2" t="s">
        <v>12</v>
      </c>
      <c r="H2" t="s">
        <v>13</v>
      </c>
      <c r="I2" t="s">
        <v>8</v>
      </c>
      <c r="J2" t="s">
        <v>17</v>
      </c>
      <c r="K2" t="s">
        <v>16</v>
      </c>
      <c r="L2" t="s">
        <v>17</v>
      </c>
    </row>
    <row r="3" spans="1:12" x14ac:dyDescent="0.25">
      <c r="A3" t="s">
        <v>3</v>
      </c>
      <c r="B3" s="2">
        <v>44841</v>
      </c>
      <c r="C3">
        <v>4</v>
      </c>
      <c r="D3">
        <v>4</v>
      </c>
      <c r="E3">
        <v>12</v>
      </c>
      <c r="F3">
        <v>8</v>
      </c>
      <c r="H3">
        <v>4</v>
      </c>
    </row>
    <row r="4" spans="1:12" x14ac:dyDescent="0.25">
      <c r="A4" t="s">
        <v>4</v>
      </c>
    </row>
    <row r="5" spans="1:12" x14ac:dyDescent="0.25">
      <c r="A5" t="s">
        <v>5</v>
      </c>
    </row>
    <row r="6" spans="1:12" x14ac:dyDescent="0.25">
      <c r="A6" t="s">
        <v>6</v>
      </c>
    </row>
  </sheetData>
  <mergeCells count="3">
    <mergeCell ref="C1:E1"/>
    <mergeCell ref="I1:J1"/>
    <mergeCell ref="K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Blank</vt:lpstr>
      <vt:lpstr>A-FeCN</vt:lpstr>
      <vt:lpstr>CSCA trials</vt:lpstr>
      <vt:lpstr>CsCA 250 Bulk production</vt:lpstr>
      <vt:lpstr>CA0.5-FECN</vt:lpstr>
      <vt:lpstr>CA1-FeCN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2023-09-13T15:52:21Z</dcterms:modified>
</cp:coreProperties>
</file>