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D:\中国水稻研究\1.水稻氮素损失\投稿\ESSD\上传公开数据库\"/>
    </mc:Choice>
  </mc:AlternateContent>
  <xr:revisionPtr revIDLastSave="0" documentId="13_ncr:1_{EE1DC6F0-0DE4-48BB-BF0F-AB1AC4E86C36}" xr6:coauthVersionLast="47" xr6:coauthVersionMax="47" xr10:uidLastSave="{00000000-0000-0000-0000-000000000000}"/>
  <bookViews>
    <workbookView xWindow="-110" yWindow="-110" windowWidth="25820" windowHeight="15500" activeTab="3" xr2:uid="{00000000-000D-0000-FFFF-FFFF00000000}"/>
  </bookViews>
  <sheets>
    <sheet name="NH3" sheetId="1" r:id="rId1"/>
    <sheet name="N2O" sheetId="2" r:id="rId2"/>
    <sheet name="NO" sheetId="3" r:id="rId3"/>
    <sheet name="Leaching" sheetId="4" r:id="rId4"/>
    <sheet name="Runoff"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23" i="4" l="1"/>
  <c r="T221" i="4"/>
  <c r="T220" i="4"/>
  <c r="T214" i="4"/>
  <c r="T210" i="4"/>
  <c r="T204" i="4"/>
  <c r="T194" i="4"/>
  <c r="T188" i="4"/>
  <c r="T186" i="4"/>
  <c r="T183" i="4"/>
  <c r="T181" i="4"/>
  <c r="T176" i="4"/>
  <c r="T174" i="4"/>
  <c r="T164" i="4"/>
  <c r="T146" i="4"/>
  <c r="T138" i="4"/>
  <c r="T134" i="4"/>
  <c r="T127" i="4"/>
  <c r="T111" i="4"/>
  <c r="T105" i="4"/>
  <c r="T91" i="4"/>
  <c r="T76" i="4"/>
  <c r="T72" i="4"/>
  <c r="T63" i="4"/>
  <c r="T57" i="4"/>
  <c r="T51" i="4"/>
  <c r="T49" i="4"/>
  <c r="T45" i="4"/>
  <c r="T41" i="4"/>
  <c r="T37" i="4"/>
  <c r="T32" i="4"/>
  <c r="T28" i="4"/>
  <c r="T20" i="4"/>
  <c r="T11" i="4"/>
  <c r="T7" i="4"/>
  <c r="T4" i="4"/>
  <c r="U120" i="5"/>
  <c r="U105" i="5"/>
  <c r="U91" i="5"/>
  <c r="U79" i="5"/>
  <c r="U75" i="5"/>
  <c r="U63" i="5"/>
  <c r="U58" i="5"/>
  <c r="U52" i="5"/>
  <c r="U46" i="5"/>
  <c r="U41" i="5"/>
  <c r="U35" i="5"/>
  <c r="U17" i="5"/>
  <c r="U10" i="5"/>
  <c r="U4" i="5"/>
  <c r="U5" i="4"/>
  <c r="U53" i="3"/>
  <c r="U43" i="3"/>
  <c r="U28" i="3"/>
  <c r="U20" i="3"/>
  <c r="U18" i="3"/>
  <c r="U14" i="3"/>
  <c r="U11" i="3"/>
  <c r="U7" i="3"/>
  <c r="T479" i="2" l="1"/>
  <c r="T471" i="2"/>
  <c r="T468" i="2"/>
  <c r="T466" i="2"/>
  <c r="T456" i="2"/>
  <c r="T425" i="2"/>
  <c r="T420" i="2"/>
  <c r="T416" i="2"/>
  <c r="T404" i="2"/>
  <c r="T400" i="2"/>
  <c r="T390" i="2"/>
  <c r="T360" i="2"/>
  <c r="T354" i="2"/>
  <c r="T345" i="2"/>
  <c r="T336" i="2"/>
  <c r="T332" i="2"/>
  <c r="T322" i="2"/>
  <c r="T292" i="2"/>
  <c r="T284" i="2"/>
  <c r="T280" i="2"/>
  <c r="T266" i="2"/>
  <c r="T263" i="2"/>
  <c r="T255" i="2"/>
  <c r="T231" i="2"/>
  <c r="T221" i="2"/>
  <c r="T218" i="2"/>
  <c r="T209" i="2"/>
  <c r="T201" i="2"/>
  <c r="T171" i="2"/>
  <c r="T167" i="2"/>
  <c r="T160" i="2"/>
  <c r="T156" i="2"/>
  <c r="T146" i="2"/>
  <c r="T145" i="2"/>
  <c r="T135" i="2"/>
  <c r="T133" i="2"/>
  <c r="T131" i="2"/>
  <c r="T125" i="2"/>
  <c r="T115" i="2"/>
  <c r="T103" i="2"/>
  <c r="T99" i="2"/>
  <c r="T93" i="2"/>
  <c r="T87" i="2"/>
  <c r="T75" i="2"/>
  <c r="T72" i="2"/>
  <c r="T68" i="2"/>
  <c r="T60" i="2"/>
  <c r="T56" i="2"/>
  <c r="T52" i="2"/>
  <c r="T48" i="2"/>
  <c r="T45" i="2"/>
  <c r="T41" i="2"/>
  <c r="T36" i="2"/>
  <c r="T22" i="2"/>
  <c r="T30" i="2"/>
  <c r="T14" i="2"/>
  <c r="T10" i="2"/>
  <c r="T6" i="2"/>
  <c r="T4" i="2"/>
  <c r="U4" i="3"/>
  <c r="U6" i="1"/>
  <c r="U9" i="4"/>
  <c r="V127" i="5"/>
  <c r="W127" i="5" s="1"/>
  <c r="V126" i="5"/>
  <c r="W126" i="5" s="1"/>
  <c r="V125" i="5"/>
  <c r="W125" i="5" s="1"/>
  <c r="W124" i="5"/>
  <c r="V123" i="5"/>
  <c r="W123" i="5" s="1"/>
  <c r="V122" i="5"/>
  <c r="W122" i="5" s="1"/>
  <c r="V121" i="5"/>
  <c r="W121" i="5" s="1"/>
  <c r="W120" i="5"/>
  <c r="W119" i="5"/>
  <c r="V118" i="5"/>
  <c r="W118" i="5" s="1"/>
  <c r="V117" i="5"/>
  <c r="W117" i="5" s="1"/>
  <c r="V116" i="5"/>
  <c r="W116" i="5" s="1"/>
  <c r="V115" i="5"/>
  <c r="W115" i="5" s="1"/>
  <c r="W114" i="5"/>
  <c r="V113" i="5"/>
  <c r="W113" i="5" s="1"/>
  <c r="V112" i="5"/>
  <c r="W112" i="5" s="1"/>
  <c r="V111" i="5"/>
  <c r="W111" i="5" s="1"/>
  <c r="V110" i="5"/>
  <c r="W110" i="5" s="1"/>
  <c r="W109" i="5"/>
  <c r="V108" i="5"/>
  <c r="W108" i="5" s="1"/>
  <c r="V107" i="5"/>
  <c r="W107" i="5" s="1"/>
  <c r="V106" i="5"/>
  <c r="W106" i="5" s="1"/>
  <c r="V105" i="5"/>
  <c r="W105" i="5" s="1"/>
  <c r="V104" i="5"/>
  <c r="W104" i="5" s="1"/>
  <c r="V103" i="5"/>
  <c r="W103" i="5" s="1"/>
  <c r="V102" i="5"/>
  <c r="W102" i="5" s="1"/>
  <c r="V101" i="5"/>
  <c r="W101" i="5" s="1"/>
  <c r="V100" i="5"/>
  <c r="W100" i="5" s="1"/>
  <c r="V99" i="5"/>
  <c r="W99" i="5" s="1"/>
  <c r="W98" i="5"/>
  <c r="V97" i="5"/>
  <c r="W97" i="5" s="1"/>
  <c r="V96" i="5"/>
  <c r="W96" i="5" s="1"/>
  <c r="V95" i="5"/>
  <c r="W95" i="5" s="1"/>
  <c r="V94" i="5"/>
  <c r="W94" i="5" s="1"/>
  <c r="V93" i="5"/>
  <c r="W93" i="5" s="1"/>
  <c r="V92" i="5"/>
  <c r="W92" i="5" s="1"/>
  <c r="W91" i="5"/>
  <c r="V90" i="5"/>
  <c r="W90" i="5" s="1"/>
  <c r="V89" i="5"/>
  <c r="W89" i="5" s="1"/>
  <c r="V88" i="5"/>
  <c r="W88" i="5" s="1"/>
  <c r="V87" i="5"/>
  <c r="W87" i="5" s="1"/>
  <c r="V86" i="5"/>
  <c r="W86" i="5" s="1"/>
  <c r="W85" i="5"/>
  <c r="V84" i="5"/>
  <c r="W84" i="5" s="1"/>
  <c r="V83" i="5"/>
  <c r="W83" i="5" s="1"/>
  <c r="V82" i="5"/>
  <c r="W82" i="5" s="1"/>
  <c r="V81" i="5"/>
  <c r="W81" i="5" s="1"/>
  <c r="V80" i="5"/>
  <c r="W80" i="5" s="1"/>
  <c r="W79" i="5"/>
  <c r="V78" i="5"/>
  <c r="W78" i="5" s="1"/>
  <c r="V77" i="5"/>
  <c r="W77" i="5" s="1"/>
  <c r="V76" i="5"/>
  <c r="W76" i="5" s="1"/>
  <c r="W75" i="5"/>
  <c r="V74" i="5"/>
  <c r="W74" i="5" s="1"/>
  <c r="V73" i="5"/>
  <c r="W73" i="5" s="1"/>
  <c r="V72" i="5"/>
  <c r="W72" i="5" s="1"/>
  <c r="V71" i="5"/>
  <c r="W71" i="5" s="1"/>
  <c r="V70" i="5"/>
  <c r="W70" i="5" s="1"/>
  <c r="W69" i="5"/>
  <c r="V68" i="5"/>
  <c r="W68" i="5" s="1"/>
  <c r="V67" i="5"/>
  <c r="W67" i="5" s="1"/>
  <c r="V66" i="5"/>
  <c r="W66" i="5" s="1"/>
  <c r="V65" i="5"/>
  <c r="W65" i="5" s="1"/>
  <c r="V64" i="5"/>
  <c r="W64" i="5" s="1"/>
  <c r="W63" i="5"/>
  <c r="V62" i="5"/>
  <c r="W62" i="5" s="1"/>
  <c r="V61" i="5"/>
  <c r="W61" i="5" s="1"/>
  <c r="V60" i="5"/>
  <c r="W60" i="5" s="1"/>
  <c r="V59" i="5"/>
  <c r="W59" i="5" s="1"/>
  <c r="W58" i="5"/>
  <c r="V57" i="5"/>
  <c r="W57" i="5" s="1"/>
  <c r="V56" i="5"/>
  <c r="W56" i="5" s="1"/>
  <c r="V55" i="5"/>
  <c r="W55" i="5" s="1"/>
  <c r="V54" i="5"/>
  <c r="W54" i="5" s="1"/>
  <c r="V53" i="5"/>
  <c r="W53" i="5" s="1"/>
  <c r="W52" i="5"/>
  <c r="V51" i="5"/>
  <c r="W51" i="5" s="1"/>
  <c r="V50" i="5"/>
  <c r="W50" i="5" s="1"/>
  <c r="V49" i="5"/>
  <c r="W49" i="5" s="1"/>
  <c r="V48" i="5"/>
  <c r="W48" i="5" s="1"/>
  <c r="V47" i="5"/>
  <c r="W47" i="5" s="1"/>
  <c r="W46" i="5"/>
  <c r="V45" i="5"/>
  <c r="W45" i="5" s="1"/>
  <c r="V44" i="5"/>
  <c r="W44" i="5" s="1"/>
  <c r="V43" i="5"/>
  <c r="W43" i="5" s="1"/>
  <c r="V42" i="5"/>
  <c r="W42" i="5" s="1"/>
  <c r="W41" i="5"/>
  <c r="W40" i="5"/>
  <c r="V39" i="5"/>
  <c r="W39" i="5" s="1"/>
  <c r="V38" i="5"/>
  <c r="W38" i="5" s="1"/>
  <c r="W37" i="5"/>
  <c r="V36" i="5"/>
  <c r="W36" i="5" s="1"/>
  <c r="V35" i="5"/>
  <c r="W35" i="5" s="1"/>
  <c r="V34" i="5"/>
  <c r="W34" i="5" s="1"/>
  <c r="V33" i="5"/>
  <c r="W33" i="5" s="1"/>
  <c r="V32" i="5"/>
  <c r="W32" i="5" s="1"/>
  <c r="V31" i="5"/>
  <c r="W31" i="5" s="1"/>
  <c r="V30" i="5"/>
  <c r="W30" i="5" s="1"/>
  <c r="W29" i="5"/>
  <c r="V28" i="5"/>
  <c r="W28" i="5" s="1"/>
  <c r="V27" i="5"/>
  <c r="W27" i="5" s="1"/>
  <c r="V26" i="5"/>
  <c r="W26" i="5" s="1"/>
  <c r="V25" i="5"/>
  <c r="W25" i="5" s="1"/>
  <c r="V24" i="5"/>
  <c r="W24" i="5" s="1"/>
  <c r="W23" i="5"/>
  <c r="V22" i="5"/>
  <c r="W22" i="5" s="1"/>
  <c r="V21" i="5"/>
  <c r="W21" i="5" s="1"/>
  <c r="V20" i="5"/>
  <c r="W20" i="5" s="1"/>
  <c r="V19" i="5"/>
  <c r="W19" i="5" s="1"/>
  <c r="V18" i="5"/>
  <c r="W18" i="5" s="1"/>
  <c r="W17" i="5"/>
  <c r="V16" i="5"/>
  <c r="W16" i="5" s="1"/>
  <c r="V15" i="5"/>
  <c r="W15" i="5" s="1"/>
  <c r="V14" i="5"/>
  <c r="W14" i="5" s="1"/>
  <c r="V13" i="5"/>
  <c r="W13" i="5" s="1"/>
  <c r="V12" i="5"/>
  <c r="W12" i="5" s="1"/>
  <c r="V11" i="5"/>
  <c r="W11" i="5" s="1"/>
  <c r="W10" i="5"/>
  <c r="W9" i="5"/>
  <c r="V8" i="5"/>
  <c r="W8" i="5" s="1"/>
  <c r="V7" i="5"/>
  <c r="W7" i="5" s="1"/>
  <c r="V6" i="5"/>
  <c r="W6" i="5" s="1"/>
  <c r="V5" i="5"/>
  <c r="W5" i="5" s="1"/>
  <c r="V4" i="5"/>
  <c r="U228" i="4"/>
  <c r="Q228" i="4"/>
  <c r="Q227" i="4"/>
  <c r="U226" i="4"/>
  <c r="Q226" i="4"/>
  <c r="Q225" i="4"/>
  <c r="U224" i="4"/>
  <c r="Q224" i="4"/>
  <c r="Q223" i="4"/>
  <c r="Q222" i="4"/>
  <c r="Q221" i="4"/>
  <c r="Q220" i="4"/>
  <c r="U219" i="4"/>
  <c r="Q219" i="4"/>
  <c r="U218" i="4"/>
  <c r="Q218" i="4"/>
  <c r="U217" i="4"/>
  <c r="Q217" i="4"/>
  <c r="U216" i="4"/>
  <c r="Q216" i="4"/>
  <c r="U215" i="4"/>
  <c r="Q215" i="4"/>
  <c r="Q214" i="4"/>
  <c r="U213" i="4"/>
  <c r="Q213" i="4"/>
  <c r="Q212" i="4"/>
  <c r="U211" i="4"/>
  <c r="Q211" i="4"/>
  <c r="Q210" i="4"/>
  <c r="U209" i="4"/>
  <c r="Q209" i="4"/>
  <c r="U208" i="4"/>
  <c r="Q208" i="4"/>
  <c r="Q207" i="4"/>
  <c r="U206" i="4"/>
  <c r="Q206" i="4"/>
  <c r="U205" i="4"/>
  <c r="Q205" i="4"/>
  <c r="Q204" i="4"/>
  <c r="U203" i="4"/>
  <c r="Q203" i="4"/>
  <c r="U202" i="4"/>
  <c r="Q202" i="4"/>
  <c r="U201" i="4"/>
  <c r="Q201" i="4"/>
  <c r="U200" i="4"/>
  <c r="Q200" i="4"/>
  <c r="Q199" i="4"/>
  <c r="U198" i="4"/>
  <c r="Q198" i="4"/>
  <c r="U197" i="4"/>
  <c r="Q197" i="4"/>
  <c r="U196" i="4"/>
  <c r="Q196" i="4"/>
  <c r="U195" i="4"/>
  <c r="Q195" i="4"/>
  <c r="Q194" i="4"/>
  <c r="U193" i="4"/>
  <c r="Q193" i="4"/>
  <c r="Q192" i="4"/>
  <c r="U191" i="4"/>
  <c r="Q191" i="4"/>
  <c r="Q190" i="4"/>
  <c r="U189" i="4"/>
  <c r="Q189" i="4"/>
  <c r="Q188" i="4"/>
  <c r="U187" i="4"/>
  <c r="Q187" i="4"/>
  <c r="Q186" i="4"/>
  <c r="U185" i="4"/>
  <c r="Q185" i="4"/>
  <c r="U184" i="4"/>
  <c r="Q184" i="4"/>
  <c r="Q183" i="4"/>
  <c r="U182" i="4"/>
  <c r="Q182" i="4"/>
  <c r="Q181" i="4"/>
  <c r="U180" i="4"/>
  <c r="Q180" i="4"/>
  <c r="U179" i="4"/>
  <c r="Q179" i="4"/>
  <c r="U178" i="4"/>
  <c r="Q178" i="4"/>
  <c r="U177" i="4"/>
  <c r="Q177" i="4"/>
  <c r="Q176" i="4"/>
  <c r="U175" i="4"/>
  <c r="Q175" i="4"/>
  <c r="Q174" i="4"/>
  <c r="U173" i="4"/>
  <c r="Q173" i="4"/>
  <c r="U172" i="4"/>
  <c r="Q172" i="4"/>
  <c r="U171" i="4"/>
  <c r="Q171" i="4"/>
  <c r="U170" i="4"/>
  <c r="Q170" i="4"/>
  <c r="Q169" i="4"/>
  <c r="U168" i="4"/>
  <c r="Q168" i="4"/>
  <c r="U167" i="4"/>
  <c r="Q167" i="4"/>
  <c r="U166" i="4"/>
  <c r="Q166" i="4"/>
  <c r="U165" i="4"/>
  <c r="Q165" i="4"/>
  <c r="Q164" i="4"/>
  <c r="U163" i="4"/>
  <c r="Q163" i="4"/>
  <c r="U162" i="4"/>
  <c r="Q162" i="4"/>
  <c r="U161" i="4"/>
  <c r="Q161" i="4"/>
  <c r="U160" i="4"/>
  <c r="Q160" i="4"/>
  <c r="U159" i="4"/>
  <c r="Q159" i="4"/>
  <c r="U158" i="4"/>
  <c r="Q158" i="4"/>
  <c r="U157" i="4"/>
  <c r="Q157" i="4"/>
  <c r="U156" i="4"/>
  <c r="Q156" i="4"/>
  <c r="Q155" i="4"/>
  <c r="U154" i="4"/>
  <c r="Q154" i="4"/>
  <c r="U153" i="4"/>
  <c r="Q153" i="4"/>
  <c r="U152" i="4"/>
  <c r="Q152" i="4"/>
  <c r="U151" i="4"/>
  <c r="Q151" i="4"/>
  <c r="U150" i="4"/>
  <c r="Q150" i="4"/>
  <c r="U149" i="4"/>
  <c r="Q149" i="4"/>
  <c r="U148" i="4"/>
  <c r="Q148" i="4"/>
  <c r="U147" i="4"/>
  <c r="Q147" i="4"/>
  <c r="Q146" i="4"/>
  <c r="U145" i="4"/>
  <c r="Q145" i="4"/>
  <c r="U144" i="4"/>
  <c r="Q144" i="4"/>
  <c r="U143" i="4"/>
  <c r="Q143" i="4"/>
  <c r="U142" i="4"/>
  <c r="Q142" i="4"/>
  <c r="U141" i="4"/>
  <c r="Q141" i="4"/>
  <c r="U140" i="4"/>
  <c r="Q140" i="4"/>
  <c r="U139" i="4"/>
  <c r="Q139" i="4"/>
  <c r="Q138" i="4"/>
  <c r="U137" i="4"/>
  <c r="Q137" i="4"/>
  <c r="U136" i="4"/>
  <c r="Q136" i="4"/>
  <c r="U135" i="4"/>
  <c r="Q135" i="4"/>
  <c r="Q134" i="4"/>
  <c r="U133" i="4"/>
  <c r="Q133" i="4"/>
  <c r="U132" i="4"/>
  <c r="Q132" i="4"/>
  <c r="U131" i="4"/>
  <c r="Q131" i="4"/>
  <c r="U130" i="4"/>
  <c r="Q130" i="4"/>
  <c r="U129" i="4"/>
  <c r="Q129" i="4"/>
  <c r="U128" i="4"/>
  <c r="Q128" i="4"/>
  <c r="Q127" i="4"/>
  <c r="U126" i="4"/>
  <c r="Q126" i="4"/>
  <c r="U125" i="4"/>
  <c r="Q125" i="4"/>
  <c r="U124" i="4"/>
  <c r="Q124" i="4"/>
  <c r="Q123" i="4"/>
  <c r="U122" i="4"/>
  <c r="Q122" i="4"/>
  <c r="U121" i="4"/>
  <c r="Q121" i="4"/>
  <c r="U120" i="4"/>
  <c r="Q120" i="4"/>
  <c r="Q119" i="4"/>
  <c r="U118" i="4"/>
  <c r="Q118" i="4"/>
  <c r="U117" i="4"/>
  <c r="Q117" i="4"/>
  <c r="U116" i="4"/>
  <c r="Q116" i="4"/>
  <c r="Q115" i="4"/>
  <c r="U114" i="4"/>
  <c r="Q114" i="4"/>
  <c r="U113" i="4"/>
  <c r="Q113" i="4"/>
  <c r="U112" i="4"/>
  <c r="Q112" i="4"/>
  <c r="Q111" i="4"/>
  <c r="U110" i="4"/>
  <c r="Q110" i="4"/>
  <c r="U109" i="4"/>
  <c r="Q109" i="4"/>
  <c r="Q108" i="4"/>
  <c r="U107" i="4"/>
  <c r="Q107" i="4"/>
  <c r="U106" i="4"/>
  <c r="Q106" i="4"/>
  <c r="Q105" i="4"/>
  <c r="Q104" i="4"/>
  <c r="U103" i="4"/>
  <c r="Q103" i="4"/>
  <c r="U102" i="4"/>
  <c r="Q102" i="4"/>
  <c r="U101" i="4"/>
  <c r="Q101" i="4"/>
  <c r="U100" i="4"/>
  <c r="Q100" i="4"/>
  <c r="U99" i="4"/>
  <c r="Q99" i="4"/>
  <c r="Q98" i="4"/>
  <c r="Q97" i="4"/>
  <c r="U96" i="4"/>
  <c r="Q96" i="4"/>
  <c r="U95" i="4"/>
  <c r="Q95" i="4"/>
  <c r="U94" i="4"/>
  <c r="Q94" i="4"/>
  <c r="U93" i="4"/>
  <c r="Q93" i="4"/>
  <c r="U92" i="4"/>
  <c r="Q92" i="4"/>
  <c r="Q91" i="4"/>
  <c r="U90" i="4"/>
  <c r="Q90" i="4"/>
  <c r="U89" i="4"/>
  <c r="Q89" i="4"/>
  <c r="U88" i="4"/>
  <c r="Q88" i="4"/>
  <c r="U87" i="4"/>
  <c r="Q87" i="4"/>
  <c r="Q86" i="4"/>
  <c r="U85" i="4"/>
  <c r="Q85" i="4"/>
  <c r="U84" i="4"/>
  <c r="Q84" i="4"/>
  <c r="U83" i="4"/>
  <c r="Q83" i="4"/>
  <c r="U82" i="4"/>
  <c r="Q82" i="4"/>
  <c r="Q81" i="4"/>
  <c r="U80" i="4"/>
  <c r="Q80" i="4"/>
  <c r="U79" i="4"/>
  <c r="Q79" i="4"/>
  <c r="U78" i="4"/>
  <c r="Q78" i="4"/>
  <c r="U77" i="4"/>
  <c r="Q77" i="4"/>
  <c r="Q76" i="4"/>
  <c r="U75" i="4"/>
  <c r="Q75" i="4"/>
  <c r="U74" i="4"/>
  <c r="Q74" i="4"/>
  <c r="U73" i="4"/>
  <c r="Q73" i="4"/>
  <c r="Q72" i="4"/>
  <c r="U71" i="4"/>
  <c r="Q71" i="4"/>
  <c r="Q70" i="4"/>
  <c r="U69" i="4"/>
  <c r="Q69" i="4"/>
  <c r="Q68" i="4"/>
  <c r="U67" i="4"/>
  <c r="Q67" i="4"/>
  <c r="U66" i="4"/>
  <c r="Q66" i="4"/>
  <c r="U65" i="4"/>
  <c r="Q65" i="4"/>
  <c r="U64" i="4"/>
  <c r="Q64" i="4"/>
  <c r="Q63" i="4"/>
  <c r="U62" i="4"/>
  <c r="Q62" i="4"/>
  <c r="U61" i="4"/>
  <c r="Q61" i="4"/>
  <c r="Q60" i="4"/>
  <c r="U59" i="4"/>
  <c r="Q59" i="4"/>
  <c r="U58" i="4"/>
  <c r="Q58" i="4"/>
  <c r="Q57" i="4"/>
  <c r="U56" i="4"/>
  <c r="Q56" i="4"/>
  <c r="U55" i="4"/>
  <c r="Q55" i="4"/>
  <c r="Q54" i="4"/>
  <c r="U53" i="4"/>
  <c r="Q53" i="4"/>
  <c r="U52" i="4"/>
  <c r="Q52" i="4"/>
  <c r="Q51" i="4"/>
  <c r="U50" i="4"/>
  <c r="Q50" i="4"/>
  <c r="Q49" i="4"/>
  <c r="U48" i="4"/>
  <c r="Q48" i="4"/>
  <c r="U47" i="4"/>
  <c r="Q47" i="4"/>
  <c r="U46" i="4"/>
  <c r="Q46" i="4"/>
  <c r="Q45" i="4"/>
  <c r="U44" i="4"/>
  <c r="Q44" i="4"/>
  <c r="U43" i="4"/>
  <c r="Q43" i="4"/>
  <c r="U42" i="4"/>
  <c r="Q42" i="4"/>
  <c r="Q41" i="4"/>
  <c r="U40" i="4"/>
  <c r="Q40" i="4"/>
  <c r="Q39" i="4"/>
  <c r="U38" i="4"/>
  <c r="Q38" i="4"/>
  <c r="Q37" i="4"/>
  <c r="U36" i="4"/>
  <c r="Q36" i="4"/>
  <c r="U35" i="4"/>
  <c r="Q35" i="4"/>
  <c r="U34" i="4"/>
  <c r="Q34" i="4"/>
  <c r="U33" i="4"/>
  <c r="Q33" i="4"/>
  <c r="Q32" i="4"/>
  <c r="U31" i="4"/>
  <c r="Q31" i="4"/>
  <c r="U30" i="4"/>
  <c r="Q30" i="4"/>
  <c r="U29" i="4"/>
  <c r="Q29" i="4"/>
  <c r="Q28" i="4"/>
  <c r="U27" i="4"/>
  <c r="Q27" i="4"/>
  <c r="Q26" i="4"/>
  <c r="U25" i="4"/>
  <c r="Q25" i="4"/>
  <c r="Q24" i="4"/>
  <c r="U23" i="4"/>
  <c r="Q23" i="4"/>
  <c r="Q22" i="4"/>
  <c r="U21" i="4"/>
  <c r="Q21" i="4"/>
  <c r="Q20" i="4"/>
  <c r="U19" i="4"/>
  <c r="Q19" i="4"/>
  <c r="U18" i="4"/>
  <c r="Q18" i="4"/>
  <c r="Q17" i="4"/>
  <c r="U16" i="4"/>
  <c r="Q16" i="4"/>
  <c r="U15" i="4"/>
  <c r="Q15" i="4"/>
  <c r="Q14" i="4"/>
  <c r="U13" i="4"/>
  <c r="Q13" i="4"/>
  <c r="U12" i="4"/>
  <c r="Q12" i="4"/>
  <c r="Q11" i="4"/>
  <c r="U10" i="4"/>
  <c r="Q10" i="4"/>
  <c r="Q9" i="4"/>
  <c r="U8" i="4"/>
  <c r="Q8" i="4"/>
  <c r="Q7" i="4"/>
  <c r="U6" i="4"/>
  <c r="Q6" i="4"/>
  <c r="Q5" i="4"/>
  <c r="Q4" i="4"/>
  <c r="V79" i="3"/>
  <c r="W79" i="3" s="1"/>
  <c r="V78" i="3"/>
  <c r="W78" i="3" s="1"/>
  <c r="W77" i="3"/>
  <c r="V76" i="3"/>
  <c r="W76" i="3" s="1"/>
  <c r="V75" i="3"/>
  <c r="W75" i="3" s="1"/>
  <c r="W74" i="3"/>
  <c r="V73" i="3"/>
  <c r="W73" i="3" s="1"/>
  <c r="V72" i="3"/>
  <c r="W72" i="3" s="1"/>
  <c r="W71" i="3"/>
  <c r="V70" i="3"/>
  <c r="W70" i="3" s="1"/>
  <c r="V69" i="3"/>
  <c r="W69" i="3" s="1"/>
  <c r="W68" i="3"/>
  <c r="V67" i="3"/>
  <c r="W67" i="3" s="1"/>
  <c r="V66" i="3"/>
  <c r="W66" i="3" s="1"/>
  <c r="W65" i="3"/>
  <c r="V64" i="3"/>
  <c r="W64" i="3" s="1"/>
  <c r="V63" i="3"/>
  <c r="W63" i="3" s="1"/>
  <c r="W62" i="3"/>
  <c r="V61" i="3"/>
  <c r="W61" i="3" s="1"/>
  <c r="V60" i="3"/>
  <c r="W60" i="3" s="1"/>
  <c r="W59" i="3"/>
  <c r="V58" i="3"/>
  <c r="W58" i="3" s="1"/>
  <c r="V57" i="3"/>
  <c r="W57" i="3" s="1"/>
  <c r="W56" i="3"/>
  <c r="V55" i="3"/>
  <c r="W55" i="3" s="1"/>
  <c r="V54" i="3"/>
  <c r="W54" i="3" s="1"/>
  <c r="W53" i="3"/>
  <c r="V52" i="3"/>
  <c r="W52" i="3" s="1"/>
  <c r="W51" i="3"/>
  <c r="V50" i="3"/>
  <c r="W50" i="3" s="1"/>
  <c r="V49" i="3"/>
  <c r="W49" i="3" s="1"/>
  <c r="W48" i="3"/>
  <c r="V47" i="3"/>
  <c r="W47" i="3" s="1"/>
  <c r="W46" i="3"/>
  <c r="V45" i="3"/>
  <c r="W45" i="3" s="1"/>
  <c r="V44" i="3"/>
  <c r="W44" i="3" s="1"/>
  <c r="W43" i="3"/>
  <c r="V42" i="3"/>
  <c r="W42" i="3" s="1"/>
  <c r="V41" i="3"/>
  <c r="W41" i="3" s="1"/>
  <c r="V40" i="3"/>
  <c r="W40" i="3" s="1"/>
  <c r="V39" i="3"/>
  <c r="W39" i="3" s="1"/>
  <c r="W38" i="3"/>
  <c r="V37" i="3"/>
  <c r="W37" i="3" s="1"/>
  <c r="V36" i="3"/>
  <c r="W36" i="3" s="1"/>
  <c r="V35" i="3"/>
  <c r="W35" i="3" s="1"/>
  <c r="V34" i="3"/>
  <c r="W34" i="3" s="1"/>
  <c r="W33" i="3"/>
  <c r="V32" i="3"/>
  <c r="W32" i="3" s="1"/>
  <c r="V31" i="3"/>
  <c r="W31" i="3" s="1"/>
  <c r="V30" i="3"/>
  <c r="W30" i="3" s="1"/>
  <c r="V29" i="3"/>
  <c r="W29" i="3" s="1"/>
  <c r="W28" i="3"/>
  <c r="V27" i="3"/>
  <c r="W27" i="3" s="1"/>
  <c r="V26" i="3"/>
  <c r="W26" i="3" s="1"/>
  <c r="V25" i="3"/>
  <c r="W25" i="3" s="1"/>
  <c r="W24" i="3"/>
  <c r="V23" i="3"/>
  <c r="W23" i="3" s="1"/>
  <c r="V22" i="3"/>
  <c r="W22" i="3" s="1"/>
  <c r="V21" i="3"/>
  <c r="W21" i="3" s="1"/>
  <c r="W20" i="3"/>
  <c r="V19" i="3"/>
  <c r="W19" i="3" s="1"/>
  <c r="W18" i="3"/>
  <c r="V17" i="3"/>
  <c r="W17" i="3" s="1"/>
  <c r="W16" i="3"/>
  <c r="V15" i="3"/>
  <c r="W15" i="3" s="1"/>
  <c r="W14" i="3"/>
  <c r="V13" i="3"/>
  <c r="W13" i="3" s="1"/>
  <c r="V12" i="3"/>
  <c r="W12" i="3" s="1"/>
  <c r="W11" i="3"/>
  <c r="V10" i="3"/>
  <c r="W10" i="3" s="1"/>
  <c r="V9" i="3"/>
  <c r="W9" i="3" s="1"/>
  <c r="V8" i="3"/>
  <c r="W8" i="3" s="1"/>
  <c r="W7" i="3"/>
  <c r="V6" i="3"/>
  <c r="W6" i="3" s="1"/>
  <c r="V5" i="3"/>
  <c r="W5" i="3" s="1"/>
  <c r="W4" i="3"/>
  <c r="U490" i="2"/>
  <c r="V490" i="2" s="1"/>
  <c r="Q490" i="2"/>
  <c r="U489" i="2"/>
  <c r="V489" i="2" s="1"/>
  <c r="Q489" i="2"/>
  <c r="U488" i="2"/>
  <c r="V488" i="2" s="1"/>
  <c r="Q488" i="2"/>
  <c r="U487" i="2"/>
  <c r="V487" i="2" s="1"/>
  <c r="Q487" i="2"/>
  <c r="U486" i="2"/>
  <c r="V486" i="2" s="1"/>
  <c r="Q486" i="2"/>
  <c r="V485" i="2"/>
  <c r="Q485" i="2"/>
  <c r="U484" i="2"/>
  <c r="V484" i="2" s="1"/>
  <c r="Q484" i="2"/>
  <c r="U483" i="2"/>
  <c r="V483" i="2" s="1"/>
  <c r="Q483" i="2"/>
  <c r="U482" i="2"/>
  <c r="V482" i="2" s="1"/>
  <c r="Q482" i="2"/>
  <c r="U481" i="2"/>
  <c r="V481" i="2" s="1"/>
  <c r="Q481" i="2"/>
  <c r="U480" i="2"/>
  <c r="V480" i="2" s="1"/>
  <c r="Q480" i="2"/>
  <c r="V479" i="2"/>
  <c r="Q479" i="2"/>
  <c r="U478" i="2"/>
  <c r="V478" i="2" s="1"/>
  <c r="Q478" i="2"/>
  <c r="U477" i="2"/>
  <c r="V477" i="2" s="1"/>
  <c r="Q477" i="2"/>
  <c r="U476" i="2"/>
  <c r="V476" i="2" s="1"/>
  <c r="Q476" i="2"/>
  <c r="V475" i="2"/>
  <c r="Q475" i="2"/>
  <c r="U474" i="2"/>
  <c r="V474" i="2" s="1"/>
  <c r="Q474" i="2"/>
  <c r="U473" i="2"/>
  <c r="V473" i="2" s="1"/>
  <c r="Q473" i="2"/>
  <c r="U472" i="2"/>
  <c r="V472" i="2" s="1"/>
  <c r="Q472" i="2"/>
  <c r="V471" i="2"/>
  <c r="Q471" i="2"/>
  <c r="U470" i="2"/>
  <c r="V470" i="2" s="1"/>
  <c r="Q470" i="2"/>
  <c r="U469" i="2"/>
  <c r="V469" i="2" s="1"/>
  <c r="Q469" i="2"/>
  <c r="V468" i="2"/>
  <c r="Q468" i="2"/>
  <c r="U467" i="2"/>
  <c r="V467" i="2" s="1"/>
  <c r="Q467" i="2"/>
  <c r="V466" i="2"/>
  <c r="Q466" i="2"/>
  <c r="U465" i="2"/>
  <c r="V465" i="2" s="1"/>
  <c r="Q465" i="2"/>
  <c r="U464" i="2"/>
  <c r="V464" i="2" s="1"/>
  <c r="Q464" i="2"/>
  <c r="U463" i="2"/>
  <c r="V463" i="2" s="1"/>
  <c r="Q463" i="2"/>
  <c r="U462" i="2"/>
  <c r="V462" i="2" s="1"/>
  <c r="Q462" i="2"/>
  <c r="V461" i="2"/>
  <c r="Q461" i="2"/>
  <c r="U460" i="2"/>
  <c r="V460" i="2" s="1"/>
  <c r="Q460" i="2"/>
  <c r="U459" i="2"/>
  <c r="V459" i="2" s="1"/>
  <c r="Q459" i="2"/>
  <c r="U458" i="2"/>
  <c r="V458" i="2" s="1"/>
  <c r="Q458" i="2"/>
  <c r="U457" i="2"/>
  <c r="V457" i="2" s="1"/>
  <c r="Q457" i="2"/>
  <c r="V456" i="2"/>
  <c r="Q456" i="2"/>
  <c r="U455" i="2"/>
  <c r="V455" i="2" s="1"/>
  <c r="Q455" i="2"/>
  <c r="U454" i="2"/>
  <c r="V454" i="2" s="1"/>
  <c r="Q454" i="2"/>
  <c r="U453" i="2"/>
  <c r="V453" i="2" s="1"/>
  <c r="Q453" i="2"/>
  <c r="U452" i="2"/>
  <c r="V452" i="2" s="1"/>
  <c r="Q452" i="2"/>
  <c r="V451" i="2"/>
  <c r="Q451" i="2"/>
  <c r="V450" i="2"/>
  <c r="Q450" i="2"/>
  <c r="U449" i="2"/>
  <c r="V449" i="2" s="1"/>
  <c r="Q449" i="2"/>
  <c r="U448" i="2"/>
  <c r="V448" i="2" s="1"/>
  <c r="Q448" i="2"/>
  <c r="U447" i="2"/>
  <c r="V447" i="2" s="1"/>
  <c r="Q447" i="2"/>
  <c r="U446" i="2"/>
  <c r="V446" i="2" s="1"/>
  <c r="Q446" i="2"/>
  <c r="V445" i="2"/>
  <c r="Q445" i="2"/>
  <c r="V444" i="2"/>
  <c r="Q444" i="2"/>
  <c r="U443" i="2"/>
  <c r="V443" i="2" s="1"/>
  <c r="Q443" i="2"/>
  <c r="U442" i="2"/>
  <c r="V442" i="2" s="1"/>
  <c r="Q442" i="2"/>
  <c r="V441" i="2"/>
  <c r="Q441" i="2"/>
  <c r="V440" i="2"/>
  <c r="Q440" i="2"/>
  <c r="U439" i="2"/>
  <c r="V439" i="2" s="1"/>
  <c r="Q439" i="2"/>
  <c r="U438" i="2"/>
  <c r="V438" i="2" s="1"/>
  <c r="Q438" i="2"/>
  <c r="U437" i="2"/>
  <c r="V437" i="2" s="1"/>
  <c r="Q437" i="2"/>
  <c r="U436" i="2"/>
  <c r="V436" i="2" s="1"/>
  <c r="Q436" i="2"/>
  <c r="V435" i="2"/>
  <c r="Q435" i="2"/>
  <c r="V434" i="2"/>
  <c r="Q434" i="2"/>
  <c r="U433" i="2"/>
  <c r="V433" i="2" s="1"/>
  <c r="Q433" i="2"/>
  <c r="U432" i="2"/>
  <c r="V432" i="2" s="1"/>
  <c r="Q432" i="2"/>
  <c r="U431" i="2"/>
  <c r="V431" i="2" s="1"/>
  <c r="Q431" i="2"/>
  <c r="U430" i="2"/>
  <c r="V430" i="2" s="1"/>
  <c r="Q430" i="2"/>
  <c r="V429" i="2"/>
  <c r="Q429" i="2"/>
  <c r="V428" i="2"/>
  <c r="Q428" i="2"/>
  <c r="U427" i="2"/>
  <c r="V427" i="2" s="1"/>
  <c r="Q427" i="2"/>
  <c r="U426" i="2"/>
  <c r="V426" i="2" s="1"/>
  <c r="Q426" i="2"/>
  <c r="V425" i="2"/>
  <c r="Q425" i="2"/>
  <c r="U424" i="2"/>
  <c r="V424" i="2" s="1"/>
  <c r="Q424" i="2"/>
  <c r="U423" i="2"/>
  <c r="V423" i="2" s="1"/>
  <c r="Q423" i="2"/>
  <c r="U422" i="2"/>
  <c r="V422" i="2" s="1"/>
  <c r="Q422" i="2"/>
  <c r="U421" i="2"/>
  <c r="V421" i="2" s="1"/>
  <c r="Q421" i="2"/>
  <c r="V420" i="2"/>
  <c r="Q420" i="2"/>
  <c r="U419" i="2"/>
  <c r="V419" i="2" s="1"/>
  <c r="Q419" i="2"/>
  <c r="V418" i="2"/>
  <c r="Q418" i="2"/>
  <c r="U417" i="2"/>
  <c r="V417" i="2" s="1"/>
  <c r="Q417" i="2"/>
  <c r="V416" i="2"/>
  <c r="Q416" i="2"/>
  <c r="V415" i="2"/>
  <c r="Q415" i="2"/>
  <c r="U414" i="2"/>
  <c r="V414" i="2" s="1"/>
  <c r="Q414" i="2"/>
  <c r="U413" i="2"/>
  <c r="V413" i="2" s="1"/>
  <c r="Q413" i="2"/>
  <c r="U412" i="2"/>
  <c r="V412" i="2" s="1"/>
  <c r="Q412" i="2"/>
  <c r="V411" i="2"/>
  <c r="Q411" i="2"/>
  <c r="U410" i="2"/>
  <c r="V410" i="2" s="1"/>
  <c r="Q410" i="2"/>
  <c r="U409" i="2"/>
  <c r="V409" i="2" s="1"/>
  <c r="Q409" i="2"/>
  <c r="U408" i="2"/>
  <c r="V408" i="2" s="1"/>
  <c r="Q408" i="2"/>
  <c r="V407" i="2"/>
  <c r="Q407" i="2"/>
  <c r="U406" i="2"/>
  <c r="V406" i="2" s="1"/>
  <c r="Q406" i="2"/>
  <c r="U405" i="2"/>
  <c r="V405" i="2" s="1"/>
  <c r="Q405" i="2"/>
  <c r="U404" i="2"/>
  <c r="V404" i="2" s="1"/>
  <c r="Q404" i="2"/>
  <c r="U403" i="2"/>
  <c r="V403" i="2" s="1"/>
  <c r="Q403" i="2"/>
  <c r="U402" i="2"/>
  <c r="V402" i="2" s="1"/>
  <c r="Q402" i="2"/>
  <c r="U401" i="2"/>
  <c r="V401" i="2" s="1"/>
  <c r="Q401" i="2"/>
  <c r="V400" i="2"/>
  <c r="Q400" i="2"/>
  <c r="U399" i="2"/>
  <c r="V399" i="2" s="1"/>
  <c r="Q399" i="2"/>
  <c r="U398" i="2"/>
  <c r="V398" i="2" s="1"/>
  <c r="Q398" i="2"/>
  <c r="U397" i="2"/>
  <c r="V397" i="2" s="1"/>
  <c r="Q397" i="2"/>
  <c r="U396" i="2"/>
  <c r="V396" i="2" s="1"/>
  <c r="Q396" i="2"/>
  <c r="V395" i="2"/>
  <c r="Q395" i="2"/>
  <c r="U394" i="2"/>
  <c r="V394" i="2" s="1"/>
  <c r="Q394" i="2"/>
  <c r="U393" i="2"/>
  <c r="V393" i="2" s="1"/>
  <c r="Q393" i="2"/>
  <c r="U392" i="2"/>
  <c r="V392" i="2" s="1"/>
  <c r="Q392" i="2"/>
  <c r="U391" i="2"/>
  <c r="V391" i="2" s="1"/>
  <c r="Q391" i="2"/>
  <c r="V390" i="2"/>
  <c r="Q390" i="2"/>
  <c r="U389" i="2"/>
  <c r="V389" i="2" s="1"/>
  <c r="Q389" i="2"/>
  <c r="U388" i="2"/>
  <c r="V388" i="2" s="1"/>
  <c r="Q388" i="2"/>
  <c r="U387" i="2"/>
  <c r="V387" i="2" s="1"/>
  <c r="Q387" i="2"/>
  <c r="U386" i="2"/>
  <c r="V386" i="2" s="1"/>
  <c r="Q386" i="2"/>
  <c r="V385" i="2"/>
  <c r="Q385" i="2"/>
  <c r="U384" i="2"/>
  <c r="V384" i="2" s="1"/>
  <c r="Q384" i="2"/>
  <c r="U383" i="2"/>
  <c r="V383" i="2" s="1"/>
  <c r="Q383" i="2"/>
  <c r="U382" i="2"/>
  <c r="V382" i="2" s="1"/>
  <c r="Q382" i="2"/>
  <c r="U381" i="2"/>
  <c r="V381" i="2" s="1"/>
  <c r="Q381" i="2"/>
  <c r="V380" i="2"/>
  <c r="Q380" i="2"/>
  <c r="U379" i="2"/>
  <c r="V379" i="2" s="1"/>
  <c r="Q379" i="2"/>
  <c r="U378" i="2"/>
  <c r="V378" i="2" s="1"/>
  <c r="Q378" i="2"/>
  <c r="U377" i="2"/>
  <c r="V377" i="2" s="1"/>
  <c r="Q377" i="2"/>
  <c r="U376" i="2"/>
  <c r="V376" i="2" s="1"/>
  <c r="Q376" i="2"/>
  <c r="V375" i="2"/>
  <c r="Q375" i="2"/>
  <c r="U374" i="2"/>
  <c r="V374" i="2" s="1"/>
  <c r="Q374" i="2"/>
  <c r="U373" i="2"/>
  <c r="V373" i="2" s="1"/>
  <c r="Q373" i="2"/>
  <c r="U372" i="2"/>
  <c r="V372" i="2" s="1"/>
  <c r="Q372" i="2"/>
  <c r="U371" i="2"/>
  <c r="V371" i="2" s="1"/>
  <c r="Q371" i="2"/>
  <c r="V370" i="2"/>
  <c r="Q370" i="2"/>
  <c r="U369" i="2"/>
  <c r="V369" i="2" s="1"/>
  <c r="Q369" i="2"/>
  <c r="U368" i="2"/>
  <c r="V368" i="2" s="1"/>
  <c r="Q368" i="2"/>
  <c r="U367" i="2"/>
  <c r="V367" i="2" s="1"/>
  <c r="Q367" i="2"/>
  <c r="U366" i="2"/>
  <c r="V366" i="2" s="1"/>
  <c r="Q366" i="2"/>
  <c r="V365" i="2"/>
  <c r="Q365" i="2"/>
  <c r="U364" i="2"/>
  <c r="V364" i="2" s="1"/>
  <c r="Q364" i="2"/>
  <c r="U363" i="2"/>
  <c r="V363" i="2" s="1"/>
  <c r="Q363" i="2"/>
  <c r="U362" i="2"/>
  <c r="V362" i="2" s="1"/>
  <c r="Q362" i="2"/>
  <c r="U361" i="2"/>
  <c r="V361" i="2" s="1"/>
  <c r="Q361" i="2"/>
  <c r="V360" i="2"/>
  <c r="Q360" i="2"/>
  <c r="U359" i="2"/>
  <c r="V359" i="2" s="1"/>
  <c r="Q359" i="2"/>
  <c r="U358" i="2"/>
  <c r="V358" i="2" s="1"/>
  <c r="Q358" i="2"/>
  <c r="U357" i="2"/>
  <c r="V357" i="2" s="1"/>
  <c r="Q357" i="2"/>
  <c r="U356" i="2"/>
  <c r="V356" i="2" s="1"/>
  <c r="Q356" i="2"/>
  <c r="U355" i="2"/>
  <c r="V355" i="2" s="1"/>
  <c r="Q355" i="2"/>
  <c r="V354" i="2"/>
  <c r="Q354" i="2"/>
  <c r="U353" i="2"/>
  <c r="V353" i="2" s="1"/>
  <c r="Q353" i="2"/>
  <c r="U352" i="2"/>
  <c r="V352" i="2" s="1"/>
  <c r="Q352" i="2"/>
  <c r="V351" i="2"/>
  <c r="Q351" i="2"/>
  <c r="U350" i="2"/>
  <c r="V350" i="2" s="1"/>
  <c r="Q350" i="2"/>
  <c r="U349" i="2"/>
  <c r="V349" i="2" s="1"/>
  <c r="Q349" i="2"/>
  <c r="V348" i="2"/>
  <c r="Q348" i="2"/>
  <c r="U347" i="2"/>
  <c r="V347" i="2" s="1"/>
  <c r="Q347" i="2"/>
  <c r="U346" i="2"/>
  <c r="V346" i="2" s="1"/>
  <c r="Q346" i="2"/>
  <c r="V345" i="2"/>
  <c r="Q345" i="2"/>
  <c r="U344" i="2"/>
  <c r="V344" i="2" s="1"/>
  <c r="Q344" i="2"/>
  <c r="U343" i="2"/>
  <c r="V343" i="2" s="1"/>
  <c r="Q343" i="2"/>
  <c r="V342" i="2"/>
  <c r="Q342" i="2"/>
  <c r="U341" i="2"/>
  <c r="V341" i="2" s="1"/>
  <c r="Q341" i="2"/>
  <c r="U340" i="2"/>
  <c r="V340" i="2" s="1"/>
  <c r="Q340" i="2"/>
  <c r="V339" i="2"/>
  <c r="Q339" i="2"/>
  <c r="U338" i="2"/>
  <c r="V338" i="2" s="1"/>
  <c r="Q338" i="2"/>
  <c r="U337" i="2"/>
  <c r="V337" i="2" s="1"/>
  <c r="Q337" i="2"/>
  <c r="V336" i="2"/>
  <c r="Q336" i="2"/>
  <c r="U335" i="2"/>
  <c r="V335" i="2" s="1"/>
  <c r="Q335" i="2"/>
  <c r="U334" i="2"/>
  <c r="V334" i="2" s="1"/>
  <c r="Q334" i="2"/>
  <c r="U333" i="2"/>
  <c r="V333" i="2" s="1"/>
  <c r="Q333" i="2"/>
  <c r="V332" i="2"/>
  <c r="Q332" i="2"/>
  <c r="U331" i="2"/>
  <c r="V331" i="2" s="1"/>
  <c r="Q331" i="2"/>
  <c r="U330" i="2"/>
  <c r="V330" i="2" s="1"/>
  <c r="Q330" i="2"/>
  <c r="U329" i="2"/>
  <c r="V329" i="2" s="1"/>
  <c r="Q329" i="2"/>
  <c r="U328" i="2"/>
  <c r="V328" i="2" s="1"/>
  <c r="Q328" i="2"/>
  <c r="V327" i="2"/>
  <c r="Q327" i="2"/>
  <c r="U326" i="2"/>
  <c r="V326" i="2" s="1"/>
  <c r="Q326" i="2"/>
  <c r="U325" i="2"/>
  <c r="V325" i="2" s="1"/>
  <c r="Q325" i="2"/>
  <c r="U324" i="2"/>
  <c r="V324" i="2" s="1"/>
  <c r="Q324" i="2"/>
  <c r="U323" i="2"/>
  <c r="V323" i="2" s="1"/>
  <c r="Q323" i="2"/>
  <c r="V322" i="2"/>
  <c r="Q322" i="2"/>
  <c r="U321" i="2"/>
  <c r="V321" i="2" s="1"/>
  <c r="Q321" i="2"/>
  <c r="U320" i="2"/>
  <c r="V320" i="2" s="1"/>
  <c r="Q320" i="2"/>
  <c r="U319" i="2"/>
  <c r="V319" i="2" s="1"/>
  <c r="Q319" i="2"/>
  <c r="V318" i="2"/>
  <c r="Q318" i="2"/>
  <c r="U317" i="2"/>
  <c r="V317" i="2" s="1"/>
  <c r="Q317" i="2"/>
  <c r="U316" i="2"/>
  <c r="V316" i="2" s="1"/>
  <c r="Q316" i="2"/>
  <c r="U315" i="2"/>
  <c r="V315" i="2" s="1"/>
  <c r="Q315" i="2"/>
  <c r="U314" i="2"/>
  <c r="V314" i="2" s="1"/>
  <c r="Q314" i="2"/>
  <c r="U313" i="2"/>
  <c r="V313" i="2" s="1"/>
  <c r="Q313" i="2"/>
  <c r="V312" i="2"/>
  <c r="Q312" i="2"/>
  <c r="U311" i="2"/>
  <c r="V311" i="2" s="1"/>
  <c r="Q311" i="2"/>
  <c r="U310" i="2"/>
  <c r="V310" i="2" s="1"/>
  <c r="Q310" i="2"/>
  <c r="U309" i="2"/>
  <c r="V309" i="2" s="1"/>
  <c r="Q309" i="2"/>
  <c r="V308" i="2"/>
  <c r="Q308" i="2"/>
  <c r="U307" i="2"/>
  <c r="V307" i="2" s="1"/>
  <c r="Q307" i="2"/>
  <c r="U306" i="2"/>
  <c r="V306" i="2" s="1"/>
  <c r="Q306" i="2"/>
  <c r="U305" i="2"/>
  <c r="V305" i="2" s="1"/>
  <c r="Q305" i="2"/>
  <c r="U304" i="2"/>
  <c r="V304" i="2" s="1"/>
  <c r="Q304" i="2"/>
  <c r="U303" i="2"/>
  <c r="V303" i="2" s="1"/>
  <c r="Q303" i="2"/>
  <c r="V302" i="2"/>
  <c r="Q302" i="2"/>
  <c r="U301" i="2"/>
  <c r="V301" i="2" s="1"/>
  <c r="Q301" i="2"/>
  <c r="U300" i="2"/>
  <c r="V300" i="2" s="1"/>
  <c r="Q300" i="2"/>
  <c r="U299" i="2"/>
  <c r="V299" i="2" s="1"/>
  <c r="Q299" i="2"/>
  <c r="V298" i="2"/>
  <c r="Q298" i="2"/>
  <c r="U297" i="2"/>
  <c r="V297" i="2" s="1"/>
  <c r="Q297" i="2"/>
  <c r="U296" i="2"/>
  <c r="V296" i="2" s="1"/>
  <c r="Q296" i="2"/>
  <c r="U295" i="2"/>
  <c r="V295" i="2" s="1"/>
  <c r="Q295" i="2"/>
  <c r="U294" i="2"/>
  <c r="V294" i="2" s="1"/>
  <c r="Q294" i="2"/>
  <c r="U293" i="2"/>
  <c r="V293" i="2" s="1"/>
  <c r="Q293" i="2"/>
  <c r="V292" i="2"/>
  <c r="Q292" i="2"/>
  <c r="U291" i="2"/>
  <c r="V291" i="2" s="1"/>
  <c r="Q291" i="2"/>
  <c r="V290" i="2"/>
  <c r="Q290" i="2"/>
  <c r="U289" i="2"/>
  <c r="V289" i="2" s="1"/>
  <c r="Q289" i="2"/>
  <c r="U288" i="2"/>
  <c r="V288" i="2" s="1"/>
  <c r="Q288" i="2"/>
  <c r="V287" i="2"/>
  <c r="Q287" i="2"/>
  <c r="U286" i="2"/>
  <c r="V286" i="2" s="1"/>
  <c r="Q286" i="2"/>
  <c r="U285" i="2"/>
  <c r="V285" i="2" s="1"/>
  <c r="Q285" i="2"/>
  <c r="V284" i="2"/>
  <c r="Q284" i="2"/>
  <c r="U283" i="2"/>
  <c r="V283" i="2" s="1"/>
  <c r="Q283" i="2"/>
  <c r="V282" i="2"/>
  <c r="Q282" i="2"/>
  <c r="U281" i="2"/>
  <c r="V281" i="2" s="1"/>
  <c r="Q281" i="2"/>
  <c r="V280" i="2"/>
  <c r="Q280" i="2"/>
  <c r="U279" i="2"/>
  <c r="V279" i="2" s="1"/>
  <c r="Q279" i="2"/>
  <c r="L279" i="2"/>
  <c r="V278" i="2"/>
  <c r="Q278" i="2"/>
  <c r="U277" i="2"/>
  <c r="V277" i="2" s="1"/>
  <c r="Q277" i="2"/>
  <c r="L277" i="2"/>
  <c r="U276" i="2"/>
  <c r="V276" i="2" s="1"/>
  <c r="Q276" i="2"/>
  <c r="L276" i="2"/>
  <c r="V275" i="2"/>
  <c r="Q275" i="2"/>
  <c r="U274" i="2"/>
  <c r="V274" i="2" s="1"/>
  <c r="Q274" i="2"/>
  <c r="L274" i="2"/>
  <c r="U273" i="2"/>
  <c r="V273" i="2" s="1"/>
  <c r="Q273" i="2"/>
  <c r="L273" i="2"/>
  <c r="V272" i="2"/>
  <c r="Q272" i="2"/>
  <c r="U271" i="2"/>
  <c r="V271" i="2" s="1"/>
  <c r="Q271" i="2"/>
  <c r="L271" i="2"/>
  <c r="U270" i="2"/>
  <c r="V270" i="2" s="1"/>
  <c r="Q270" i="2"/>
  <c r="L270" i="2"/>
  <c r="V269" i="2"/>
  <c r="Q269" i="2"/>
  <c r="V268" i="2"/>
  <c r="Q268" i="2"/>
  <c r="V267" i="2"/>
  <c r="Q267" i="2"/>
  <c r="V266" i="2"/>
  <c r="Q266" i="2"/>
  <c r="U265" i="2"/>
  <c r="V265" i="2" s="1"/>
  <c r="Q265" i="2"/>
  <c r="U264" i="2"/>
  <c r="V264" i="2" s="1"/>
  <c r="Q264" i="2"/>
  <c r="V263" i="2"/>
  <c r="Q263" i="2"/>
  <c r="U262" i="2"/>
  <c r="V262" i="2" s="1"/>
  <c r="Q262" i="2"/>
  <c r="U261" i="2"/>
  <c r="V261" i="2" s="1"/>
  <c r="Q261" i="2"/>
  <c r="U260" i="2"/>
  <c r="V260" i="2" s="1"/>
  <c r="Q260" i="2"/>
  <c r="V259" i="2"/>
  <c r="Q259" i="2"/>
  <c r="U258" i="2"/>
  <c r="V258" i="2" s="1"/>
  <c r="Q258" i="2"/>
  <c r="U257" i="2"/>
  <c r="V257" i="2" s="1"/>
  <c r="Q257" i="2"/>
  <c r="U256" i="2"/>
  <c r="V256" i="2" s="1"/>
  <c r="Q256" i="2"/>
  <c r="V255" i="2"/>
  <c r="Q255" i="2"/>
  <c r="U254" i="2"/>
  <c r="V254" i="2" s="1"/>
  <c r="Q254" i="2"/>
  <c r="L254" i="2"/>
  <c r="U253" i="2"/>
  <c r="V253" i="2" s="1"/>
  <c r="Q253" i="2"/>
  <c r="L253" i="2"/>
  <c r="U252" i="2"/>
  <c r="V252" i="2" s="1"/>
  <c r="Q252" i="2"/>
  <c r="L252" i="2"/>
  <c r="V251" i="2"/>
  <c r="Q251" i="2"/>
  <c r="U250" i="2"/>
  <c r="V250" i="2" s="1"/>
  <c r="Q250" i="2"/>
  <c r="L250" i="2"/>
  <c r="U249" i="2"/>
  <c r="V249" i="2" s="1"/>
  <c r="Q249" i="2"/>
  <c r="L249" i="2"/>
  <c r="U248" i="2"/>
  <c r="V248" i="2" s="1"/>
  <c r="Q248" i="2"/>
  <c r="L248" i="2"/>
  <c r="V247" i="2"/>
  <c r="Q247" i="2"/>
  <c r="U246" i="2"/>
  <c r="V246" i="2" s="1"/>
  <c r="Q246" i="2"/>
  <c r="L246" i="2"/>
  <c r="U245" i="2"/>
  <c r="V245" i="2" s="1"/>
  <c r="Q245" i="2"/>
  <c r="L245" i="2"/>
  <c r="U244" i="2"/>
  <c r="V244" i="2" s="1"/>
  <c r="Q244" i="2"/>
  <c r="V243" i="2"/>
  <c r="Q243" i="2"/>
  <c r="U242" i="2"/>
  <c r="V242" i="2" s="1"/>
  <c r="Q242" i="2"/>
  <c r="L242" i="2"/>
  <c r="U241" i="2"/>
  <c r="V241" i="2" s="1"/>
  <c r="Q241" i="2"/>
  <c r="L241" i="2"/>
  <c r="U240" i="2"/>
  <c r="V240" i="2" s="1"/>
  <c r="Q240" i="2"/>
  <c r="L240" i="2"/>
  <c r="V239" i="2"/>
  <c r="Q239" i="2"/>
  <c r="U238" i="2"/>
  <c r="V238" i="2" s="1"/>
  <c r="Q238" i="2"/>
  <c r="L238" i="2"/>
  <c r="U237" i="2"/>
  <c r="V237" i="2" s="1"/>
  <c r="Q237" i="2"/>
  <c r="L237" i="2"/>
  <c r="U236" i="2"/>
  <c r="V236" i="2" s="1"/>
  <c r="Q236" i="2"/>
  <c r="L236" i="2"/>
  <c r="V235" i="2"/>
  <c r="Q235" i="2"/>
  <c r="U234" i="2"/>
  <c r="V234" i="2" s="1"/>
  <c r="Q234" i="2"/>
  <c r="L234" i="2"/>
  <c r="U233" i="2"/>
  <c r="V233" i="2" s="1"/>
  <c r="Q233" i="2"/>
  <c r="L233" i="2"/>
  <c r="U232" i="2"/>
  <c r="V232" i="2" s="1"/>
  <c r="Q232" i="2"/>
  <c r="L232" i="2"/>
  <c r="V231" i="2"/>
  <c r="Q231" i="2"/>
  <c r="U230" i="2"/>
  <c r="V230" i="2" s="1"/>
  <c r="Q230" i="2"/>
  <c r="V229" i="2"/>
  <c r="Q229" i="2"/>
  <c r="U228" i="2"/>
  <c r="V228" i="2" s="1"/>
  <c r="Q228" i="2"/>
  <c r="V227" i="2"/>
  <c r="Q227" i="2"/>
  <c r="U226" i="2"/>
  <c r="V226" i="2" s="1"/>
  <c r="Q226" i="2"/>
  <c r="V225" i="2"/>
  <c r="Q225" i="2"/>
  <c r="U224" i="2"/>
  <c r="V224" i="2" s="1"/>
  <c r="Q224" i="2"/>
  <c r="V223" i="2"/>
  <c r="Q223" i="2"/>
  <c r="U222" i="2"/>
  <c r="V222" i="2" s="1"/>
  <c r="Q222" i="2"/>
  <c r="V221" i="2"/>
  <c r="Q221" i="2"/>
  <c r="V220" i="2"/>
  <c r="Q220" i="2"/>
  <c r="U219" i="2"/>
  <c r="V219" i="2" s="1"/>
  <c r="Q219" i="2"/>
  <c r="V218" i="2"/>
  <c r="Q218" i="2"/>
  <c r="V217" i="2"/>
  <c r="Q217" i="2"/>
  <c r="V216" i="2"/>
  <c r="Q216" i="2"/>
  <c r="V215" i="2"/>
  <c r="Q215" i="2"/>
  <c r="V214" i="2"/>
  <c r="Q214" i="2"/>
  <c r="V213" i="2"/>
  <c r="Q213" i="2"/>
  <c r="U212" i="2"/>
  <c r="V212" i="2" s="1"/>
  <c r="Q212" i="2"/>
  <c r="V211" i="2"/>
  <c r="Q211" i="2"/>
  <c r="U210" i="2"/>
  <c r="V210" i="2" s="1"/>
  <c r="Q210" i="2"/>
  <c r="V209" i="2"/>
  <c r="Q209" i="2"/>
  <c r="U208" i="2"/>
  <c r="V208" i="2" s="1"/>
  <c r="Q208" i="2"/>
  <c r="U207" i="2"/>
  <c r="V207" i="2" s="1"/>
  <c r="Q207" i="2"/>
  <c r="U206" i="2"/>
  <c r="V206" i="2" s="1"/>
  <c r="Q206" i="2"/>
  <c r="V205" i="2"/>
  <c r="Q205" i="2"/>
  <c r="U204" i="2"/>
  <c r="V204" i="2" s="1"/>
  <c r="Q204" i="2"/>
  <c r="U203" i="2"/>
  <c r="V203" i="2" s="1"/>
  <c r="Q203" i="2"/>
  <c r="U202" i="2"/>
  <c r="V202" i="2" s="1"/>
  <c r="Q202" i="2"/>
  <c r="V201" i="2"/>
  <c r="Q201" i="2"/>
  <c r="U200" i="2"/>
  <c r="V200" i="2" s="1"/>
  <c r="Q200" i="2"/>
  <c r="U199" i="2"/>
  <c r="V199" i="2" s="1"/>
  <c r="Q199" i="2"/>
  <c r="U198" i="2"/>
  <c r="V198" i="2" s="1"/>
  <c r="Q198" i="2"/>
  <c r="U197" i="2"/>
  <c r="V197" i="2" s="1"/>
  <c r="Q197" i="2"/>
  <c r="V196" i="2"/>
  <c r="Q196" i="2"/>
  <c r="U195" i="2"/>
  <c r="V195" i="2" s="1"/>
  <c r="Q195" i="2"/>
  <c r="U194" i="2"/>
  <c r="V194" i="2" s="1"/>
  <c r="Q194" i="2"/>
  <c r="U193" i="2"/>
  <c r="V193" i="2" s="1"/>
  <c r="Q193" i="2"/>
  <c r="U192" i="2"/>
  <c r="V192" i="2" s="1"/>
  <c r="Q192" i="2"/>
  <c r="V191" i="2"/>
  <c r="Q191" i="2"/>
  <c r="U190" i="2"/>
  <c r="V190" i="2" s="1"/>
  <c r="Q190" i="2"/>
  <c r="U189" i="2"/>
  <c r="V189" i="2" s="1"/>
  <c r="Q189" i="2"/>
  <c r="U188" i="2"/>
  <c r="V188" i="2" s="1"/>
  <c r="Q188" i="2"/>
  <c r="U187" i="2"/>
  <c r="V187" i="2" s="1"/>
  <c r="Q187" i="2"/>
  <c r="V186" i="2"/>
  <c r="Q186" i="2"/>
  <c r="U185" i="2"/>
  <c r="V185" i="2" s="1"/>
  <c r="Q185" i="2"/>
  <c r="U184" i="2"/>
  <c r="V184" i="2" s="1"/>
  <c r="Q184" i="2"/>
  <c r="U183" i="2"/>
  <c r="V183" i="2" s="1"/>
  <c r="Q183" i="2"/>
  <c r="U182" i="2"/>
  <c r="V182" i="2" s="1"/>
  <c r="Q182" i="2"/>
  <c r="V181" i="2"/>
  <c r="Q181" i="2"/>
  <c r="U180" i="2"/>
  <c r="V180" i="2" s="1"/>
  <c r="Q180" i="2"/>
  <c r="U179" i="2"/>
  <c r="V179" i="2" s="1"/>
  <c r="Q179" i="2"/>
  <c r="U178" i="2"/>
  <c r="V178" i="2" s="1"/>
  <c r="Q178" i="2"/>
  <c r="U177" i="2"/>
  <c r="V177" i="2" s="1"/>
  <c r="Q177" i="2"/>
  <c r="V176" i="2"/>
  <c r="Q176" i="2"/>
  <c r="U175" i="2"/>
  <c r="V175" i="2" s="1"/>
  <c r="Q175" i="2"/>
  <c r="U174" i="2"/>
  <c r="V174" i="2" s="1"/>
  <c r="Q174" i="2"/>
  <c r="U173" i="2"/>
  <c r="V173" i="2" s="1"/>
  <c r="Q173" i="2"/>
  <c r="U172" i="2"/>
  <c r="V172" i="2" s="1"/>
  <c r="Q172" i="2"/>
  <c r="V171" i="2"/>
  <c r="Q171" i="2"/>
  <c r="U170" i="2"/>
  <c r="V170" i="2" s="1"/>
  <c r="Q170" i="2"/>
  <c r="V169" i="2"/>
  <c r="Q169" i="2"/>
  <c r="U168" i="2"/>
  <c r="V168" i="2" s="1"/>
  <c r="Q168" i="2"/>
  <c r="V167" i="2"/>
  <c r="Q167" i="2"/>
  <c r="U166" i="2"/>
  <c r="V166" i="2" s="1"/>
  <c r="Q166" i="2"/>
  <c r="U165" i="2"/>
  <c r="V165" i="2" s="1"/>
  <c r="Q165" i="2"/>
  <c r="V164" i="2"/>
  <c r="Q164" i="2"/>
  <c r="U163" i="2"/>
  <c r="V163" i="2" s="1"/>
  <c r="Q163" i="2"/>
  <c r="U162" i="2"/>
  <c r="V162" i="2" s="1"/>
  <c r="Q162" i="2"/>
  <c r="V161" i="2"/>
  <c r="Q161" i="2"/>
  <c r="V160" i="2"/>
  <c r="Q160" i="2"/>
  <c r="U159" i="2"/>
  <c r="V159" i="2" s="1"/>
  <c r="Q159" i="2"/>
  <c r="V158" i="2"/>
  <c r="Q158" i="2"/>
  <c r="U157" i="2"/>
  <c r="V157" i="2" s="1"/>
  <c r="Q157" i="2"/>
  <c r="V156" i="2"/>
  <c r="Q156" i="2"/>
  <c r="U155" i="2"/>
  <c r="V155" i="2" s="1"/>
  <c r="Q155" i="2"/>
  <c r="U154" i="2"/>
  <c r="V154" i="2" s="1"/>
  <c r="Q154" i="2"/>
  <c r="U153" i="2"/>
  <c r="V153" i="2" s="1"/>
  <c r="Q153" i="2"/>
  <c r="U152" i="2"/>
  <c r="V152" i="2" s="1"/>
  <c r="Q152" i="2"/>
  <c r="V151" i="2"/>
  <c r="Q151" i="2"/>
  <c r="U150" i="2"/>
  <c r="V150" i="2" s="1"/>
  <c r="Q150" i="2"/>
  <c r="U149" i="2"/>
  <c r="V149" i="2" s="1"/>
  <c r="Q149" i="2"/>
  <c r="U148" i="2"/>
  <c r="V148" i="2" s="1"/>
  <c r="Q148" i="2"/>
  <c r="U147" i="2"/>
  <c r="V147" i="2" s="1"/>
  <c r="Q147" i="2"/>
  <c r="V146" i="2"/>
  <c r="Q146" i="2"/>
  <c r="V145" i="2"/>
  <c r="Q145" i="2"/>
  <c r="U144" i="2"/>
  <c r="V144" i="2" s="1"/>
  <c r="Q144" i="2"/>
  <c r="U143" i="2"/>
  <c r="V143" i="2" s="1"/>
  <c r="Q143" i="2"/>
  <c r="U142" i="2"/>
  <c r="V142" i="2" s="1"/>
  <c r="Q142" i="2"/>
  <c r="U141" i="2"/>
  <c r="V141" i="2" s="1"/>
  <c r="Q141" i="2"/>
  <c r="V140" i="2"/>
  <c r="Q140" i="2"/>
  <c r="U139" i="2"/>
  <c r="V139" i="2" s="1"/>
  <c r="Q139" i="2"/>
  <c r="U138" i="2"/>
  <c r="V138" i="2" s="1"/>
  <c r="Q138" i="2"/>
  <c r="U137" i="2"/>
  <c r="V137" i="2" s="1"/>
  <c r="Q137" i="2"/>
  <c r="U136" i="2"/>
  <c r="V136" i="2" s="1"/>
  <c r="Q136" i="2"/>
  <c r="V135" i="2"/>
  <c r="Q135" i="2"/>
  <c r="U134" i="2"/>
  <c r="V134" i="2" s="1"/>
  <c r="Q134" i="2"/>
  <c r="V133" i="2"/>
  <c r="Q133" i="2"/>
  <c r="U132" i="2"/>
  <c r="V132" i="2" s="1"/>
  <c r="Q132" i="2"/>
  <c r="V131" i="2"/>
  <c r="Q131" i="2"/>
  <c r="U130" i="2"/>
  <c r="V130" i="2" s="1"/>
  <c r="Q130" i="2"/>
  <c r="V129" i="2"/>
  <c r="Q129" i="2"/>
  <c r="V128" i="2"/>
  <c r="Q128" i="2"/>
  <c r="U127" i="2"/>
  <c r="V127" i="2" s="1"/>
  <c r="Q127" i="2"/>
  <c r="V126" i="2"/>
  <c r="Q126" i="2"/>
  <c r="V125" i="2"/>
  <c r="Q125" i="2"/>
  <c r="U124" i="2"/>
  <c r="V124" i="2" s="1"/>
  <c r="Q124" i="2"/>
  <c r="U123" i="2"/>
  <c r="V123" i="2" s="1"/>
  <c r="Q123" i="2"/>
  <c r="U122" i="2"/>
  <c r="V122" i="2" s="1"/>
  <c r="Q122" i="2"/>
  <c r="U121" i="2"/>
  <c r="V121" i="2" s="1"/>
  <c r="Q121" i="2"/>
  <c r="V120" i="2"/>
  <c r="Q120" i="2"/>
  <c r="U119" i="2"/>
  <c r="V119" i="2" s="1"/>
  <c r="Q119" i="2"/>
  <c r="U118" i="2"/>
  <c r="V118" i="2" s="1"/>
  <c r="Q118" i="2"/>
  <c r="U117" i="2"/>
  <c r="V117" i="2" s="1"/>
  <c r="Q117" i="2"/>
  <c r="U116" i="2"/>
  <c r="V116" i="2" s="1"/>
  <c r="Q116" i="2"/>
  <c r="V115" i="2"/>
  <c r="Q115" i="2"/>
  <c r="U114" i="2"/>
  <c r="V114" i="2" s="1"/>
  <c r="Q114" i="2"/>
  <c r="V113" i="2"/>
  <c r="Q113" i="2"/>
  <c r="U112" i="2"/>
  <c r="V112" i="2" s="1"/>
  <c r="Q112" i="2"/>
  <c r="V111" i="2"/>
  <c r="Q111" i="2"/>
  <c r="U110" i="2"/>
  <c r="V110" i="2" s="1"/>
  <c r="Q110" i="2"/>
  <c r="V109" i="2"/>
  <c r="Q109" i="2"/>
  <c r="U108" i="2"/>
  <c r="V108" i="2" s="1"/>
  <c r="Q108" i="2"/>
  <c r="V107" i="2"/>
  <c r="Q107" i="2"/>
  <c r="U106" i="2"/>
  <c r="V106" i="2" s="1"/>
  <c r="Q106" i="2"/>
  <c r="V105" i="2"/>
  <c r="Q105" i="2"/>
  <c r="U104" i="2"/>
  <c r="V104" i="2" s="1"/>
  <c r="Q104" i="2"/>
  <c r="V103" i="2"/>
  <c r="Q103" i="2"/>
  <c r="U102" i="2"/>
  <c r="V102" i="2" s="1"/>
  <c r="Q102" i="2"/>
  <c r="V101" i="2"/>
  <c r="Q101" i="2"/>
  <c r="U100" i="2"/>
  <c r="V100" i="2" s="1"/>
  <c r="Q100" i="2"/>
  <c r="V99" i="2"/>
  <c r="Q99" i="2"/>
  <c r="U98" i="2"/>
  <c r="V98" i="2" s="1"/>
  <c r="Q98" i="2"/>
  <c r="U97" i="2"/>
  <c r="V97" i="2" s="1"/>
  <c r="Q97" i="2"/>
  <c r="U96" i="2"/>
  <c r="V96" i="2" s="1"/>
  <c r="Q96" i="2"/>
  <c r="U95" i="2"/>
  <c r="V95" i="2" s="1"/>
  <c r="Q95" i="2"/>
  <c r="U94" i="2"/>
  <c r="V94" i="2" s="1"/>
  <c r="Q94" i="2"/>
  <c r="V93" i="2"/>
  <c r="Q93" i="2"/>
  <c r="V92" i="2"/>
  <c r="Q92" i="2"/>
  <c r="U91" i="2"/>
  <c r="V91" i="2" s="1"/>
  <c r="Q91" i="2"/>
  <c r="U90" i="2"/>
  <c r="V90" i="2" s="1"/>
  <c r="Q90" i="2"/>
  <c r="U89" i="2"/>
  <c r="V89" i="2" s="1"/>
  <c r="Q89" i="2"/>
  <c r="U88" i="2"/>
  <c r="V88" i="2" s="1"/>
  <c r="Q88" i="2"/>
  <c r="U87" i="2"/>
  <c r="V87" i="2" s="1"/>
  <c r="Q87" i="2"/>
  <c r="V86" i="2"/>
  <c r="Q86" i="2"/>
  <c r="V85" i="2"/>
  <c r="Q85" i="2"/>
  <c r="V84" i="2"/>
  <c r="Q84" i="2"/>
  <c r="U83" i="2"/>
  <c r="V83" i="2" s="1"/>
  <c r="Q83" i="2"/>
  <c r="V82" i="2"/>
  <c r="Q82" i="2"/>
  <c r="V81" i="2"/>
  <c r="Q81" i="2"/>
  <c r="V80" i="2"/>
  <c r="Q80" i="2"/>
  <c r="U79" i="2"/>
  <c r="V79" i="2" s="1"/>
  <c r="Q79" i="2"/>
  <c r="V78" i="2"/>
  <c r="Q78" i="2"/>
  <c r="V77" i="2"/>
  <c r="Q77" i="2"/>
  <c r="V76" i="2"/>
  <c r="Q76" i="2"/>
  <c r="U75" i="2"/>
  <c r="V75" i="2" s="1"/>
  <c r="Q75" i="2"/>
  <c r="U74" i="2"/>
  <c r="V74" i="2" s="1"/>
  <c r="Q74" i="2"/>
  <c r="U73" i="2"/>
  <c r="V73" i="2" s="1"/>
  <c r="Q73" i="2"/>
  <c r="V72" i="2"/>
  <c r="Q72" i="2"/>
  <c r="U71" i="2"/>
  <c r="V71" i="2" s="1"/>
  <c r="Q71" i="2"/>
  <c r="V70" i="2"/>
  <c r="Q70" i="2"/>
  <c r="U69" i="2"/>
  <c r="V69" i="2" s="1"/>
  <c r="Q69" i="2"/>
  <c r="V68" i="2"/>
  <c r="Q68" i="2"/>
  <c r="U67" i="2"/>
  <c r="V67" i="2" s="1"/>
  <c r="Q67" i="2"/>
  <c r="U66" i="2"/>
  <c r="V66" i="2" s="1"/>
  <c r="Q66" i="2"/>
  <c r="U65" i="2"/>
  <c r="V65" i="2" s="1"/>
  <c r="Q65" i="2"/>
  <c r="V64" i="2"/>
  <c r="Q64" i="2"/>
  <c r="V63" i="2"/>
  <c r="Q63" i="2"/>
  <c r="U62" i="2"/>
  <c r="V62" i="2" s="1"/>
  <c r="Q62" i="2"/>
  <c r="U61" i="2"/>
  <c r="V61" i="2" s="1"/>
  <c r="Q61" i="2"/>
  <c r="V60" i="2"/>
  <c r="Q60" i="2"/>
  <c r="U59" i="2"/>
  <c r="V59" i="2" s="1"/>
  <c r="Q59" i="2"/>
  <c r="U58" i="2"/>
  <c r="V58" i="2" s="1"/>
  <c r="Q58" i="2"/>
  <c r="V57" i="2"/>
  <c r="Q57" i="2"/>
  <c r="V56" i="2"/>
  <c r="Q56" i="2"/>
  <c r="U55" i="2"/>
  <c r="V55" i="2" s="1"/>
  <c r="Q55" i="2"/>
  <c r="U54" i="2"/>
  <c r="V54" i="2" s="1"/>
  <c r="Q54" i="2"/>
  <c r="U53" i="2"/>
  <c r="V53" i="2" s="1"/>
  <c r="Q53" i="2"/>
  <c r="V52" i="2"/>
  <c r="Q52" i="2"/>
  <c r="U51" i="2"/>
  <c r="V51" i="2" s="1"/>
  <c r="Q51" i="2"/>
  <c r="U50" i="2"/>
  <c r="V50" i="2" s="1"/>
  <c r="Q50" i="2"/>
  <c r="U49" i="2"/>
  <c r="V49" i="2" s="1"/>
  <c r="Q49" i="2"/>
  <c r="V48" i="2"/>
  <c r="Q48" i="2"/>
  <c r="U47" i="2"/>
  <c r="V47" i="2" s="1"/>
  <c r="Q47" i="2"/>
  <c r="U46" i="2"/>
  <c r="V46" i="2" s="1"/>
  <c r="Q46" i="2"/>
  <c r="V45" i="2"/>
  <c r="Q45" i="2"/>
  <c r="U44" i="2"/>
  <c r="V44" i="2" s="1"/>
  <c r="Q44" i="2"/>
  <c r="V43" i="2"/>
  <c r="Q43" i="2"/>
  <c r="U42" i="2"/>
  <c r="V42" i="2" s="1"/>
  <c r="Q42" i="2"/>
  <c r="V41" i="2"/>
  <c r="Q41" i="2"/>
  <c r="U40" i="2"/>
  <c r="V40" i="2" s="1"/>
  <c r="Q40" i="2"/>
  <c r="U39" i="2"/>
  <c r="V39" i="2" s="1"/>
  <c r="Q39" i="2"/>
  <c r="U38" i="2"/>
  <c r="V38" i="2" s="1"/>
  <c r="Q38" i="2"/>
  <c r="U37" i="2"/>
  <c r="V37" i="2" s="1"/>
  <c r="Q37" i="2"/>
  <c r="V36" i="2"/>
  <c r="Q36" i="2"/>
  <c r="U35" i="2"/>
  <c r="V35" i="2" s="1"/>
  <c r="Q35" i="2"/>
  <c r="V34" i="2"/>
  <c r="Q34" i="2"/>
  <c r="U33" i="2"/>
  <c r="V33" i="2" s="1"/>
  <c r="Q33" i="2"/>
  <c r="V32" i="2"/>
  <c r="Q32" i="2"/>
  <c r="U31" i="2"/>
  <c r="V31" i="2" s="1"/>
  <c r="Q31" i="2"/>
  <c r="V30" i="2"/>
  <c r="Q30" i="2"/>
  <c r="U29" i="2"/>
  <c r="V29" i="2" s="1"/>
  <c r="Q29" i="2"/>
  <c r="U28" i="2"/>
  <c r="V28" i="2" s="1"/>
  <c r="Q28" i="2"/>
  <c r="U27" i="2"/>
  <c r="V27" i="2" s="1"/>
  <c r="Q27" i="2"/>
  <c r="U26" i="2"/>
  <c r="V26" i="2" s="1"/>
  <c r="Q26" i="2"/>
  <c r="U25" i="2"/>
  <c r="V25" i="2" s="1"/>
  <c r="Q25" i="2"/>
  <c r="U24" i="2"/>
  <c r="V24" i="2" s="1"/>
  <c r="Q24" i="2"/>
  <c r="U23" i="2"/>
  <c r="V23" i="2" s="1"/>
  <c r="Q23" i="2"/>
  <c r="V22" i="2"/>
  <c r="Q22" i="2"/>
  <c r="U21" i="2"/>
  <c r="V21" i="2" s="1"/>
  <c r="Q21" i="2"/>
  <c r="U20" i="2"/>
  <c r="V20" i="2" s="1"/>
  <c r="Q20" i="2"/>
  <c r="V19" i="2"/>
  <c r="Q19" i="2"/>
  <c r="V18" i="2"/>
  <c r="Q18" i="2"/>
  <c r="U17" i="2"/>
  <c r="V17" i="2" s="1"/>
  <c r="Q17" i="2"/>
  <c r="U16" i="2"/>
  <c r="V16" i="2" s="1"/>
  <c r="Q16" i="2"/>
  <c r="V15" i="2"/>
  <c r="Q15" i="2"/>
  <c r="V14" i="2"/>
  <c r="Q14" i="2"/>
  <c r="U13" i="2"/>
  <c r="V13" i="2" s="1"/>
  <c r="Q13" i="2"/>
  <c r="V12" i="2"/>
  <c r="Q12" i="2"/>
  <c r="U11" i="2"/>
  <c r="V11" i="2" s="1"/>
  <c r="Q11" i="2"/>
  <c r="V10" i="2"/>
  <c r="Q10" i="2"/>
  <c r="U9" i="2"/>
  <c r="V9" i="2" s="1"/>
  <c r="Q9" i="2"/>
  <c r="U8" i="2"/>
  <c r="V8" i="2" s="1"/>
  <c r="Q8" i="2"/>
  <c r="U7" i="2"/>
  <c r="V7" i="2" s="1"/>
  <c r="Q7" i="2"/>
  <c r="V6" i="2"/>
  <c r="Q6" i="2"/>
  <c r="U5" i="2"/>
  <c r="V5" i="2" s="1"/>
  <c r="Q5" i="2"/>
  <c r="V4" i="2"/>
  <c r="Q4" i="2"/>
  <c r="T231" i="1"/>
  <c r="T223" i="1"/>
  <c r="T220" i="1"/>
  <c r="T212" i="1"/>
  <c r="T214" i="1"/>
  <c r="T208" i="1"/>
  <c r="T204" i="1"/>
  <c r="T202" i="1"/>
  <c r="T199" i="1"/>
  <c r="T191" i="1"/>
  <c r="T197" i="1"/>
  <c r="T195" i="1"/>
  <c r="T189" i="1"/>
  <c r="T183" i="1"/>
  <c r="T179" i="1"/>
  <c r="T176" i="1"/>
  <c r="T172" i="1"/>
  <c r="T157" i="1"/>
  <c r="T148" i="1"/>
  <c r="T141" i="1"/>
  <c r="T133" i="1"/>
  <c r="T128" i="1"/>
  <c r="T121" i="1"/>
  <c r="T109" i="1"/>
  <c r="T105" i="1"/>
  <c r="U103" i="1"/>
  <c r="T104" i="1"/>
  <c r="T91" i="1"/>
  <c r="T83" i="1"/>
  <c r="T78" i="1"/>
  <c r="T72" i="1"/>
  <c r="T62" i="1"/>
  <c r="T54" i="1"/>
  <c r="T58" i="1"/>
  <c r="T48" i="1"/>
  <c r="T42" i="1"/>
  <c r="T38" i="1"/>
  <c r="T30" i="1"/>
  <c r="T16" i="1"/>
  <c r="T12" i="1"/>
  <c r="T4" i="1"/>
  <c r="U201" i="1"/>
  <c r="U234" i="1"/>
  <c r="Q234" i="1"/>
  <c r="Q233" i="1"/>
  <c r="U232" i="1"/>
  <c r="Q232" i="1"/>
  <c r="Q231" i="1"/>
  <c r="U230" i="1"/>
  <c r="Q230" i="1"/>
  <c r="U229" i="1"/>
  <c r="Q229" i="1"/>
  <c r="U228" i="1"/>
  <c r="Q228" i="1"/>
  <c r="Q227" i="1"/>
  <c r="U226" i="1"/>
  <c r="Q226" i="1"/>
  <c r="U225" i="1"/>
  <c r="Q225" i="1"/>
  <c r="U224" i="1"/>
  <c r="Q224" i="1"/>
  <c r="Q223" i="1"/>
  <c r="U222" i="1"/>
  <c r="Q222" i="1"/>
  <c r="U221" i="1"/>
  <c r="Q221" i="1"/>
  <c r="Q220" i="1"/>
  <c r="U219" i="1"/>
  <c r="Q219" i="1"/>
  <c r="U218" i="1"/>
  <c r="Q218" i="1"/>
  <c r="Q217" i="1"/>
  <c r="U216" i="1"/>
  <c r="Q216" i="1"/>
  <c r="U215" i="1"/>
  <c r="Q215" i="1"/>
  <c r="Q214" i="1"/>
  <c r="Q213" i="1"/>
  <c r="Q212" i="1"/>
  <c r="U211" i="1"/>
  <c r="Q211" i="1"/>
  <c r="Q210" i="1"/>
  <c r="U209" i="1"/>
  <c r="Q209" i="1"/>
  <c r="Q208" i="1"/>
  <c r="U207" i="1"/>
  <c r="Q207" i="1"/>
  <c r="U206" i="1"/>
  <c r="Q206" i="1"/>
  <c r="U205" i="1"/>
  <c r="Q205" i="1"/>
  <c r="Q204" i="1"/>
  <c r="U203" i="1"/>
  <c r="Q203" i="1"/>
  <c r="Q202" i="1"/>
  <c r="Q201" i="1"/>
  <c r="Q200" i="1"/>
  <c r="Q199" i="1"/>
  <c r="U198" i="1"/>
  <c r="Q198" i="1"/>
  <c r="Q197" i="1"/>
  <c r="U196" i="1"/>
  <c r="Q196" i="1"/>
  <c r="Q195" i="1"/>
  <c r="U194" i="1"/>
  <c r="Q194" i="1"/>
  <c r="Q193" i="1"/>
  <c r="U192" i="1"/>
  <c r="Q192" i="1"/>
  <c r="Q191" i="1"/>
  <c r="U190" i="1"/>
  <c r="Q190" i="1"/>
  <c r="Q189" i="1"/>
  <c r="U188" i="1"/>
  <c r="Q188" i="1"/>
  <c r="U187" i="1"/>
  <c r="Q187" i="1"/>
  <c r="Q186" i="1"/>
  <c r="U185" i="1"/>
  <c r="Q185" i="1"/>
  <c r="U184" i="1"/>
  <c r="Q184" i="1"/>
  <c r="Q183" i="1"/>
  <c r="U182" i="1"/>
  <c r="Q182" i="1"/>
  <c r="Q181" i="1"/>
  <c r="U180" i="1"/>
  <c r="Q180" i="1"/>
  <c r="Q179" i="1"/>
  <c r="U178" i="1"/>
  <c r="Q178" i="1"/>
  <c r="Q177" i="1"/>
  <c r="Q176" i="1"/>
  <c r="U175" i="1"/>
  <c r="Q175" i="1"/>
  <c r="U174" i="1"/>
  <c r="Q174" i="1"/>
  <c r="U173" i="1"/>
  <c r="Q173" i="1"/>
  <c r="Q172" i="1"/>
  <c r="U171" i="1"/>
  <c r="Q171" i="1"/>
  <c r="U170" i="1"/>
  <c r="Q170" i="1"/>
  <c r="U169" i="1"/>
  <c r="Q169" i="1"/>
  <c r="U168" i="1"/>
  <c r="Q168" i="1"/>
  <c r="Q167" i="1"/>
  <c r="U166" i="1"/>
  <c r="Q166" i="1"/>
  <c r="U165" i="1"/>
  <c r="Q165" i="1"/>
  <c r="U164" i="1"/>
  <c r="Q164" i="1"/>
  <c r="U163" i="1"/>
  <c r="Q163" i="1"/>
  <c r="Q162" i="1"/>
  <c r="U161" i="1"/>
  <c r="Q161" i="1"/>
  <c r="U160" i="1"/>
  <c r="Q160" i="1"/>
  <c r="U159" i="1"/>
  <c r="Q159" i="1"/>
  <c r="U158" i="1"/>
  <c r="Q158" i="1"/>
  <c r="Q157" i="1"/>
  <c r="U156" i="1"/>
  <c r="Q156" i="1"/>
  <c r="U155" i="1"/>
  <c r="Q155" i="1"/>
  <c r="Q154" i="1"/>
  <c r="U153" i="1"/>
  <c r="Q153" i="1"/>
  <c r="U152" i="1"/>
  <c r="Q152" i="1"/>
  <c r="Q151" i="1"/>
  <c r="U150" i="1"/>
  <c r="Q150" i="1"/>
  <c r="U149" i="1"/>
  <c r="Q149" i="1"/>
  <c r="Q148" i="1"/>
  <c r="U147" i="1"/>
  <c r="Q147" i="1"/>
  <c r="U146" i="1"/>
  <c r="Q146" i="1"/>
  <c r="Q145" i="1"/>
  <c r="U144" i="1"/>
  <c r="Q144" i="1"/>
  <c r="U143" i="1"/>
  <c r="Q143" i="1"/>
  <c r="Q142" i="1"/>
  <c r="Q141" i="1"/>
  <c r="U140" i="1"/>
  <c r="Q140" i="1"/>
  <c r="U139" i="1"/>
  <c r="Q139" i="1"/>
  <c r="U138" i="1"/>
  <c r="Q138" i="1"/>
  <c r="U137" i="1"/>
  <c r="Q137" i="1"/>
  <c r="Q136" i="1"/>
  <c r="U135" i="1"/>
  <c r="Q135" i="1"/>
  <c r="U134" i="1"/>
  <c r="Q134" i="1"/>
  <c r="Q133" i="1"/>
  <c r="U132" i="1"/>
  <c r="Q132" i="1"/>
  <c r="U131" i="1"/>
  <c r="Q131" i="1"/>
  <c r="U130" i="1"/>
  <c r="Q130" i="1"/>
  <c r="U129" i="1"/>
  <c r="Q129" i="1"/>
  <c r="Q128" i="1"/>
  <c r="U127" i="1"/>
  <c r="Q127" i="1"/>
  <c r="U126" i="1"/>
  <c r="Q126" i="1"/>
  <c r="U125" i="1"/>
  <c r="Q125" i="1"/>
  <c r="U124" i="1"/>
  <c r="Q124" i="1"/>
  <c r="U123" i="1"/>
  <c r="Q123" i="1"/>
  <c r="U122" i="1"/>
  <c r="Q122" i="1"/>
  <c r="Q121" i="1"/>
  <c r="U120" i="1"/>
  <c r="Q120" i="1"/>
  <c r="U119" i="1"/>
  <c r="Q119" i="1"/>
  <c r="U118" i="1"/>
  <c r="Q118" i="1"/>
  <c r="U117" i="1"/>
  <c r="Q117" i="1"/>
  <c r="U116" i="1"/>
  <c r="Q116" i="1"/>
  <c r="Q115" i="1"/>
  <c r="U114" i="1"/>
  <c r="Q114" i="1"/>
  <c r="U113" i="1"/>
  <c r="Q113" i="1"/>
  <c r="U112" i="1"/>
  <c r="Q112" i="1"/>
  <c r="U111" i="1"/>
  <c r="Q111" i="1"/>
  <c r="U110" i="1"/>
  <c r="Q110" i="1"/>
  <c r="Q109" i="1"/>
  <c r="U108" i="1"/>
  <c r="Q108" i="1"/>
  <c r="Q107" i="1"/>
  <c r="U106" i="1"/>
  <c r="Q106" i="1"/>
  <c r="Q105" i="1"/>
  <c r="Q104" i="1"/>
  <c r="Q103" i="1"/>
  <c r="U102" i="1"/>
  <c r="Q102" i="1"/>
  <c r="U101" i="1"/>
  <c r="Q101" i="1"/>
  <c r="U100" i="1"/>
  <c r="Q100" i="1"/>
  <c r="U99" i="1"/>
  <c r="Q99" i="1"/>
  <c r="U98" i="1"/>
  <c r="Q98" i="1"/>
  <c r="Q97" i="1"/>
  <c r="U96" i="1"/>
  <c r="Q96" i="1"/>
  <c r="U95" i="1"/>
  <c r="Q95" i="1"/>
  <c r="U94" i="1"/>
  <c r="Q94" i="1"/>
  <c r="U93" i="1"/>
  <c r="Q93" i="1"/>
  <c r="U92" i="1"/>
  <c r="Q92" i="1"/>
  <c r="Q91" i="1"/>
  <c r="U90" i="1"/>
  <c r="Q90" i="1"/>
  <c r="U89" i="1"/>
  <c r="Q89" i="1"/>
  <c r="U88" i="1"/>
  <c r="Q88" i="1"/>
  <c r="Q87" i="1"/>
  <c r="U86" i="1"/>
  <c r="Q86" i="1"/>
  <c r="U85" i="1"/>
  <c r="Q85" i="1"/>
  <c r="U84" i="1"/>
  <c r="Q84" i="1"/>
  <c r="Q83" i="1"/>
  <c r="U82" i="1"/>
  <c r="Q82" i="1"/>
  <c r="U81" i="1"/>
  <c r="Q81" i="1"/>
  <c r="U80" i="1"/>
  <c r="Q80" i="1"/>
  <c r="U79" i="1"/>
  <c r="Q79" i="1"/>
  <c r="Q78" i="1"/>
  <c r="U77" i="1"/>
  <c r="Q77" i="1"/>
  <c r="U76" i="1"/>
  <c r="Q76" i="1"/>
  <c r="U75" i="1"/>
  <c r="Q75" i="1"/>
  <c r="Q74" i="1"/>
  <c r="U73" i="1"/>
  <c r="Q73" i="1"/>
  <c r="U72" i="1"/>
  <c r="Q72" i="1"/>
  <c r="U71" i="1"/>
  <c r="Q71" i="1"/>
  <c r="U70" i="1"/>
  <c r="Q70" i="1"/>
  <c r="U69" i="1"/>
  <c r="Q69" i="1"/>
  <c r="U68" i="1"/>
  <c r="Q68" i="1"/>
  <c r="Q67" i="1"/>
  <c r="U66" i="1"/>
  <c r="Q66" i="1"/>
  <c r="U65" i="1"/>
  <c r="Q65" i="1"/>
  <c r="U64" i="1"/>
  <c r="Q64" i="1"/>
  <c r="U63" i="1"/>
  <c r="Q63" i="1"/>
  <c r="Q62" i="1"/>
  <c r="U61" i="1"/>
  <c r="Q61" i="1"/>
  <c r="U60" i="1"/>
  <c r="Q60" i="1"/>
  <c r="U59" i="1"/>
  <c r="Q59" i="1"/>
  <c r="Q58" i="1"/>
  <c r="U57" i="1"/>
  <c r="Q57" i="1"/>
  <c r="Q56" i="1"/>
  <c r="U55" i="1"/>
  <c r="Q55" i="1"/>
  <c r="Q54" i="1"/>
  <c r="U53" i="1"/>
  <c r="Q53" i="1"/>
  <c r="U52" i="1"/>
  <c r="Q52" i="1"/>
  <c r="U51" i="1"/>
  <c r="Q51" i="1"/>
  <c r="U50" i="1"/>
  <c r="Q50" i="1"/>
  <c r="U49" i="1"/>
  <c r="Q49" i="1"/>
  <c r="Q48" i="1"/>
  <c r="U47" i="1"/>
  <c r="Q47" i="1"/>
  <c r="U46" i="1"/>
  <c r="Q46" i="1"/>
  <c r="Q45" i="1"/>
  <c r="U44" i="1"/>
  <c r="Q44" i="1"/>
  <c r="U43" i="1"/>
  <c r="Q43" i="1"/>
  <c r="Q42" i="1"/>
  <c r="U41" i="1"/>
  <c r="Q41" i="1"/>
  <c r="U40" i="1"/>
  <c r="Q40" i="1"/>
  <c r="U39" i="1"/>
  <c r="Q39" i="1"/>
  <c r="Q38" i="1"/>
  <c r="U37" i="1"/>
  <c r="Q37" i="1"/>
  <c r="U36" i="1"/>
  <c r="Q36" i="1"/>
  <c r="U35" i="1"/>
  <c r="Q35" i="1"/>
  <c r="Q34" i="1"/>
  <c r="U33" i="1"/>
  <c r="Q33" i="1"/>
  <c r="U32" i="1"/>
  <c r="Q32" i="1"/>
  <c r="U31" i="1"/>
  <c r="Q31" i="1"/>
  <c r="Q30" i="1"/>
  <c r="Q29" i="1"/>
  <c r="Q28" i="1"/>
  <c r="Q27" i="1"/>
  <c r="Q26" i="1"/>
  <c r="S25" i="1"/>
  <c r="U27" i="1" s="1"/>
  <c r="Q25" i="1"/>
  <c r="Q24" i="1"/>
  <c r="Q23" i="1"/>
  <c r="Q22" i="1"/>
  <c r="Q21" i="1"/>
  <c r="S20" i="1"/>
  <c r="U24" i="1" s="1"/>
  <c r="Q20" i="1"/>
  <c r="U19" i="1"/>
  <c r="Q19" i="1"/>
  <c r="Q18" i="1"/>
  <c r="U17" i="1"/>
  <c r="Q17" i="1"/>
  <c r="Q16" i="1"/>
  <c r="U15" i="1"/>
  <c r="Q15" i="1"/>
  <c r="U14" i="1"/>
  <c r="Q14" i="1"/>
  <c r="U13" i="1"/>
  <c r="Q13" i="1"/>
  <c r="Q12" i="1"/>
  <c r="U11" i="1"/>
  <c r="Q11" i="1"/>
  <c r="U10" i="1"/>
  <c r="Q10" i="1"/>
  <c r="Q9" i="1"/>
  <c r="Q8" i="1"/>
  <c r="U7" i="1"/>
  <c r="Q7" i="1"/>
  <c r="Q6" i="1"/>
  <c r="Q5" i="1"/>
  <c r="Q4" i="1"/>
  <c r="T20" i="1" l="1"/>
  <c r="U28" i="1"/>
  <c r="U29" i="1"/>
  <c r="U23" i="1"/>
  <c r="U22" i="1"/>
  <c r="U21" i="1"/>
  <c r="U26" i="1"/>
</calcChain>
</file>

<file path=xl/sharedStrings.xml><?xml version="1.0" encoding="utf-8"?>
<sst xmlns="http://schemas.openxmlformats.org/spreadsheetml/2006/main" count="2626" uniqueCount="403">
  <si>
    <t>Publications</t>
    <phoneticPr fontId="3" type="noConversion"/>
  </si>
  <si>
    <t>Experiment Site</t>
    <phoneticPr fontId="3" type="noConversion"/>
  </si>
  <si>
    <t>Experiment duration</t>
    <phoneticPr fontId="3" type="noConversion"/>
  </si>
  <si>
    <t>Meteorology</t>
    <phoneticPr fontId="3" type="noConversion"/>
  </si>
  <si>
    <t>Soil properties</t>
    <phoneticPr fontId="3" type="noConversion"/>
  </si>
  <si>
    <t>Title</t>
    <phoneticPr fontId="3" type="noConversion"/>
  </si>
  <si>
    <t>Author(s)</t>
    <phoneticPr fontId="3" type="noConversion"/>
  </si>
  <si>
    <t>Year</t>
    <phoneticPr fontId="3" type="noConversion"/>
  </si>
  <si>
    <t>Province</t>
    <phoneticPr fontId="3" type="noConversion"/>
  </si>
  <si>
    <t>Latitude (°N)</t>
    <phoneticPr fontId="3" type="noConversion"/>
  </si>
  <si>
    <r>
      <t>Longitude (°E</t>
    </r>
    <r>
      <rPr>
        <sz val="11"/>
        <color theme="1"/>
        <rFont val="宋体"/>
        <family val="2"/>
      </rPr>
      <t>）</t>
    </r>
    <phoneticPr fontId="3" type="noConversion"/>
  </si>
  <si>
    <t>Percipitation (mm)</t>
    <phoneticPr fontId="3" type="noConversion"/>
  </si>
  <si>
    <t>Evapotranspiration (mm)</t>
    <phoneticPr fontId="3" type="noConversion"/>
  </si>
  <si>
    <r>
      <t>Average temperature (</t>
    </r>
    <r>
      <rPr>
        <sz val="11"/>
        <color theme="1"/>
        <rFont val="宋体"/>
        <family val="2"/>
      </rPr>
      <t>℃</t>
    </r>
    <r>
      <rPr>
        <sz val="11"/>
        <color theme="1"/>
        <rFont val="Arial"/>
        <family val="2"/>
      </rPr>
      <t>)</t>
    </r>
    <phoneticPr fontId="3" type="noConversion"/>
  </si>
  <si>
    <t>Bulk Density</t>
    <phoneticPr fontId="3" type="noConversion"/>
  </si>
  <si>
    <t>Sand (%)</t>
    <phoneticPr fontId="3" type="noConversion"/>
  </si>
  <si>
    <t>Silt (%)</t>
    <phoneticPr fontId="3" type="noConversion"/>
  </si>
  <si>
    <t>Clay (%)</t>
    <phoneticPr fontId="3" type="noConversion"/>
  </si>
  <si>
    <t>pH</t>
    <phoneticPr fontId="3" type="noConversion"/>
  </si>
  <si>
    <t>SOC</t>
    <phoneticPr fontId="3" type="noConversion"/>
  </si>
  <si>
    <t>C/N ratio</t>
    <phoneticPr fontId="3" type="noConversion"/>
  </si>
  <si>
    <t>NH3</t>
    <phoneticPr fontId="3" type="noConversion"/>
  </si>
  <si>
    <t>TPG</t>
    <phoneticPr fontId="3" type="noConversion"/>
  </si>
  <si>
    <t>TPEG</t>
    <phoneticPr fontId="3" type="noConversion"/>
  </si>
  <si>
    <t>MTG</t>
    <phoneticPr fontId="3" type="noConversion"/>
  </si>
  <si>
    <t>BD</t>
    <phoneticPr fontId="3" type="noConversion"/>
  </si>
  <si>
    <t>SAND</t>
    <phoneticPr fontId="3" type="noConversion"/>
  </si>
  <si>
    <t>SILT</t>
    <phoneticPr fontId="3" type="noConversion"/>
  </si>
  <si>
    <t>CLAY</t>
    <phoneticPr fontId="3" type="noConversion"/>
  </si>
  <si>
    <t>PH</t>
    <phoneticPr fontId="3" type="noConversion"/>
  </si>
  <si>
    <t>STN</t>
    <phoneticPr fontId="3" type="noConversion"/>
  </si>
  <si>
    <t>SCN</t>
    <phoneticPr fontId="3" type="noConversion"/>
  </si>
  <si>
    <t>NF%</t>
    <phoneticPr fontId="3" type="noConversion"/>
  </si>
  <si>
    <t>Emissions of N2O and NH3, and nitrogen leaching from direct seeded rice under different tillage practices in central China</t>
  </si>
  <si>
    <t>Zhang Jianshe., at al</t>
    <phoneticPr fontId="3" type="noConversion"/>
  </si>
  <si>
    <r>
      <rPr>
        <sz val="11"/>
        <color theme="1"/>
        <rFont val="宋体"/>
        <family val="2"/>
      </rPr>
      <t>稻田生态系统氮素转化经济价值研究</t>
    </r>
    <r>
      <rPr>
        <sz val="11"/>
        <color theme="1"/>
        <rFont val="Arial"/>
        <family val="2"/>
      </rPr>
      <t>.</t>
    </r>
    <r>
      <rPr>
        <sz val="11"/>
        <color theme="1"/>
        <rFont val="宋体"/>
        <family val="2"/>
      </rPr>
      <t>应用生态学报</t>
    </r>
    <r>
      <rPr>
        <sz val="11"/>
        <color theme="1"/>
        <rFont val="Arial"/>
        <family val="2"/>
      </rPr>
      <t>,16</t>
    </r>
    <r>
      <rPr>
        <sz val="11"/>
        <color theme="1"/>
        <rFont val="宋体"/>
        <family val="2"/>
      </rPr>
      <t>（</t>
    </r>
    <r>
      <rPr>
        <sz val="11"/>
        <color theme="1"/>
        <rFont val="Arial"/>
        <family val="2"/>
      </rPr>
      <t>9</t>
    </r>
    <r>
      <rPr>
        <sz val="11"/>
        <color theme="1"/>
        <rFont val="宋体"/>
        <family val="2"/>
      </rPr>
      <t>），</t>
    </r>
    <r>
      <rPr>
        <sz val="11"/>
        <color theme="1"/>
        <rFont val="Arial"/>
        <family val="2"/>
      </rPr>
      <t>1745-1750</t>
    </r>
    <r>
      <rPr>
        <sz val="11"/>
        <color theme="1"/>
        <rFont val="宋体"/>
        <family val="2"/>
      </rPr>
      <t>。</t>
    </r>
  </si>
  <si>
    <r>
      <rPr>
        <sz val="11"/>
        <color theme="1"/>
        <rFont val="宋体"/>
        <family val="2"/>
      </rPr>
      <t>肖玉，谢高地，鲁春霞</t>
    </r>
    <r>
      <rPr>
        <sz val="11"/>
        <color theme="1"/>
        <rFont val="Arial"/>
        <family val="2"/>
      </rPr>
      <t>.2005.</t>
    </r>
  </si>
  <si>
    <r>
      <rPr>
        <sz val="11"/>
        <color theme="1"/>
        <rFont val="宋体"/>
        <family val="2"/>
      </rPr>
      <t>氮肥类型对免耕稻田</t>
    </r>
    <r>
      <rPr>
        <sz val="11"/>
        <color theme="1"/>
        <rFont val="Arial"/>
        <family val="2"/>
      </rPr>
      <t>NH3</t>
    </r>
    <r>
      <rPr>
        <sz val="11"/>
        <color theme="1"/>
        <rFont val="宋体"/>
        <family val="2"/>
      </rPr>
      <t>挥发与</t>
    </r>
    <r>
      <rPr>
        <sz val="11"/>
        <color theme="1"/>
        <rFont val="Arial"/>
        <family val="2"/>
      </rPr>
      <t>N2O</t>
    </r>
    <r>
      <rPr>
        <sz val="11"/>
        <color theme="1"/>
        <rFont val="宋体"/>
        <family val="2"/>
      </rPr>
      <t>排放及氮肥利用率的影响</t>
    </r>
  </si>
  <si>
    <t>张星星</t>
    <phoneticPr fontId="3" type="noConversion"/>
  </si>
  <si>
    <r>
      <rPr>
        <sz val="11"/>
        <color theme="1"/>
        <rFont val="宋体"/>
        <family val="2"/>
      </rPr>
      <t>双季稻不同栽培模式氨挥发与温室气体排放研究</t>
    </r>
  </si>
  <si>
    <t>时亚文</t>
    <phoneticPr fontId="3" type="noConversion"/>
  </si>
  <si>
    <t>双季稻不同栽培模式氨挥发与温室气体排放研究</t>
    <phoneticPr fontId="3" type="noConversion"/>
  </si>
  <si>
    <t>Mitigating gaseous nitrogen emissions intensity from a Chinese rice cropping system through an improved management practice aimed to close the yield gap</t>
  </si>
  <si>
    <r>
      <rPr>
        <sz val="11"/>
        <color theme="1"/>
        <rFont val="宋体"/>
        <family val="2"/>
      </rPr>
      <t>优化施氮下稻麦轮作农田氮素循环特征</t>
    </r>
  </si>
  <si>
    <r>
      <rPr>
        <sz val="11"/>
        <color theme="1"/>
        <rFont val="宋体"/>
        <family val="2"/>
      </rPr>
      <t>夏文建</t>
    </r>
  </si>
  <si>
    <t>2007-2008</t>
  </si>
  <si>
    <t>Nitrogen Cycling and Losses Under Rice-Wheat Rotations with Coated Urea and Urea in the Taihu Lake Region</t>
  </si>
  <si>
    <t>Wang</t>
    <phoneticPr fontId="3" type="noConversion"/>
  </si>
  <si>
    <r>
      <rPr>
        <sz val="11"/>
        <color theme="1"/>
        <rFont val="宋体"/>
        <family val="2"/>
      </rPr>
      <t>稻田氮素利用与损失及其对环境影响究</t>
    </r>
  </si>
  <si>
    <r>
      <rPr>
        <sz val="11"/>
        <color theme="1"/>
        <rFont val="宋体"/>
        <family val="2"/>
      </rPr>
      <t>孟祥海</t>
    </r>
  </si>
  <si>
    <r>
      <rPr>
        <sz val="11"/>
        <color theme="1"/>
        <rFont val="宋体"/>
        <family val="2"/>
      </rPr>
      <t>有机肥无机肥配施对稻田氨挥发和水稻产量的影响</t>
    </r>
  </si>
  <si>
    <r>
      <rPr>
        <sz val="11"/>
        <color theme="1"/>
        <rFont val="宋体"/>
        <family val="2"/>
      </rPr>
      <t>李菊梅</t>
    </r>
  </si>
  <si>
    <r>
      <rPr>
        <sz val="11"/>
        <color theme="1"/>
        <rFont val="宋体"/>
        <family val="2"/>
      </rPr>
      <t>优化施氮下稻</t>
    </r>
    <r>
      <rPr>
        <sz val="11"/>
        <color theme="1"/>
        <rFont val="Arial"/>
        <family val="2"/>
      </rPr>
      <t>-</t>
    </r>
    <r>
      <rPr>
        <sz val="11"/>
        <color theme="1"/>
        <rFont val="宋体"/>
        <family val="2"/>
      </rPr>
      <t>麦轮作体系氮肥氨挥发损失研究</t>
    </r>
  </si>
  <si>
    <r>
      <rPr>
        <sz val="11"/>
        <color theme="1"/>
        <rFont val="宋体"/>
        <family val="2"/>
      </rPr>
      <t>施氮量对稻季氨挥发特点与氮素利用的影响</t>
    </r>
  </si>
  <si>
    <r>
      <rPr>
        <sz val="11"/>
        <color theme="1"/>
        <rFont val="宋体"/>
        <family val="2"/>
      </rPr>
      <t>叶世超</t>
    </r>
  </si>
  <si>
    <r>
      <rPr>
        <sz val="11"/>
        <color theme="1"/>
        <rFont val="宋体"/>
        <family val="2"/>
      </rPr>
      <t>水稻强化栽培</t>
    </r>
    <r>
      <rPr>
        <sz val="11"/>
        <color theme="1"/>
        <rFont val="Arial"/>
        <family val="2"/>
      </rPr>
      <t>_SRI_</t>
    </r>
    <r>
      <rPr>
        <sz val="11"/>
        <color theme="1"/>
        <rFont val="宋体"/>
        <family val="2"/>
      </rPr>
      <t>及氮肥用量对产量</t>
    </r>
    <r>
      <rPr>
        <sz val="11"/>
        <color theme="1"/>
        <rFont val="Arial"/>
        <family val="2"/>
      </rPr>
      <t>_</t>
    </r>
    <r>
      <rPr>
        <sz val="11"/>
        <color theme="1"/>
        <rFont val="宋体"/>
        <family val="2"/>
      </rPr>
      <t>水分生产效率和稻田氨挥发的影响</t>
    </r>
  </si>
  <si>
    <r>
      <rPr>
        <sz val="11"/>
        <color theme="1"/>
        <rFont val="宋体"/>
        <family val="2"/>
      </rPr>
      <t>赵利梅</t>
    </r>
  </si>
  <si>
    <r>
      <rPr>
        <sz val="11"/>
        <color theme="1"/>
        <rFont val="宋体"/>
        <family val="2"/>
      </rPr>
      <t>施肥对巢湖流域稻季氨挥发损失的影响</t>
    </r>
  </si>
  <si>
    <r>
      <rPr>
        <sz val="11"/>
        <color theme="1"/>
        <rFont val="宋体"/>
        <family val="2"/>
      </rPr>
      <t>朱小红</t>
    </r>
  </si>
  <si>
    <r>
      <rPr>
        <sz val="11"/>
        <color theme="1"/>
        <rFont val="宋体"/>
        <family val="2"/>
      </rPr>
      <t>不同施肥制度对红壤地区双季稻田氨挥发的影响</t>
    </r>
  </si>
  <si>
    <r>
      <rPr>
        <sz val="11"/>
        <color theme="1"/>
        <rFont val="宋体"/>
        <family val="2"/>
      </rPr>
      <t>吴萍萍</t>
    </r>
  </si>
  <si>
    <r>
      <rPr>
        <sz val="11"/>
        <color theme="1"/>
        <rFont val="宋体"/>
        <family val="2"/>
      </rPr>
      <t>不同施氮量下双季稻连作体系土壤氨挥发损失研究</t>
    </r>
  </si>
  <si>
    <r>
      <rPr>
        <sz val="11"/>
        <color theme="1"/>
        <rFont val="宋体"/>
        <family val="2"/>
      </rPr>
      <t>王淳</t>
    </r>
  </si>
  <si>
    <r>
      <rPr>
        <sz val="11"/>
        <color theme="1"/>
        <rFont val="宋体"/>
        <family val="2"/>
      </rPr>
      <t>施氮量对水稻氮素吸收、利用及损失的影响</t>
    </r>
  </si>
  <si>
    <r>
      <rPr>
        <sz val="11"/>
        <color theme="1"/>
        <rFont val="宋体"/>
        <family val="2"/>
      </rPr>
      <t>李艳</t>
    </r>
  </si>
  <si>
    <r>
      <rPr>
        <sz val="11"/>
        <color theme="1"/>
        <rFont val="宋体"/>
        <family val="2"/>
      </rPr>
      <t>控释氮肥减量施用对双季稻生长、氮素养分吸收利用及稻田氨挥发的影响</t>
    </r>
  </si>
  <si>
    <r>
      <rPr>
        <sz val="11"/>
        <color theme="1"/>
        <rFont val="宋体"/>
        <family val="2"/>
      </rPr>
      <t>周亮</t>
    </r>
  </si>
  <si>
    <r>
      <rPr>
        <sz val="11"/>
        <color theme="1"/>
        <rFont val="宋体"/>
        <family val="2"/>
      </rPr>
      <t>中南丘陵区典型双季稻田氨挥发对施氮量的响应及阈值初探</t>
    </r>
  </si>
  <si>
    <r>
      <rPr>
        <sz val="11"/>
        <color theme="1"/>
        <rFont val="宋体"/>
        <family val="2"/>
      </rPr>
      <t>朱坚</t>
    </r>
  </si>
  <si>
    <t>Effects of integrated high-efficiency practice versus conventional
practice on rice yield and N fate</t>
  </si>
  <si>
    <t>Yansheng Cao</t>
  </si>
  <si>
    <t>Deep placement of nitrogen fertilizers reduces ammonia volatilizationand increases nitrogen utilization efficiency in no-tillage paddy fieldsin central China</t>
  </si>
  <si>
    <t>T.Q. Liu,</t>
  </si>
  <si>
    <t>Assessment of ammonia volatilization from paddy fields under crop management practices aimed to increase grain yield and N efficiency</t>
  </si>
  <si>
    <r>
      <rPr>
        <sz val="11"/>
        <color theme="1"/>
        <rFont val="宋体"/>
        <family val="2"/>
      </rPr>
      <t>黄河上游灌区稻田氨挥发损失研究</t>
    </r>
  </si>
  <si>
    <r>
      <rPr>
        <sz val="11"/>
        <color theme="1"/>
        <rFont val="宋体"/>
        <family val="2"/>
      </rPr>
      <t>张惠</t>
    </r>
  </si>
  <si>
    <r>
      <rPr>
        <sz val="11"/>
        <color theme="1"/>
        <rFont val="宋体"/>
        <family val="2"/>
      </rPr>
      <t>含氯氮肥对太湖稻麦轮作体系氨挥发及
作物产量的影响</t>
    </r>
  </si>
  <si>
    <r>
      <rPr>
        <sz val="11"/>
        <color theme="1"/>
        <rFont val="宋体"/>
        <family val="2"/>
      </rPr>
      <t>张博文</t>
    </r>
  </si>
  <si>
    <t>2013-2015</t>
  </si>
  <si>
    <t>含氯氮肥对太湖稻麦轮作体系氨挥发及作物产量的影响</t>
    <phoneticPr fontId="3" type="noConversion"/>
  </si>
  <si>
    <t>稻麦轮作系统下硫脲铵的施用效果及氨挥发损失研究</t>
    <phoneticPr fontId="3" type="noConversion"/>
  </si>
  <si>
    <r>
      <rPr>
        <sz val="11"/>
        <color theme="1"/>
        <rFont val="宋体"/>
        <family val="2"/>
      </rPr>
      <t>张维</t>
    </r>
  </si>
  <si>
    <r>
      <rPr>
        <sz val="11"/>
        <color theme="1"/>
        <rFont val="宋体"/>
        <family val="2"/>
      </rPr>
      <t>稻麦轮作系统下硫脲铵的施用效果及氨挥发损失研究</t>
    </r>
  </si>
  <si>
    <r>
      <rPr>
        <sz val="11"/>
        <color theme="1"/>
        <rFont val="宋体"/>
        <family val="2"/>
      </rPr>
      <t>稻麦轮作下施氮量对氮素损失影响及氮肥投入阈值研究</t>
    </r>
  </si>
  <si>
    <r>
      <rPr>
        <sz val="11"/>
        <color theme="1"/>
        <rFont val="宋体"/>
        <family val="2"/>
      </rPr>
      <t>吴靓</t>
    </r>
  </si>
  <si>
    <t>稻麦轮作下施氮量对氮素损失影响及氮肥投入阈值研究</t>
    <phoneticPr fontId="3" type="noConversion"/>
  </si>
  <si>
    <r>
      <rPr>
        <sz val="11"/>
        <color theme="1"/>
        <rFont val="宋体"/>
        <family val="2"/>
      </rPr>
      <t>脲胺氮肥对太湖地区稻田氨挥发及氮肥利用率的影响</t>
    </r>
  </si>
  <si>
    <r>
      <rPr>
        <sz val="11"/>
        <color theme="1"/>
        <rFont val="宋体"/>
        <family val="2"/>
      </rPr>
      <t>敖玉琴</t>
    </r>
  </si>
  <si>
    <t>脲胺氮肥对太湖地区稻田氨挥发及氮肥利用率的影响</t>
    <phoneticPr fontId="3" type="noConversion"/>
  </si>
  <si>
    <t>几种缓控释肥在水稻上一次性施用效果研究</t>
    <phoneticPr fontId="3" type="noConversion"/>
  </si>
  <si>
    <r>
      <rPr>
        <sz val="11"/>
        <color theme="1"/>
        <rFont val="宋体"/>
        <family val="2"/>
      </rPr>
      <t>齐晓磊</t>
    </r>
  </si>
  <si>
    <r>
      <rPr>
        <sz val="11"/>
        <color theme="1"/>
        <rFont val="宋体"/>
        <family val="2"/>
      </rPr>
      <t>几种缓控释肥在水稻上一次性施用效果研究</t>
    </r>
  </si>
  <si>
    <r>
      <rPr>
        <sz val="11"/>
        <color theme="1"/>
        <rFont val="宋体"/>
        <family val="2"/>
      </rPr>
      <t>控释氮肥与尿素配施对水稻生长及氮素吸收累积的影响研究</t>
    </r>
    <r>
      <rPr>
        <sz val="11"/>
        <color theme="1"/>
        <rFont val="Arial"/>
        <family val="2"/>
      </rPr>
      <t></t>
    </r>
    <phoneticPr fontId="3" type="noConversion"/>
  </si>
  <si>
    <r>
      <rPr>
        <sz val="11"/>
        <color theme="1"/>
        <rFont val="宋体"/>
        <family val="2"/>
      </rPr>
      <t>付月君</t>
    </r>
    <r>
      <rPr>
        <sz val="11"/>
        <color theme="1"/>
        <rFont val="Arial"/>
        <family val="2"/>
      </rPr>
      <t></t>
    </r>
  </si>
  <si>
    <r>
      <rPr>
        <sz val="11"/>
        <color theme="1"/>
        <rFont val="宋体"/>
        <family val="2"/>
      </rPr>
      <t>控释氮肥与尿素配施对水稻生长及氮素吸收累积的影响研究</t>
    </r>
    <r>
      <rPr>
        <sz val="11"/>
        <color theme="1"/>
        <rFont val="Arial"/>
        <family val="2"/>
      </rPr>
      <t></t>
    </r>
  </si>
  <si>
    <t>Suppression of Ammonia Volatilization from Rice–Wheat Rotation Fields Amended with Controlled-Release Urea and Urea</t>
    <phoneticPr fontId="3" type="noConversion"/>
  </si>
  <si>
    <t>Huihui Wang</t>
  </si>
  <si>
    <t>Suppression of Ammonia Volatilization from Rice–Wheat Rotation Fields Amended with Controlled-Release Urea and Urea</t>
  </si>
  <si>
    <t>Reducing nitrogen losses through ammonia volatilization
and surface runoff to improve apparent nitrogen recovery
of double cropping of late rice using controlled release urea</t>
  </si>
  <si>
    <t>Pengfei Li</t>
  </si>
  <si>
    <t>Reducing nitrogen losses through ammonia volatilization and surface runoff to improve apparent nitrogen recovery
of double cropping of late rice using controlled release urea</t>
    <phoneticPr fontId="3" type="noConversion"/>
  </si>
  <si>
    <t>控失尿素对稻田氨挥发、氮素转运及利用效率的影响</t>
    <phoneticPr fontId="3" type="noConversion"/>
  </si>
  <si>
    <r>
      <rPr>
        <sz val="11"/>
        <color theme="1"/>
        <rFont val="宋体"/>
        <family val="2"/>
      </rPr>
      <t>薛欣欣</t>
    </r>
  </si>
  <si>
    <r>
      <rPr>
        <sz val="11"/>
        <color theme="1"/>
        <rFont val="宋体"/>
        <family val="2"/>
      </rPr>
      <t>控失尿素对稻田氨挥发、氮素转运及利用效率的影响</t>
    </r>
  </si>
  <si>
    <r>
      <rPr>
        <sz val="11"/>
        <color theme="1"/>
        <rFont val="宋体"/>
        <family val="2"/>
      </rPr>
      <t>控释尿素减施对双季稻田氨挥发损失和氮肥利用率的影响</t>
    </r>
  </si>
  <si>
    <r>
      <rPr>
        <sz val="11"/>
        <color theme="1"/>
        <rFont val="宋体"/>
        <family val="2"/>
      </rPr>
      <t>田昌</t>
    </r>
  </si>
  <si>
    <t>控释尿素减施对双季稻田氨挥发损失和氮肥利用率的影响</t>
    <phoneticPr fontId="3" type="noConversion"/>
  </si>
  <si>
    <t>沼液在稻田的精确施用及其环境效应研究</t>
    <phoneticPr fontId="3" type="noConversion"/>
  </si>
  <si>
    <r>
      <rPr>
        <sz val="11"/>
        <color theme="1"/>
        <rFont val="宋体"/>
        <family val="2"/>
      </rPr>
      <t>杨润</t>
    </r>
  </si>
  <si>
    <r>
      <rPr>
        <sz val="11"/>
        <color theme="1"/>
        <rFont val="宋体"/>
        <family val="2"/>
      </rPr>
      <t>沼液在稻田的精确施用及其环境效应研究</t>
    </r>
  </si>
  <si>
    <t>填闲作物紫云英对稻田氮素形态变化及其生产力的影响机理</t>
    <phoneticPr fontId="3" type="noConversion"/>
  </si>
  <si>
    <r>
      <rPr>
        <sz val="11"/>
        <color theme="1"/>
        <rFont val="宋体"/>
        <family val="2"/>
      </rPr>
      <t>谢志坚</t>
    </r>
  </si>
  <si>
    <t>2008-2013</t>
  </si>
  <si>
    <r>
      <rPr>
        <sz val="11"/>
        <color theme="1"/>
        <rFont val="宋体"/>
        <family val="2"/>
      </rPr>
      <t>填闲作物紫云英对稻田氮素形态变化及其生产力的影响机理</t>
    </r>
  </si>
  <si>
    <t>不同施氮量对稻田氨挥发的影响及阈值探究</t>
    <phoneticPr fontId="3" type="noConversion"/>
  </si>
  <si>
    <r>
      <rPr>
        <sz val="11"/>
        <color theme="1"/>
        <rFont val="宋体"/>
        <family val="2"/>
      </rPr>
      <t>唐良梁</t>
    </r>
  </si>
  <si>
    <r>
      <rPr>
        <sz val="11"/>
        <color theme="1"/>
        <rFont val="宋体"/>
        <family val="2"/>
      </rPr>
      <t>不同施氮量对稻田氨挥发的影响及阈值探究</t>
    </r>
  </si>
  <si>
    <t>Sawdust biochar application to rice paddy field: reduced nitrogen loss in floodwater accompanied with increased NH3 volatilization</t>
    <phoneticPr fontId="3" type="noConversion"/>
  </si>
  <si>
    <t>Yanfang Feng</t>
  </si>
  <si>
    <t>Sawdust biochar application to rice paddy field: reduced nitrogen loss in floodwater accompanied with increased NH3 volatilization</t>
  </si>
  <si>
    <t>Assessment of reactive nitrogen mitigation potential of different nitrogen treatments under direct-seeded rice and wheat cropping system</t>
    <phoneticPr fontId="3" type="noConversion"/>
  </si>
  <si>
    <t>Jingyan Jiang</t>
  </si>
  <si>
    <t>Assessment of reactive nitrogen mitigation potential of different nitrogen treatments under direct-seeded rice and wheat cropping system</t>
  </si>
  <si>
    <t>Effects of N Fertilizer Sources and Tillage Practices on NH3 Volatilization, Grain Yield, and N Use Efficiency of Rice Fields in Central China</t>
  </si>
  <si>
    <t>Effects of N Fertilizer Sources and Tillage Practices on NH3 Volatilization, Grain Yield, and N Use Efficiency of Rice Fields in Central China</t>
    <phoneticPr fontId="3" type="noConversion"/>
  </si>
  <si>
    <t>Biochar application mode influences nitrogen leaching and NH3 volatilization losses in a rice paddy soil irrigated with N-rich wastewater</t>
    <phoneticPr fontId="3" type="noConversion"/>
  </si>
  <si>
    <t>Haijun Sun</t>
  </si>
  <si>
    <t>Biochar application mode influences nitrogen leaching and NH3 volatilization losses in a rice paddy soil irrigated with N-rich wastewater</t>
  </si>
  <si>
    <r>
      <rPr>
        <sz val="11"/>
        <color theme="1"/>
        <rFont val="宋体"/>
        <family val="2"/>
      </rPr>
      <t>不同水氮管理条件下稻田氨挥发损失特征</t>
    </r>
  </si>
  <si>
    <r>
      <rPr>
        <sz val="11"/>
        <color theme="1"/>
        <rFont val="宋体"/>
        <family val="2"/>
      </rPr>
      <t>邬刚</t>
    </r>
  </si>
  <si>
    <t>不同水氮管理条件下稻田氨挥发损失特征</t>
    <phoneticPr fontId="3" type="noConversion"/>
  </si>
  <si>
    <t>Tracing the fate of nitrogen with 15N isotope considering suitable fertilizer rate related to yield and environment impacts in paddy field</t>
  </si>
  <si>
    <t>Yiming Zhong</t>
  </si>
  <si>
    <t>Tracing the fate of nitrogen with 15N isotope considering suitable fertilizer rate related to yield and environment impacts in paddy field</t>
    <phoneticPr fontId="3" type="noConversion"/>
  </si>
  <si>
    <r>
      <rPr>
        <sz val="11"/>
        <color theme="1"/>
        <rFont val="宋体"/>
        <family val="2"/>
      </rPr>
      <t>利用膜进样质谱法测定不同氮肥用量下反硝化氮素损失</t>
    </r>
  </si>
  <si>
    <r>
      <rPr>
        <sz val="11"/>
        <color theme="1"/>
        <rFont val="宋体"/>
        <family val="2"/>
      </rPr>
      <t>王书伟</t>
    </r>
  </si>
  <si>
    <t>利用膜进样质谱法测定不同氮肥用量下反硝化氮素损失</t>
    <phoneticPr fontId="3" type="noConversion"/>
  </si>
  <si>
    <r>
      <rPr>
        <sz val="11"/>
        <color theme="1"/>
        <rFont val="宋体"/>
        <family val="2"/>
      </rPr>
      <t>一次性施用草酰胺对水稻产量、氮肥利用率、氨挥发和氮素渗漏损失的影响</t>
    </r>
  </si>
  <si>
    <r>
      <rPr>
        <sz val="11"/>
        <color theme="1"/>
        <rFont val="宋体"/>
        <family val="2"/>
      </rPr>
      <t>汤</t>
    </r>
    <r>
      <rPr>
        <sz val="11"/>
        <color theme="1"/>
        <rFont val="Arial"/>
        <family val="2"/>
      </rPr>
      <t xml:space="preserve"> </t>
    </r>
    <r>
      <rPr>
        <sz val="11"/>
        <color theme="1"/>
        <rFont val="宋体"/>
        <family val="2"/>
      </rPr>
      <t>英</t>
    </r>
  </si>
  <si>
    <t>一次性施用草酰胺对水稻产量、氮肥利用率、氨挥发和氮素渗漏损失的影响</t>
    <phoneticPr fontId="3" type="noConversion"/>
  </si>
  <si>
    <t>N2O</t>
    <phoneticPr fontId="3" type="noConversion"/>
  </si>
  <si>
    <t>Factor (net)</t>
    <phoneticPr fontId="3" type="noConversion"/>
  </si>
  <si>
    <t>Mitigating net global warming potential and greenhouse gas intensities
by substituting chemical nitrogen fertilizers with organic fertilization
strategies in rice–wheat annual rotation systems in China: A 3-year
field experiment</t>
  </si>
  <si>
    <t>Bo Yang</t>
  </si>
  <si>
    <t>2011-2014</t>
  </si>
  <si>
    <t>Effects of long-term straw incorporation on the net global warmingpotential and the net economic benefit in a rice–wheat cropping system in China</t>
  </si>
  <si>
    <t>Longlong Xia</t>
  </si>
  <si>
    <t>Zhang JianShe., 2011</t>
  </si>
  <si>
    <t>Effect of biochar amendment on yield and methane and nitrous oxide emissions from a rice paddy from Tai Lake plain, China</t>
  </si>
  <si>
    <t xml:space="preserve">Zhang afeng, 2010. </t>
  </si>
  <si>
    <t>Effect of timing and duration of midseason aeration on CH4 and N2O emissions from irrigated lowland rice paddies in China</t>
  </si>
  <si>
    <t xml:space="preserve">Li xianglan, 2011. </t>
  </si>
  <si>
    <t>2005(2007)</t>
  </si>
  <si>
    <t>Effects of water regime during rice-growing season on annual direct N2O emission in a paddy rice–winter wheat rotation system in southeast China</t>
  </si>
  <si>
    <t xml:space="preserve">liu shuwei, 2010. </t>
  </si>
  <si>
    <t>Methane and nitrous oxide emissions from rice paddy fields as affected by nitrogen fertilizers and water management</t>
  </si>
  <si>
    <t>Cai.1997.</t>
  </si>
  <si>
    <t>1994(2007)</t>
  </si>
  <si>
    <t>Sewage irrigation increased methane and nitrous oxide emissions from rice paddies in southeast China</t>
  </si>
  <si>
    <t>Zou jianwen, 2009.</t>
  </si>
  <si>
    <t>Water regime–nitrogen fertilizer–straw incorporation interaction</t>
  </si>
  <si>
    <t xml:space="preserve">Wang jy, 2011. </t>
  </si>
  <si>
    <t>2005(2006)</t>
  </si>
  <si>
    <t>The value of gas exchange as a service by rice paddies in suburban Shanghai, PR Chin</t>
  </si>
  <si>
    <t xml:space="preserve">Xiao yu, 2005. </t>
  </si>
  <si>
    <t>Can biochar amendment be an ecological engineering technology to depress N2O emission in rice paddies</t>
  </si>
  <si>
    <t xml:space="preserve">Liu xiaoyu, 2012. </t>
  </si>
  <si>
    <t>生物质炭化还田对稻田温室气体排放及土壤理化性质的影响</t>
  </si>
  <si>
    <t>Nitrous oxide and methane emissions from a subtropical rice–rapeseed rotation system in China: A 3-year ﬁeld case study</t>
  </si>
  <si>
    <t>Minghua Zhou,</t>
  </si>
  <si>
    <t>Assessing impacts of alternative fertilizer management practices on both nitrogen loading and greenhouse gas emissions in rice cultivation</t>
  </si>
  <si>
    <t>Zheng Zhao</t>
  </si>
  <si>
    <t>Net global warming potential and greenhouse gas intensity from the double rice system with integrated soil–crop system management_ A three-year field study</t>
  </si>
  <si>
    <t>Methane and nitrous oxide emissions from direct-seeded and seedling-transplanted rice paddies in southeast China</t>
  </si>
  <si>
    <t>Shuwei Liu</t>
  </si>
  <si>
    <t>Methane and nitrous oxide emissions from irrigated lowland rice paddies after wheat straw application and midseason aeration</t>
  </si>
  <si>
    <t xml:space="preserve">Water-saving ground cover rice production system reduces net greenhouse gas ﬂuxes in an annual rice-based cropping system
</t>
  </si>
  <si>
    <t>Effect of controlled-release fertilizer on mitigation of N2O emission from paddy field in South China: a multi-year field observation</t>
  </si>
  <si>
    <t>Yang Ji</t>
  </si>
  <si>
    <t>Nitrogen management to reduce yield-scaled global warming
potential in rice</t>
  </si>
  <si>
    <t xml:space="preserve">X.Q. Liang </t>
  </si>
  <si>
    <t>Nitrogen management to reduce yield-scaled global warming
potential
in rice</t>
  </si>
  <si>
    <t>Net global warming potential and greenhouse gas intensity of annual
rice–wheat rotations with integrated soil–crop system management</t>
  </si>
  <si>
    <t>Y.C. Ma</t>
  </si>
  <si>
    <t>Methane and nitrous oxide emissions as affected
by organic–inorganic mixed fertilizer from a rice
paddy in southeast China</t>
  </si>
  <si>
    <t>Jinyang Wang</t>
  </si>
  <si>
    <t>Gaseous losses of nitrogen by ammonia volatilization and nitrous
oxide emissions from rice paddies with different irrigation
management</t>
  </si>
  <si>
    <t>Jun-Zeng Xu</t>
  </si>
  <si>
    <t>Greenhouse gas fluxes and NO release from a Chinese subtropical
rice-winter wheat rotation system under nitrogen fertilizer
management</t>
  </si>
  <si>
    <t>Zhisheng Yao</t>
  </si>
  <si>
    <t>2004(2006)</t>
  </si>
  <si>
    <t>Greenhouse gas emissions, soil quality, and crop productivity
from a mono-rice cultivation system as influenced by fallow
season straw management</t>
  </si>
  <si>
    <t>Wei Liu</t>
  </si>
  <si>
    <t>A 3-year record of N2O and CH4 emissions from a sandy loam paddy during rice
seasons as affected by different nitrogen application rates</t>
  </si>
  <si>
    <t>Net annual global warming potential and greenhouse
gas intensity in Chinese double rice-cropping systems:
a 3-year field measurement in long-term fertilizer
experiments</t>
  </si>
  <si>
    <t>Qingyin Shang</t>
  </si>
  <si>
    <t>Net annual global warming potential and greenhouse gas intensity in Chinese double rice-cropping systems: a 3-year field measurement in long-term fertilizer experiments</t>
    <phoneticPr fontId="3" type="noConversion"/>
  </si>
  <si>
    <t>Effects of nitrogen fertiliser and wheat straw application
on CH 4 and N 2 O emissions from a paddy rice field</t>
  </si>
  <si>
    <t>J. Ma</t>
  </si>
  <si>
    <t>2012-2015</t>
  </si>
  <si>
    <t>Urea deep placement reduces
yield-scaled greenhouse gas (CH 4
and N 2 O) and NO emissions from
a ground cover rice production
system</t>
  </si>
  <si>
    <t>NO</t>
    <phoneticPr fontId="3" type="noConversion"/>
  </si>
  <si>
    <t>NO emission from the fields of rice-wheat rotation system in Taihu Lak area</t>
  </si>
  <si>
    <t>Liu Li</t>
  </si>
  <si>
    <t>China</t>
  </si>
  <si>
    <t>Studies of nitric oxide emission and ammonia volatilization under rice-wheat rotation system in Taihu lake region</t>
  </si>
  <si>
    <t>Liu Liying</t>
  </si>
  <si>
    <t>Improving agronomic parctices to reduce ammonia and nitric oxide emissions from rice-wheat rotation field in Tai Lake Region, China</t>
  </si>
  <si>
    <t>Zhao et al.</t>
  </si>
  <si>
    <t>Nitric oxide emission and its influencing factors in two paddy-upland rotation systems in Chengdu Plain of Sichuan Basin</t>
  </si>
  <si>
    <t>Yu et al.</t>
  </si>
  <si>
    <t>NOx fluxes from several typical agricultural fields during summer-autumn in the Yangtze Delta, China</t>
  </si>
  <si>
    <t>Fang and Mu</t>
  </si>
  <si>
    <t>How are annual CH4, N2O, and NO emissions from rice-wheat system affected by nitrogen fertilizer rate and type?</t>
  </si>
  <si>
    <t>Lan et al.</t>
  </si>
  <si>
    <t>How are annual CH4, N3O, and NO emissions from rice-wheat system affected by nitrogen fertilizer rate and type?</t>
  </si>
  <si>
    <t>How are annual CH4, N4O, and NO emissions from rice-wheat system affected by nitrogen fertilizer rate and type?</t>
  </si>
  <si>
    <t>How are annual CH4, N5O, and NO emissions from rice-wheat system affected by nitrogen fertilizer rate and type?</t>
  </si>
  <si>
    <t>How are annual CH4, N6O, and NO emissions from rice-wheat system affected by nitrogen fertilizer rate and type?</t>
  </si>
  <si>
    <t>How are annual CH4, N12O, and NO emissions from rice-wheat system affected by nitrogen fertilizer rate and type?</t>
  </si>
  <si>
    <t>How are annual CH4, N13O, and NO emissions from rice-wheat system affected by nitrogen fertilizer rate and type?</t>
  </si>
  <si>
    <t>How are annual CH4, N14O, and NO emissions from rice-wheat system affected by nitrogen fertilizer rate and type?</t>
  </si>
  <si>
    <t>How are annual CH4, N15O, and NO emissions from rice-wheat system affected by nitrogen fertilizer rate and type?</t>
  </si>
  <si>
    <t>How are annual CH4, N16O, and NO emissions from rice-wheat system affected by nitrogen fertilizer rate and type?</t>
  </si>
  <si>
    <t>Urea deep placement reduces yield-scaled greenhouse gas (CH4 and N2O) and NO emissions from a ground cover rice production system</t>
  </si>
  <si>
    <t>Yao et al.</t>
  </si>
  <si>
    <t xml:space="preserve">Benefits of integrated nutrient management on N2O and NO mitigations in water-saving ground cover rice production systems </t>
  </si>
  <si>
    <t>N leaching</t>
    <phoneticPr fontId="3" type="noConversion"/>
  </si>
  <si>
    <t>Nitrogen fate and environmental consequence in paddy soil under rice-wheat rotation in the Taihu lake region, China</t>
  </si>
  <si>
    <t>Xu Zhao., 2009</t>
  </si>
  <si>
    <t>Wang.2007.Nitrogen Cycling and Losses Under Rice-Wheat Rotations with Coated Urea and Urea in the Taihu Lake Region</t>
  </si>
  <si>
    <t>Assessment of Nitrogen Pollutant Sources in Surface Waters of Taihu Lake Region</t>
  </si>
  <si>
    <t>Xie, 2007.</t>
  </si>
  <si>
    <t>2010-2011</t>
  </si>
  <si>
    <t>2002-2003</t>
  </si>
  <si>
    <t>Slope gradient</t>
    <phoneticPr fontId="3" type="noConversion"/>
  </si>
  <si>
    <t>N Runoff</t>
    <phoneticPr fontId="3" type="noConversion"/>
  </si>
  <si>
    <t>SLOP</t>
    <phoneticPr fontId="3" type="noConversion"/>
  </si>
  <si>
    <t>Nitrogen Runoff and Leaching Losses During Rice-Wheat Rotations in Taihu Lake Region, China</t>
  </si>
  <si>
    <t>Tian et al.</t>
  </si>
  <si>
    <t>Nitrogen fertilizer reduction in rice production for two consecutive years in the Taihu Lake area</t>
  </si>
  <si>
    <t>Qiao et al.</t>
  </si>
  <si>
    <t>Wang et al.</t>
  </si>
  <si>
    <t>Latitude</t>
    <phoneticPr fontId="3" type="noConversion"/>
  </si>
  <si>
    <t xml:space="preserve">Longitude </t>
    <phoneticPr fontId="3" type="noConversion"/>
  </si>
  <si>
    <t>N rate</t>
    <phoneticPr fontId="3" type="noConversion"/>
  </si>
  <si>
    <t>(kg ha-1)</t>
  </si>
  <si>
    <t>BNL</t>
    <phoneticPr fontId="3" type="noConversion"/>
  </si>
  <si>
    <t>Reducing nitrogen losses through ammonia volatilization and surface runoff to improve apparent nitrogen recovery of double cropping of late rice using controlled release urea</t>
    <phoneticPr fontId="3" type="noConversion"/>
  </si>
  <si>
    <t>N rates</t>
    <phoneticPr fontId="3" type="noConversion"/>
  </si>
  <si>
    <t>(kg ha-1)</t>
    <phoneticPr fontId="3" type="noConversion"/>
  </si>
  <si>
    <t>Time</t>
    <phoneticPr fontId="3" type="noConversion"/>
  </si>
  <si>
    <t>N loss</t>
    <phoneticPr fontId="3" type="noConversion"/>
  </si>
  <si>
    <t>Topography</t>
    <phoneticPr fontId="3" type="noConversion"/>
  </si>
  <si>
    <t>Soil total nitrogen</t>
    <phoneticPr fontId="3" type="noConversion"/>
  </si>
  <si>
    <t>Soil organic carbon</t>
    <phoneticPr fontId="3" type="noConversion"/>
  </si>
  <si>
    <t>Fertilizer</t>
  </si>
  <si>
    <t>Fertilizer</t>
    <phoneticPr fontId="3" type="noConversion"/>
  </si>
  <si>
    <r>
      <rPr>
        <sz val="11"/>
        <color theme="1"/>
        <rFont val="等线"/>
        <family val="2"/>
      </rPr>
      <t>不同时期施用生物炭对稻田</t>
    </r>
    <r>
      <rPr>
        <sz val="11"/>
        <color theme="1"/>
        <rFont val="Arial"/>
        <family val="2"/>
      </rPr>
      <t>N2O</t>
    </r>
    <r>
      <rPr>
        <sz val="11"/>
        <color theme="1"/>
        <rFont val="等线"/>
        <family val="2"/>
      </rPr>
      <t>和</t>
    </r>
    <r>
      <rPr>
        <sz val="11"/>
        <color theme="1"/>
        <rFont val="Arial"/>
        <family val="2"/>
      </rPr>
      <t>CH4</t>
    </r>
    <r>
      <rPr>
        <sz val="11"/>
        <color theme="1"/>
        <rFont val="等线"/>
        <family val="2"/>
      </rPr>
      <t>排放的影响</t>
    </r>
    <r>
      <rPr>
        <sz val="11"/>
        <color theme="1"/>
        <rFont val="Arial"/>
        <family val="2"/>
      </rPr>
      <t>*</t>
    </r>
  </si>
  <si>
    <r>
      <rPr>
        <sz val="11"/>
        <color theme="1"/>
        <rFont val="等线"/>
        <family val="2"/>
      </rPr>
      <t>李露</t>
    </r>
    <r>
      <rPr>
        <sz val="11"/>
        <color theme="1"/>
        <rFont val="Arial"/>
        <family val="2"/>
      </rPr>
      <t xml:space="preserve">,2015 </t>
    </r>
  </si>
  <si>
    <r>
      <t>2002</t>
    </r>
    <r>
      <rPr>
        <sz val="11"/>
        <color theme="1"/>
        <rFont val="等线"/>
        <family val="2"/>
      </rPr>
      <t>（</t>
    </r>
    <r>
      <rPr>
        <sz val="11"/>
        <color theme="1"/>
        <rFont val="Arial"/>
        <family val="2"/>
      </rPr>
      <t>2006</t>
    </r>
    <r>
      <rPr>
        <sz val="11"/>
        <color theme="1"/>
        <rFont val="等线"/>
        <family val="2"/>
      </rPr>
      <t>）</t>
    </r>
  </si>
  <si>
    <r>
      <rPr>
        <sz val="11"/>
        <color theme="1"/>
        <rFont val="等线"/>
        <family val="2"/>
      </rPr>
      <t>稻田生态系统氮素转化经济价值研究</t>
    </r>
    <r>
      <rPr>
        <sz val="11"/>
        <color theme="1"/>
        <rFont val="Arial"/>
        <family val="2"/>
      </rPr>
      <t>.</t>
    </r>
    <r>
      <rPr>
        <sz val="11"/>
        <color theme="1"/>
        <rFont val="等线"/>
        <family val="2"/>
      </rPr>
      <t>应用生态学报</t>
    </r>
    <r>
      <rPr>
        <sz val="11"/>
        <color theme="1"/>
        <rFont val="Arial"/>
        <family val="2"/>
      </rPr>
      <t>,16</t>
    </r>
    <r>
      <rPr>
        <sz val="11"/>
        <color theme="1"/>
        <rFont val="等线"/>
        <family val="2"/>
      </rPr>
      <t>（</t>
    </r>
    <r>
      <rPr>
        <sz val="11"/>
        <color theme="1"/>
        <rFont val="Arial"/>
        <family val="2"/>
      </rPr>
      <t>9</t>
    </r>
    <r>
      <rPr>
        <sz val="11"/>
        <color theme="1"/>
        <rFont val="等线"/>
        <family val="2"/>
      </rPr>
      <t>），</t>
    </r>
    <r>
      <rPr>
        <sz val="11"/>
        <color theme="1"/>
        <rFont val="Arial"/>
        <family val="2"/>
      </rPr>
      <t>1745-1750</t>
    </r>
    <r>
      <rPr>
        <sz val="11"/>
        <color theme="1"/>
        <rFont val="等线"/>
        <family val="2"/>
      </rPr>
      <t>。</t>
    </r>
  </si>
  <si>
    <r>
      <rPr>
        <sz val="11"/>
        <color theme="1"/>
        <rFont val="等线"/>
        <family val="2"/>
      </rPr>
      <t>肖玉，谢高地，鲁春霞</t>
    </r>
    <r>
      <rPr>
        <sz val="11"/>
        <color theme="1"/>
        <rFont val="Arial"/>
        <family val="2"/>
      </rPr>
      <t>.2005.</t>
    </r>
  </si>
  <si>
    <r>
      <rPr>
        <sz val="11"/>
        <color theme="1"/>
        <rFont val="等线"/>
        <family val="2"/>
      </rPr>
      <t>免耕施肥对稻田甲烷与氧化亚氮排放及其温室效应的影响</t>
    </r>
    <r>
      <rPr>
        <sz val="11"/>
        <color theme="1"/>
        <rFont val="Arial"/>
        <family val="2"/>
      </rPr>
      <t>.</t>
    </r>
    <r>
      <rPr>
        <sz val="11"/>
        <color theme="1"/>
        <rFont val="等线"/>
        <family val="2"/>
      </rPr>
      <t>应用生态学报</t>
    </r>
    <r>
      <rPr>
        <sz val="11"/>
        <color theme="1"/>
        <rFont val="Arial"/>
        <family val="2"/>
      </rPr>
      <t>, 20 (9) : 2166- 2172</t>
    </r>
  </si>
  <si>
    <r>
      <rPr>
        <sz val="11"/>
        <color theme="1"/>
        <rFont val="等线"/>
        <family val="2"/>
      </rPr>
      <t>代光照</t>
    </r>
    <r>
      <rPr>
        <sz val="11"/>
        <color theme="1"/>
        <rFont val="Arial"/>
        <family val="2"/>
      </rPr>
      <t>,</t>
    </r>
    <r>
      <rPr>
        <sz val="11"/>
        <color theme="1"/>
        <rFont val="等线"/>
        <family val="2"/>
      </rPr>
      <t>李成芳</t>
    </r>
    <r>
      <rPr>
        <sz val="11"/>
        <color theme="1"/>
        <rFont val="Arial"/>
        <family val="2"/>
      </rPr>
      <t>,</t>
    </r>
    <r>
      <rPr>
        <sz val="11"/>
        <color theme="1"/>
        <rFont val="等线"/>
        <family val="2"/>
      </rPr>
      <t>曹凑贵</t>
    </r>
    <r>
      <rPr>
        <sz val="11"/>
        <color theme="1"/>
        <rFont val="Arial"/>
        <family val="2"/>
      </rPr>
      <t>,</t>
    </r>
    <r>
      <rPr>
        <sz val="11"/>
        <color theme="1"/>
        <rFont val="等线"/>
        <family val="2"/>
      </rPr>
      <t>展茗</t>
    </r>
    <r>
      <rPr>
        <sz val="11"/>
        <color theme="1"/>
        <rFont val="Arial"/>
        <family val="2"/>
      </rPr>
      <t>,</t>
    </r>
    <r>
      <rPr>
        <sz val="11"/>
        <color theme="1"/>
        <rFont val="等线"/>
        <family val="2"/>
      </rPr>
      <t>通乐嘎</t>
    </r>
    <r>
      <rPr>
        <sz val="11"/>
        <color theme="1"/>
        <rFont val="Arial"/>
        <family val="2"/>
      </rPr>
      <t>,</t>
    </r>
    <r>
      <rPr>
        <sz val="11"/>
        <color theme="1"/>
        <rFont val="等线"/>
        <family val="2"/>
      </rPr>
      <t>梅少华</t>
    </r>
    <r>
      <rPr>
        <sz val="11"/>
        <color theme="1"/>
        <rFont val="Arial"/>
        <family val="2"/>
      </rPr>
      <t>,</t>
    </r>
    <r>
      <rPr>
        <sz val="11"/>
        <color theme="1"/>
        <rFont val="等线"/>
        <family val="2"/>
      </rPr>
      <t>翟中兵</t>
    </r>
    <r>
      <rPr>
        <sz val="11"/>
        <color theme="1"/>
        <rFont val="Arial"/>
        <family val="2"/>
      </rPr>
      <t>,</t>
    </r>
    <r>
      <rPr>
        <sz val="11"/>
        <color theme="1"/>
        <rFont val="等线"/>
        <family val="2"/>
      </rPr>
      <t>范端阳</t>
    </r>
    <r>
      <rPr>
        <sz val="11"/>
        <color theme="1"/>
        <rFont val="Arial"/>
        <family val="2"/>
      </rPr>
      <t>.2009.</t>
    </r>
  </si>
  <si>
    <r>
      <rPr>
        <sz val="11"/>
        <color theme="1"/>
        <rFont val="等线"/>
        <family val="2"/>
      </rPr>
      <t>长期不同施肥制度下红壤双季稻田甲烷与氧化亚氮排放的研究</t>
    </r>
  </si>
  <si>
    <r>
      <rPr>
        <sz val="11"/>
        <color theme="1"/>
        <rFont val="等线"/>
        <family val="2"/>
      </rPr>
      <t>杨秀霞</t>
    </r>
    <r>
      <rPr>
        <sz val="11"/>
        <color theme="1"/>
        <rFont val="Arial"/>
        <family val="2"/>
      </rPr>
      <t xml:space="preserve">, 2010. </t>
    </r>
  </si>
  <si>
    <r>
      <rPr>
        <sz val="11"/>
        <color theme="1"/>
        <rFont val="等线"/>
        <family val="2"/>
      </rPr>
      <t>不同施肥处理稻田甲烷和氧化亚氮排放特征</t>
    </r>
  </si>
  <si>
    <r>
      <rPr>
        <sz val="11"/>
        <color theme="1"/>
        <rFont val="等线"/>
        <family val="2"/>
      </rPr>
      <t>秦晓波等，</t>
    </r>
    <r>
      <rPr>
        <sz val="11"/>
        <color theme="1"/>
        <rFont val="Arial"/>
        <family val="2"/>
      </rPr>
      <t xml:space="preserve">2006. </t>
    </r>
  </si>
  <si>
    <r>
      <rPr>
        <sz val="11"/>
        <color theme="1"/>
        <rFont val="等线"/>
        <family val="2"/>
      </rPr>
      <t>氮肥对西双版纳地区稻田</t>
    </r>
    <r>
      <rPr>
        <sz val="11"/>
        <color theme="1"/>
        <rFont val="Arial"/>
        <family val="2"/>
      </rPr>
      <t xml:space="preserve">N2O </t>
    </r>
    <r>
      <rPr>
        <sz val="11"/>
        <color theme="1"/>
        <rFont val="等线"/>
        <family val="2"/>
      </rPr>
      <t>排放通量的影响</t>
    </r>
    <r>
      <rPr>
        <sz val="11"/>
        <color theme="1"/>
        <rFont val="Arial"/>
        <family val="2"/>
      </rPr>
      <t>.</t>
    </r>
    <r>
      <rPr>
        <sz val="11"/>
        <color theme="1"/>
        <rFont val="等线"/>
        <family val="2"/>
      </rPr>
      <t>农业环境科学学报</t>
    </r>
    <r>
      <rPr>
        <sz val="11"/>
        <color theme="1"/>
        <rFont val="Arial"/>
        <family val="2"/>
      </rPr>
      <t>,27(5):1876- 1881.</t>
    </r>
  </si>
  <si>
    <r>
      <rPr>
        <sz val="11"/>
        <color theme="1"/>
        <rFont val="等线"/>
        <family val="2"/>
      </rPr>
      <t>武文明，杨光明，沙丽清</t>
    </r>
    <r>
      <rPr>
        <sz val="11"/>
        <color theme="1"/>
        <rFont val="Arial"/>
        <family val="2"/>
      </rPr>
      <t>.2008.</t>
    </r>
  </si>
  <si>
    <r>
      <rPr>
        <sz val="11"/>
        <color theme="1"/>
        <rFont val="等线"/>
        <family val="2"/>
      </rPr>
      <t>太湖流域稻田不同氮肥管理模式下的氮素平衡特征及环境效应评价</t>
    </r>
  </si>
  <si>
    <r>
      <rPr>
        <sz val="11"/>
        <color theme="1"/>
        <rFont val="等线"/>
        <family val="2"/>
      </rPr>
      <t>薛利红，</t>
    </r>
    <r>
      <rPr>
        <sz val="11"/>
        <color theme="1"/>
        <rFont val="Arial"/>
        <family val="2"/>
      </rPr>
      <t xml:space="preserve"> 2011.</t>
    </r>
  </si>
  <si>
    <r>
      <rPr>
        <sz val="11"/>
        <color theme="1"/>
        <rFont val="等线"/>
        <family val="2"/>
      </rPr>
      <t>太湖地区不同轮作模式对稻田温室气体</t>
    </r>
    <r>
      <rPr>
        <sz val="11"/>
        <color theme="1"/>
        <rFont val="Arial"/>
        <family val="2"/>
      </rPr>
      <t>( CH4</t>
    </r>
    <r>
      <rPr>
        <sz val="11"/>
        <color theme="1"/>
        <rFont val="等线"/>
        <family val="2"/>
      </rPr>
      <t>和</t>
    </r>
    <r>
      <rPr>
        <sz val="11"/>
        <color theme="1"/>
        <rFont val="Arial"/>
        <family val="2"/>
      </rPr>
      <t xml:space="preserve">N2 O) </t>
    </r>
    <r>
      <rPr>
        <sz val="11"/>
        <color theme="1"/>
        <rFont val="等线"/>
        <family val="2"/>
      </rPr>
      <t>排放的影响</t>
    </r>
  </si>
  <si>
    <r>
      <rPr>
        <sz val="11"/>
        <color theme="1"/>
        <rFont val="等线"/>
        <family val="2"/>
      </rPr>
      <t>胡安永，</t>
    </r>
    <r>
      <rPr>
        <sz val="11"/>
        <color theme="1"/>
        <rFont val="Arial"/>
        <family val="2"/>
      </rPr>
      <t xml:space="preserve">2016 </t>
    </r>
  </si>
  <si>
    <r>
      <rPr>
        <sz val="11"/>
        <color theme="1"/>
        <rFont val="等线"/>
        <family val="2"/>
      </rPr>
      <t>氮肥类型对免耕稻田</t>
    </r>
    <r>
      <rPr>
        <sz val="11"/>
        <color theme="1"/>
        <rFont val="Arial"/>
        <family val="2"/>
      </rPr>
      <t>NH3</t>
    </r>
    <r>
      <rPr>
        <sz val="11"/>
        <color theme="1"/>
        <rFont val="等线"/>
        <family val="2"/>
      </rPr>
      <t>挥发与</t>
    </r>
    <r>
      <rPr>
        <sz val="11"/>
        <color theme="1"/>
        <rFont val="Arial"/>
        <family val="2"/>
      </rPr>
      <t>N2O</t>
    </r>
    <r>
      <rPr>
        <sz val="11"/>
        <color theme="1"/>
        <rFont val="等线"/>
        <family val="2"/>
      </rPr>
      <t>排放及氮肥利用率的影响</t>
    </r>
  </si>
  <si>
    <r>
      <rPr>
        <sz val="11"/>
        <color theme="1"/>
        <rFont val="等线"/>
        <family val="2"/>
      </rPr>
      <t>张星星，</t>
    </r>
    <r>
      <rPr>
        <sz val="11"/>
        <color theme="1"/>
        <rFont val="Arial"/>
        <family val="2"/>
      </rPr>
      <t xml:space="preserve">2015 </t>
    </r>
  </si>
  <si>
    <r>
      <rPr>
        <sz val="11"/>
        <color theme="1"/>
        <rFont val="等线"/>
        <family val="2"/>
      </rPr>
      <t>不同稻田轮作体系下温室气体排放及温室气体强度研究</t>
    </r>
  </si>
  <si>
    <r>
      <rPr>
        <sz val="11"/>
        <color theme="1"/>
        <rFont val="等线"/>
        <family val="2"/>
      </rPr>
      <t>张啸林，</t>
    </r>
    <r>
      <rPr>
        <sz val="11"/>
        <color theme="1"/>
        <rFont val="Arial"/>
        <family val="2"/>
      </rPr>
      <t xml:space="preserve">2013 </t>
    </r>
  </si>
  <si>
    <r>
      <rPr>
        <sz val="11"/>
        <color theme="1"/>
        <rFont val="等线"/>
        <family val="2"/>
      </rPr>
      <t>不同稻田轮作体系下温室气体排放及温室气体强度研究</t>
    </r>
    <phoneticPr fontId="3" type="noConversion"/>
  </si>
  <si>
    <r>
      <rPr>
        <sz val="11"/>
        <color theme="1"/>
        <rFont val="等线"/>
        <family val="2"/>
      </rPr>
      <t>不同高产高效栽培模式下湖南双季稻稻田综合净温室效应研究</t>
    </r>
  </si>
  <si>
    <r>
      <rPr>
        <sz val="11"/>
        <color theme="1"/>
        <rFont val="等线"/>
        <family val="2"/>
      </rPr>
      <t>孔宪旺，</t>
    </r>
    <r>
      <rPr>
        <sz val="11"/>
        <color theme="1"/>
        <rFont val="Arial"/>
        <family val="2"/>
      </rPr>
      <t xml:space="preserve">2013 </t>
    </r>
  </si>
  <si>
    <r>
      <rPr>
        <sz val="11"/>
        <color theme="1"/>
        <rFont val="等线"/>
        <family val="2"/>
      </rPr>
      <t>不同有机无机肥配施对水稻生长及稻田温室气体排放的影响研究</t>
    </r>
  </si>
  <si>
    <r>
      <rPr>
        <sz val="11"/>
        <color theme="1"/>
        <rFont val="等线"/>
        <family val="2"/>
      </rPr>
      <t>李波，</t>
    </r>
    <r>
      <rPr>
        <sz val="11"/>
        <color theme="1"/>
        <rFont val="Arial"/>
        <family val="2"/>
      </rPr>
      <t xml:space="preserve">2013 </t>
    </r>
  </si>
  <si>
    <r>
      <rPr>
        <sz val="11"/>
        <color theme="1"/>
        <rFont val="等线"/>
        <family val="2"/>
      </rPr>
      <t>生物质炭化还田对稻田温室气体排放及土壤理化性质的影响</t>
    </r>
  </si>
  <si>
    <r>
      <rPr>
        <sz val="11"/>
        <color theme="1"/>
        <rFont val="等线"/>
        <family val="2"/>
      </rPr>
      <t>刘玉学</t>
    </r>
    <r>
      <rPr>
        <sz val="11"/>
        <color theme="1"/>
        <rFont val="Arial"/>
        <family val="2"/>
      </rPr>
      <t xml:space="preserve">, 2013 </t>
    </r>
  </si>
  <si>
    <r>
      <rPr>
        <sz val="11"/>
        <color theme="1"/>
        <rFont val="等线"/>
        <family val="2"/>
      </rPr>
      <t>玉米秸秆源有机肥对水稻产量与温室气体排放的影响</t>
    </r>
  </si>
  <si>
    <r>
      <rPr>
        <sz val="11"/>
        <color theme="1"/>
        <rFont val="等线"/>
        <family val="2"/>
      </rPr>
      <t>马义虎</t>
    </r>
    <r>
      <rPr>
        <sz val="11"/>
        <color theme="1"/>
        <rFont val="Arial"/>
        <family val="2"/>
      </rPr>
      <t xml:space="preserve">,2013 </t>
    </r>
  </si>
  <si>
    <r>
      <rPr>
        <sz val="11"/>
        <color theme="1"/>
        <rFont val="等线"/>
        <family val="2"/>
      </rPr>
      <t>增密减氮对稻田温室气体排放及水稻产量的影响</t>
    </r>
  </si>
  <si>
    <r>
      <rPr>
        <sz val="11"/>
        <color theme="1"/>
        <rFont val="等线"/>
        <family val="2"/>
      </rPr>
      <t>秸秆生物质炭对农田温室气体排放及作物生产力的效应研究</t>
    </r>
  </si>
  <si>
    <r>
      <rPr>
        <sz val="11"/>
        <color theme="1"/>
        <rFont val="等线"/>
        <family val="2"/>
      </rPr>
      <t>张阿凤</t>
    </r>
    <r>
      <rPr>
        <sz val="11"/>
        <color theme="1"/>
        <rFont val="Arial"/>
        <family val="2"/>
      </rPr>
      <t xml:space="preserve">,2012 </t>
    </r>
  </si>
  <si>
    <r>
      <rPr>
        <sz val="11"/>
        <color theme="1"/>
        <rFont val="等线"/>
        <family val="2"/>
      </rPr>
      <t>双季稻不同栽培模式氨挥发与温室气体排放研究</t>
    </r>
  </si>
  <si>
    <r>
      <rPr>
        <sz val="11"/>
        <color theme="1"/>
        <rFont val="等线"/>
        <family val="2"/>
      </rPr>
      <t>时亚文</t>
    </r>
    <r>
      <rPr>
        <sz val="11"/>
        <color theme="1"/>
        <rFont val="Arial"/>
        <family val="2"/>
      </rPr>
      <t xml:space="preserve">,2012 </t>
    </r>
  </si>
  <si>
    <r>
      <rPr>
        <sz val="11"/>
        <color theme="1"/>
        <rFont val="等线"/>
        <family val="2"/>
      </rPr>
      <t>施用有机物料对农田固碳减排及生产力的影响</t>
    </r>
    <r>
      <rPr>
        <sz val="11"/>
        <color theme="1"/>
        <rFont val="Arial"/>
        <family val="2"/>
      </rPr>
      <t>_</t>
    </r>
    <r>
      <rPr>
        <sz val="11"/>
        <color theme="1"/>
        <rFont val="等线"/>
        <family val="2"/>
      </rPr>
      <t>田间试验及整合研究</t>
    </r>
    <r>
      <rPr>
        <sz val="11"/>
        <color theme="1"/>
        <rFont val="Arial"/>
        <family val="2"/>
      </rPr>
      <t>_</t>
    </r>
    <r>
      <rPr>
        <sz val="11"/>
        <color theme="1"/>
        <rFont val="等线"/>
        <family val="2"/>
      </rPr>
      <t>刘晓雨</t>
    </r>
  </si>
  <si>
    <r>
      <rPr>
        <sz val="11"/>
        <color theme="1"/>
        <rFont val="等线"/>
        <family val="2"/>
      </rPr>
      <t>不同氮、磷肥用量下双季稻田的</t>
    </r>
    <r>
      <rPr>
        <sz val="11"/>
        <color theme="1"/>
        <rFont val="Arial"/>
        <family val="2"/>
      </rPr>
      <t>CH4</t>
    </r>
    <r>
      <rPr>
        <sz val="11"/>
        <color theme="1"/>
        <rFont val="等线"/>
        <family val="2"/>
      </rPr>
      <t>和</t>
    </r>
    <r>
      <rPr>
        <sz val="11"/>
        <color theme="1"/>
        <rFont val="Arial"/>
        <family val="2"/>
      </rPr>
      <t xml:space="preserve">N2O </t>
    </r>
    <r>
      <rPr>
        <sz val="11"/>
        <color theme="1"/>
        <rFont val="等线"/>
        <family val="2"/>
      </rPr>
      <t>排放</t>
    </r>
  </si>
  <si>
    <r>
      <rPr>
        <sz val="11"/>
        <color theme="1"/>
        <rFont val="等线"/>
        <family val="2"/>
      </rPr>
      <t>石生伟</t>
    </r>
  </si>
  <si>
    <r>
      <rPr>
        <sz val="11"/>
        <color theme="1"/>
        <rFont val="等线"/>
        <family val="2"/>
      </rPr>
      <t>不同氮、磷肥用量下双季稻田的</t>
    </r>
    <r>
      <rPr>
        <sz val="11"/>
        <color theme="1"/>
        <rFont val="Arial"/>
        <family val="2"/>
      </rPr>
      <t xml:space="preserve">CH4
</t>
    </r>
    <r>
      <rPr>
        <sz val="11"/>
        <color theme="1"/>
        <rFont val="等线"/>
        <family val="2"/>
      </rPr>
      <t>和</t>
    </r>
    <r>
      <rPr>
        <sz val="11"/>
        <color theme="1"/>
        <rFont val="Arial"/>
        <family val="2"/>
      </rPr>
      <t xml:space="preserve">N2O </t>
    </r>
    <r>
      <rPr>
        <sz val="11"/>
        <color theme="1"/>
        <rFont val="等线"/>
        <family val="2"/>
      </rPr>
      <t>排放</t>
    </r>
  </si>
  <si>
    <r>
      <rPr>
        <sz val="11"/>
        <color theme="1"/>
        <rFont val="等线"/>
        <family val="2"/>
      </rPr>
      <t>优化施氮下稻麦轮作农田氮素循环特征</t>
    </r>
  </si>
  <si>
    <r>
      <rPr>
        <sz val="11"/>
        <color theme="1"/>
        <rFont val="等线"/>
        <family val="2"/>
      </rPr>
      <t>夏文建</t>
    </r>
  </si>
  <si>
    <r>
      <rPr>
        <sz val="11"/>
        <color theme="1"/>
        <rFont val="等线"/>
        <family val="2"/>
      </rPr>
      <t>三江平原稻田生态系统</t>
    </r>
    <r>
      <rPr>
        <sz val="11"/>
        <color theme="1"/>
        <rFont val="Arial"/>
        <family val="2"/>
      </rPr>
      <t>N2O</t>
    </r>
    <r>
      <rPr>
        <sz val="11"/>
        <color theme="1"/>
        <rFont val="等线"/>
        <family val="2"/>
      </rPr>
      <t>排放研究</t>
    </r>
  </si>
  <si>
    <r>
      <rPr>
        <sz val="11"/>
        <color theme="1"/>
        <rFont val="等线"/>
        <family val="2"/>
      </rPr>
      <t>陈卫卫</t>
    </r>
  </si>
  <si>
    <r>
      <t>2004</t>
    </r>
    <r>
      <rPr>
        <sz val="11"/>
        <color theme="1"/>
        <rFont val="等线"/>
        <family val="2"/>
      </rPr>
      <t>（</t>
    </r>
    <r>
      <rPr>
        <sz val="11"/>
        <color theme="1"/>
        <rFont val="Arial"/>
        <family val="2"/>
      </rPr>
      <t>2006</t>
    </r>
    <r>
      <rPr>
        <sz val="11"/>
        <color theme="1"/>
        <rFont val="等线"/>
        <family val="2"/>
      </rPr>
      <t>）</t>
    </r>
  </si>
  <si>
    <r>
      <t>2005</t>
    </r>
    <r>
      <rPr>
        <sz val="11"/>
        <color theme="1"/>
        <rFont val="等线"/>
        <family val="2"/>
      </rPr>
      <t>（</t>
    </r>
    <r>
      <rPr>
        <sz val="11"/>
        <color theme="1"/>
        <rFont val="Arial"/>
        <family val="2"/>
      </rPr>
      <t>2006</t>
    </r>
    <r>
      <rPr>
        <sz val="11"/>
        <color theme="1"/>
        <rFont val="等线"/>
        <family val="2"/>
      </rPr>
      <t>）</t>
    </r>
  </si>
  <si>
    <r>
      <t>2003</t>
    </r>
    <r>
      <rPr>
        <sz val="11"/>
        <color theme="1"/>
        <rFont val="等线"/>
        <family val="2"/>
      </rPr>
      <t>（</t>
    </r>
    <r>
      <rPr>
        <sz val="11"/>
        <color theme="1"/>
        <rFont val="Arial"/>
        <family val="2"/>
      </rPr>
      <t>2006</t>
    </r>
    <r>
      <rPr>
        <sz val="11"/>
        <color theme="1"/>
        <rFont val="等线"/>
        <family val="2"/>
      </rPr>
      <t>）</t>
    </r>
  </si>
  <si>
    <r>
      <rPr>
        <sz val="11"/>
        <color theme="1"/>
        <rFont val="等线"/>
        <family val="2"/>
      </rPr>
      <t>不同施氮水平下水稻田温室气体排放影响研究</t>
    </r>
  </si>
  <si>
    <r>
      <rPr>
        <sz val="11"/>
        <color theme="1"/>
        <rFont val="等线"/>
        <family val="2"/>
      </rPr>
      <t>郑洁敏</t>
    </r>
  </si>
  <si>
    <r>
      <rPr>
        <sz val="11"/>
        <color theme="1"/>
        <rFont val="等线"/>
        <family val="2"/>
      </rPr>
      <t>不同氮肥水平集约化栽培模式双季稻生态系统温室气体收支的田间观测</t>
    </r>
  </si>
  <si>
    <r>
      <rPr>
        <sz val="11"/>
        <color theme="1"/>
        <rFont val="等线"/>
        <family val="2"/>
      </rPr>
      <t>刘英烈</t>
    </r>
  </si>
  <si>
    <r>
      <rPr>
        <sz val="11"/>
        <color theme="1"/>
        <rFont val="等线"/>
        <family val="2"/>
      </rPr>
      <t>不同氮肥类型和耕作方式对稻田温室气体排放及土壤碳库的影响</t>
    </r>
  </si>
  <si>
    <r>
      <rPr>
        <sz val="11"/>
        <color theme="1"/>
        <rFont val="等线"/>
        <family val="2"/>
      </rPr>
      <t>陈建</t>
    </r>
  </si>
  <si>
    <r>
      <rPr>
        <sz val="11"/>
        <color theme="1"/>
        <rFont val="等线"/>
        <family val="2"/>
      </rPr>
      <t>江汉平原施氮水平对稻田</t>
    </r>
    <r>
      <rPr>
        <sz val="11"/>
        <color theme="1"/>
        <rFont val="Arial"/>
        <family val="2"/>
      </rPr>
      <t xml:space="preserve"> CH4 </t>
    </r>
    <r>
      <rPr>
        <sz val="11"/>
        <color theme="1"/>
        <rFont val="等线"/>
        <family val="2"/>
      </rPr>
      <t>和</t>
    </r>
    <r>
      <rPr>
        <sz val="11"/>
        <color theme="1"/>
        <rFont val="Arial"/>
        <family val="2"/>
      </rPr>
      <t xml:space="preserve"> N2O </t>
    </r>
    <r>
      <rPr>
        <sz val="11"/>
        <color theme="1"/>
        <rFont val="等线"/>
        <family val="2"/>
      </rPr>
      <t>排放及水稻产量的影响</t>
    </r>
  </si>
  <si>
    <r>
      <rPr>
        <sz val="11"/>
        <color theme="1"/>
        <rFont val="等线"/>
        <family val="2"/>
      </rPr>
      <t>苏荣瑞</t>
    </r>
  </si>
  <si>
    <r>
      <rPr>
        <sz val="11"/>
        <color theme="1"/>
        <rFont val="等线"/>
        <family val="2"/>
      </rPr>
      <t>东北寒地稻作水氮互作的温室气体排放特征研究</t>
    </r>
  </si>
  <si>
    <r>
      <rPr>
        <sz val="11"/>
        <color theme="1"/>
        <rFont val="等线"/>
        <family val="2"/>
      </rPr>
      <t>王孟雪</t>
    </r>
  </si>
  <si>
    <r>
      <rPr>
        <sz val="11"/>
        <color theme="1"/>
        <rFont val="等线"/>
        <family val="2"/>
      </rPr>
      <t>控释尿素减量施用对双季稻产量、氮肥利用率和氮素损失的影响</t>
    </r>
  </si>
  <si>
    <r>
      <rPr>
        <sz val="11"/>
        <color theme="1"/>
        <rFont val="等线"/>
        <family val="2"/>
      </rPr>
      <t>李旭</t>
    </r>
  </si>
  <si>
    <r>
      <rPr>
        <sz val="11"/>
        <color theme="1"/>
        <rFont val="等线"/>
        <family val="2"/>
      </rPr>
      <t>秸秆腐熟剂对秸秆还田稻田</t>
    </r>
    <r>
      <rPr>
        <sz val="11"/>
        <color theme="1"/>
        <rFont val="Arial"/>
        <family val="2"/>
      </rPr>
      <t xml:space="preserve"> CH4 </t>
    </r>
    <r>
      <rPr>
        <sz val="11"/>
        <color theme="1"/>
        <rFont val="等线"/>
        <family val="2"/>
      </rPr>
      <t>和</t>
    </r>
    <r>
      <rPr>
        <sz val="11"/>
        <color theme="1"/>
        <rFont val="Arial"/>
        <family val="2"/>
      </rPr>
      <t xml:space="preserve"> N2O </t>
    </r>
    <r>
      <rPr>
        <sz val="11"/>
        <color theme="1"/>
        <rFont val="等线"/>
        <family val="2"/>
      </rPr>
      <t>排放的影响</t>
    </r>
  </si>
  <si>
    <r>
      <rPr>
        <sz val="11"/>
        <color theme="1"/>
        <rFont val="等线"/>
        <family val="2"/>
      </rPr>
      <t>马煜春</t>
    </r>
  </si>
  <si>
    <r>
      <rPr>
        <sz val="11"/>
        <color theme="1"/>
        <rFont val="等线"/>
        <family val="2"/>
      </rPr>
      <t>双季福区＂稻萍＂共生系统固碳减排效应研究</t>
    </r>
    <r>
      <rPr>
        <sz val="11"/>
        <color theme="1"/>
        <rFont val="Arial"/>
        <family val="2"/>
      </rPr>
      <t></t>
    </r>
  </si>
  <si>
    <r>
      <rPr>
        <sz val="11"/>
        <color theme="1"/>
        <rFont val="等线"/>
        <family val="2"/>
      </rPr>
      <t>许和水</t>
    </r>
  </si>
  <si>
    <t>%</t>
    <phoneticPr fontId="3" type="noConversion"/>
  </si>
  <si>
    <t>LF (net)</t>
    <phoneticPr fontId="3" type="noConversion"/>
  </si>
  <si>
    <t>刘玉学等</t>
  </si>
  <si>
    <r>
      <rPr>
        <sz val="11"/>
        <color theme="1"/>
        <rFont val="微软雅黑"/>
        <family val="2"/>
        <charset val="134"/>
      </rPr>
      <t>生物质炭化还田对稻田温室气体排放及土壤理化性质的影响</t>
    </r>
    <phoneticPr fontId="3" type="noConversion"/>
  </si>
  <si>
    <r>
      <rPr>
        <sz val="11"/>
        <color theme="1"/>
        <rFont val="宋体"/>
        <family val="2"/>
        <charset val="134"/>
      </rPr>
      <t>刘玉学等</t>
    </r>
    <phoneticPr fontId="3" type="noConversion"/>
  </si>
  <si>
    <t>Dingjiang Chen, et al.</t>
    <phoneticPr fontId="3" type="noConversion"/>
  </si>
  <si>
    <t>Nitrogen dynamics of anaerobically digested slurry used to fertilize paddy fields</t>
    <phoneticPr fontId="3" type="noConversion"/>
  </si>
  <si>
    <t>Controlled-Release Urea Commingled with Rice Seeds Reduced Emission of Ammonia and Nitrous Oxide in Rice Paddy Soil</t>
    <phoneticPr fontId="3" type="noConversion"/>
  </si>
  <si>
    <t>Yuechao Yang, et al.</t>
    <phoneticPr fontId="3" type="noConversion"/>
  </si>
  <si>
    <t>水稻叶片氮素营养快速诊断及稻田温室气体排放特征研究</t>
    <phoneticPr fontId="3" type="noConversion"/>
  </si>
  <si>
    <t>钟一铭</t>
    <phoneticPr fontId="3" type="noConversion"/>
  </si>
  <si>
    <t>kg ha-1</t>
  </si>
  <si>
    <r>
      <rPr>
        <sz val="11"/>
        <color theme="1"/>
        <rFont val="等线"/>
        <family val="2"/>
      </rPr>
      <t>薛利红，等</t>
    </r>
  </si>
  <si>
    <r>
      <rPr>
        <sz val="11"/>
        <color theme="1"/>
        <rFont val="等线"/>
        <family val="2"/>
      </rPr>
      <t>太湖地区稻田氮素损失特征及环境效应分析</t>
    </r>
  </si>
  <si>
    <r>
      <rPr>
        <sz val="11"/>
        <color theme="1"/>
        <rFont val="等线"/>
        <family val="2"/>
      </rPr>
      <t>赵冬，等</t>
    </r>
  </si>
  <si>
    <r>
      <rPr>
        <sz val="11"/>
        <color theme="1"/>
        <rFont val="等线"/>
        <family val="2"/>
      </rPr>
      <t>太湖地区稻季的氮素径流损失研究</t>
    </r>
  </si>
  <si>
    <r>
      <rPr>
        <sz val="11"/>
        <color theme="1"/>
        <rFont val="等线"/>
        <family val="2"/>
      </rPr>
      <t>田玉华，等</t>
    </r>
  </si>
  <si>
    <r>
      <rPr>
        <sz val="11"/>
        <color theme="1"/>
        <rFont val="等线"/>
        <family val="2"/>
      </rPr>
      <t>水旱轮作农田系统氮素循环与水环境效应</t>
    </r>
  </si>
  <si>
    <r>
      <rPr>
        <sz val="11"/>
        <color theme="1"/>
        <rFont val="等线"/>
        <family val="2"/>
      </rPr>
      <t>陆敏</t>
    </r>
  </si>
  <si>
    <r>
      <rPr>
        <sz val="11"/>
        <color theme="1"/>
        <rFont val="等线"/>
        <family val="2"/>
      </rPr>
      <t>王小治，等</t>
    </r>
  </si>
  <si>
    <r>
      <rPr>
        <sz val="11"/>
        <color theme="1"/>
        <rFont val="等线"/>
        <family val="2"/>
      </rPr>
      <t>湖南双季稻田不同氮磷施用量的径流损失</t>
    </r>
  </si>
  <si>
    <r>
      <rPr>
        <sz val="11"/>
        <color theme="1"/>
        <rFont val="等线"/>
        <family val="2"/>
      </rPr>
      <t>石丽红</t>
    </r>
  </si>
  <si>
    <r>
      <rPr>
        <sz val="11"/>
        <color theme="1"/>
        <rFont val="等线"/>
        <family val="2"/>
      </rPr>
      <t>湖南农业面源污染中氮、磷损失的影响因素研究</t>
    </r>
  </si>
  <si>
    <r>
      <rPr>
        <sz val="11"/>
        <color theme="1"/>
        <rFont val="等线"/>
        <family val="2"/>
      </rPr>
      <t>李高明</t>
    </r>
  </si>
  <si>
    <r>
      <rPr>
        <sz val="11"/>
        <color theme="1"/>
        <rFont val="等线"/>
        <family val="2"/>
      </rPr>
      <t>稻田氮素利用与损失及其对环境影响研究</t>
    </r>
  </si>
  <si>
    <r>
      <rPr>
        <sz val="11"/>
        <color theme="1"/>
        <rFont val="等线"/>
        <family val="2"/>
      </rPr>
      <t>孟祥海</t>
    </r>
  </si>
  <si>
    <r>
      <rPr>
        <sz val="11"/>
        <color theme="1"/>
        <rFont val="等线"/>
        <family val="2"/>
      </rPr>
      <t>稻季施用不同尿素品种的氮素径流和淋溶损失</t>
    </r>
  </si>
  <si>
    <r>
      <rPr>
        <sz val="11"/>
        <color theme="1"/>
        <rFont val="等线"/>
        <family val="2"/>
      </rPr>
      <t>不同施肥及水分管理方式下稻田土壤氮磷养分流失特征的研究</t>
    </r>
  </si>
  <si>
    <r>
      <rPr>
        <sz val="11"/>
        <color theme="1"/>
        <rFont val="等线"/>
        <family val="2"/>
      </rPr>
      <t>李卫华</t>
    </r>
  </si>
  <si>
    <r>
      <rPr>
        <sz val="11"/>
        <color theme="1"/>
        <rFont val="等线"/>
        <family val="2"/>
      </rPr>
      <t>不同施肥处理对稻田系统氮素流失的影响</t>
    </r>
  </si>
  <si>
    <r>
      <rPr>
        <sz val="11"/>
        <color theme="1"/>
        <rFont val="等线"/>
        <family val="2"/>
      </rPr>
      <t>闻轶</t>
    </r>
  </si>
  <si>
    <r>
      <rPr>
        <sz val="11"/>
        <color theme="1"/>
        <rFont val="等线"/>
        <family val="2"/>
      </rPr>
      <t>用原状土柱研究太湖地区稻麦轮作农田养分淋溶量</t>
    </r>
  </si>
  <si>
    <r>
      <rPr>
        <sz val="11"/>
        <color theme="1"/>
        <rFont val="等线"/>
        <family val="2"/>
      </rPr>
      <t>张静等</t>
    </r>
    <r>
      <rPr>
        <sz val="11"/>
        <color theme="1"/>
        <rFont val="Arial"/>
        <family val="2"/>
      </rPr>
      <t xml:space="preserve">, 2008a. </t>
    </r>
  </si>
  <si>
    <r>
      <rPr>
        <sz val="11"/>
        <color theme="1"/>
        <rFont val="等线"/>
        <family val="2"/>
      </rPr>
      <t>苏南平原稻田灌排水系统中氮磷平衡状况</t>
    </r>
  </si>
  <si>
    <r>
      <rPr>
        <sz val="11"/>
        <color theme="1"/>
        <rFont val="等线"/>
        <family val="2"/>
      </rPr>
      <t>张静等</t>
    </r>
    <r>
      <rPr>
        <sz val="11"/>
        <color theme="1"/>
        <rFont val="Arial"/>
        <family val="2"/>
      </rPr>
      <t xml:space="preserve">, 2008b. </t>
    </r>
  </si>
  <si>
    <r>
      <rPr>
        <sz val="11"/>
        <color theme="1"/>
        <rFont val="等线"/>
        <family val="2"/>
      </rPr>
      <t>苏南太湖流域水稻氮肥利用率及氮肥淋洗量研究</t>
    </r>
  </si>
  <si>
    <r>
      <rPr>
        <sz val="11"/>
        <color theme="1"/>
        <rFont val="等线"/>
        <family val="2"/>
      </rPr>
      <t>崔玉亭</t>
    </r>
    <r>
      <rPr>
        <sz val="11"/>
        <color theme="1"/>
        <rFont val="Arial"/>
        <family val="2"/>
      </rPr>
      <t>, 1998.</t>
    </r>
  </si>
  <si>
    <r>
      <rPr>
        <sz val="11"/>
        <color theme="1"/>
        <rFont val="等线"/>
        <family val="2"/>
      </rPr>
      <t>稻麦轮作农田系统中氮素渗漏流失的研究</t>
    </r>
  </si>
  <si>
    <r>
      <rPr>
        <sz val="11"/>
        <color theme="1"/>
        <rFont val="等线"/>
        <family val="2"/>
      </rPr>
      <t>黄明蔚等</t>
    </r>
    <r>
      <rPr>
        <sz val="11"/>
        <color theme="1"/>
        <rFont val="Arial"/>
        <family val="2"/>
      </rPr>
      <t xml:space="preserve">, 2007. </t>
    </r>
  </si>
  <si>
    <r>
      <rPr>
        <sz val="11"/>
        <color theme="1"/>
        <rFont val="等线"/>
        <family val="2"/>
      </rPr>
      <t>大田条件下稻田土壤氮素淋失研究</t>
    </r>
  </si>
  <si>
    <r>
      <rPr>
        <sz val="11"/>
        <color theme="1"/>
        <rFont val="等线"/>
        <family val="2"/>
      </rPr>
      <t>陆敏等，</t>
    </r>
    <r>
      <rPr>
        <sz val="11"/>
        <color theme="1"/>
        <rFont val="Arial"/>
        <family val="2"/>
      </rPr>
      <t xml:space="preserve">2006. </t>
    </r>
  </si>
  <si>
    <r>
      <rPr>
        <sz val="11"/>
        <color theme="1"/>
        <rFont val="等线"/>
        <family val="2"/>
      </rPr>
      <t>王小治等，</t>
    </r>
    <r>
      <rPr>
        <sz val="11"/>
        <color theme="1"/>
        <rFont val="Arial"/>
        <family val="2"/>
      </rPr>
      <t xml:space="preserve">2004. </t>
    </r>
  </si>
  <si>
    <r>
      <rPr>
        <sz val="11"/>
        <color theme="1"/>
        <rFont val="等线"/>
        <family val="2"/>
      </rPr>
      <t>主要生物因子与稻田氮、磷转化及流失的关系</t>
    </r>
  </si>
  <si>
    <r>
      <rPr>
        <sz val="11"/>
        <color theme="1"/>
        <rFont val="等线"/>
        <family val="2"/>
      </rPr>
      <t>李华</t>
    </r>
    <r>
      <rPr>
        <sz val="11"/>
        <color theme="1"/>
        <rFont val="Arial"/>
        <family val="2"/>
      </rPr>
      <t>,2007.</t>
    </r>
  </si>
  <si>
    <r>
      <rPr>
        <sz val="11"/>
        <color theme="1"/>
        <rFont val="等线"/>
        <family val="2"/>
      </rPr>
      <t>苏南太湖地区水稻土中硝态氮淋溶的定位研究</t>
    </r>
  </si>
  <si>
    <r>
      <rPr>
        <sz val="11"/>
        <color theme="1"/>
        <rFont val="等线"/>
        <family val="2"/>
      </rPr>
      <t>吕耀，</t>
    </r>
    <r>
      <rPr>
        <sz val="11"/>
        <color theme="1"/>
        <rFont val="Arial"/>
        <family val="2"/>
      </rPr>
      <t xml:space="preserve">1999. </t>
    </r>
  </si>
  <si>
    <r>
      <rPr>
        <sz val="11"/>
        <color theme="1"/>
        <rFont val="等线"/>
        <family val="2"/>
      </rPr>
      <t>水旱轮作体系中的养分循环特征</t>
    </r>
  </si>
  <si>
    <r>
      <rPr>
        <sz val="11"/>
        <color theme="1"/>
        <rFont val="等线"/>
        <family val="2"/>
      </rPr>
      <t>石孝均，</t>
    </r>
    <r>
      <rPr>
        <sz val="11"/>
        <color theme="1"/>
        <rFont val="Arial"/>
        <family val="2"/>
      </rPr>
      <t xml:space="preserve"> 2003.</t>
    </r>
  </si>
  <si>
    <r>
      <rPr>
        <sz val="11"/>
        <color theme="1"/>
        <rFont val="等线"/>
        <family val="2"/>
      </rPr>
      <t>节水灌溉水稻水氮利用与肥料氮量平衡研究</t>
    </r>
  </si>
  <si>
    <r>
      <rPr>
        <sz val="11"/>
        <color theme="1"/>
        <rFont val="等线"/>
        <family val="2"/>
      </rPr>
      <t>刘晗</t>
    </r>
    <r>
      <rPr>
        <sz val="11"/>
        <color theme="1"/>
        <rFont val="Arial"/>
        <family val="2"/>
      </rPr>
      <t>, 2005.</t>
    </r>
  </si>
  <si>
    <r>
      <rPr>
        <sz val="11"/>
        <color theme="1"/>
        <rFont val="等线"/>
        <family val="2"/>
      </rPr>
      <t>稻田氮素淋洗损失研究</t>
    </r>
  </si>
  <si>
    <r>
      <rPr>
        <sz val="11"/>
        <color theme="1"/>
        <rFont val="等线"/>
        <family val="2"/>
      </rPr>
      <t>田玉华等，</t>
    </r>
    <r>
      <rPr>
        <sz val="11"/>
        <color theme="1"/>
        <rFont val="Arial"/>
        <family val="2"/>
      </rPr>
      <t>2006.</t>
    </r>
  </si>
  <si>
    <r>
      <rPr>
        <sz val="11"/>
        <color theme="1"/>
        <rFont val="等线"/>
        <family val="2"/>
      </rPr>
      <t>稻</t>
    </r>
    <r>
      <rPr>
        <sz val="11"/>
        <color theme="1"/>
        <rFont val="Arial"/>
        <family val="2"/>
      </rPr>
      <t>-</t>
    </r>
    <r>
      <rPr>
        <sz val="11"/>
        <color theme="1"/>
        <rFont val="等线"/>
        <family val="2"/>
      </rPr>
      <t>麦</t>
    </r>
    <r>
      <rPr>
        <sz val="11"/>
        <color theme="1"/>
        <rFont val="Arial"/>
        <family val="2"/>
      </rPr>
      <t>-</t>
    </r>
    <r>
      <rPr>
        <sz val="11"/>
        <color theme="1"/>
        <rFont val="等线"/>
        <family val="2"/>
      </rPr>
      <t>油轮作体系中氮素淋失与利用研究</t>
    </r>
  </si>
  <si>
    <r>
      <rPr>
        <sz val="11"/>
        <color theme="1"/>
        <rFont val="等线"/>
        <family val="2"/>
      </rPr>
      <t>易时来，</t>
    </r>
    <r>
      <rPr>
        <sz val="11"/>
        <color theme="1"/>
        <rFont val="Arial"/>
        <family val="2"/>
      </rPr>
      <t>2005.</t>
    </r>
  </si>
  <si>
    <r>
      <rPr>
        <sz val="11"/>
        <color theme="1"/>
        <rFont val="等线"/>
        <family val="2"/>
      </rPr>
      <t>赵冬等，</t>
    </r>
    <r>
      <rPr>
        <sz val="11"/>
        <color theme="1"/>
        <rFont val="Arial"/>
        <family val="2"/>
      </rPr>
      <t xml:space="preserve"> 2012. </t>
    </r>
  </si>
  <si>
    <r>
      <rPr>
        <sz val="11"/>
        <color theme="1"/>
        <rFont val="等线"/>
        <family val="2"/>
      </rPr>
      <t>李高明，</t>
    </r>
    <r>
      <rPr>
        <sz val="11"/>
        <color theme="1"/>
        <rFont val="Arial"/>
        <family val="2"/>
      </rPr>
      <t xml:space="preserve">2009. </t>
    </r>
  </si>
  <si>
    <r>
      <rPr>
        <sz val="11"/>
        <color theme="1"/>
        <rFont val="等线"/>
        <family val="2"/>
      </rPr>
      <t>典型红壤地区不同水肥组合下稻田氮素平衡的研究</t>
    </r>
  </si>
  <si>
    <r>
      <rPr>
        <sz val="11"/>
        <color theme="1"/>
        <rFont val="等线"/>
        <family val="2"/>
      </rPr>
      <t>王国强，</t>
    </r>
    <r>
      <rPr>
        <sz val="11"/>
        <color theme="1"/>
        <rFont val="Arial"/>
        <family val="2"/>
      </rPr>
      <t xml:space="preserve">2007. </t>
    </r>
  </si>
  <si>
    <r>
      <rPr>
        <sz val="11"/>
        <color theme="1"/>
        <rFont val="等线"/>
        <family val="2"/>
      </rPr>
      <t>宁夏引黄灌区稻田氮素淋失特征与过程控制研究</t>
    </r>
  </si>
  <si>
    <r>
      <rPr>
        <sz val="11"/>
        <color theme="1"/>
        <rFont val="等线"/>
        <family val="2"/>
      </rPr>
      <t>刘汝亮，</t>
    </r>
  </si>
  <si>
    <r>
      <rPr>
        <sz val="11"/>
        <color theme="1"/>
        <rFont val="等线"/>
        <family val="2"/>
      </rPr>
      <t>不同双氰胺用量对稻田土壤氮素淋失的影响</t>
    </r>
  </si>
  <si>
    <r>
      <rPr>
        <sz val="11"/>
        <color theme="1"/>
        <rFont val="等线"/>
        <family val="2"/>
      </rPr>
      <t>洪瑜</t>
    </r>
  </si>
  <si>
    <r>
      <rPr>
        <sz val="11"/>
        <color theme="1"/>
        <rFont val="等线"/>
        <family val="2"/>
      </rPr>
      <t>氮肥后移对引黄灌区水稻产量和氮素淋溶损失的影响</t>
    </r>
  </si>
  <si>
    <r>
      <rPr>
        <sz val="11"/>
        <color theme="1"/>
        <rFont val="等线"/>
        <family val="2"/>
      </rPr>
      <t>刘汝亮</t>
    </r>
  </si>
  <si>
    <r>
      <rPr>
        <sz val="11"/>
        <color theme="1"/>
        <rFont val="等线"/>
        <family val="2"/>
      </rPr>
      <t>基于缓释肥的侧条施肥技术对水稻产量和
氮素流失的影响</t>
    </r>
  </si>
  <si>
    <r>
      <rPr>
        <sz val="11"/>
        <color theme="1"/>
        <rFont val="等线"/>
        <family val="2"/>
      </rPr>
      <t>张爱平</t>
    </r>
  </si>
  <si>
    <r>
      <rPr>
        <sz val="11"/>
        <color theme="1"/>
        <rFont val="等线"/>
        <family val="2"/>
      </rPr>
      <t>不同施肥方式下稻田氮磷流失特征</t>
    </r>
  </si>
  <si>
    <r>
      <rPr>
        <sz val="11"/>
        <color theme="1"/>
        <rFont val="等线"/>
        <family val="2"/>
      </rPr>
      <t>张翼</t>
    </r>
  </si>
  <si>
    <r>
      <rPr>
        <sz val="11"/>
        <color theme="1"/>
        <rFont val="等线"/>
        <family val="2"/>
      </rPr>
      <t xml:space="preserve">不同施肥方式下稻田氮磷流失特征
</t>
    </r>
  </si>
  <si>
    <r>
      <rPr>
        <sz val="11"/>
        <color theme="1"/>
        <rFont val="等线"/>
        <family val="2"/>
      </rPr>
      <t>稻田土壤上控释氮肥的氮素利用率与硝态氮的淋溶损失</t>
    </r>
  </si>
  <si>
    <r>
      <rPr>
        <sz val="11"/>
        <color theme="1"/>
        <rFont val="等线"/>
        <family val="2"/>
      </rPr>
      <t>纪雄辉等，</t>
    </r>
    <r>
      <rPr>
        <sz val="11"/>
        <color theme="1"/>
        <rFont val="Arial"/>
        <family val="2"/>
      </rPr>
      <t xml:space="preserve">2007. </t>
    </r>
  </si>
  <si>
    <r>
      <rPr>
        <sz val="11"/>
        <color theme="1"/>
        <rFont val="等线"/>
        <family val="2"/>
      </rPr>
      <t>水田土壤溶液磷氮的动态变化及潜在的环境影响</t>
    </r>
  </si>
  <si>
    <r>
      <rPr>
        <sz val="11"/>
        <color theme="1"/>
        <rFont val="等线"/>
        <family val="2"/>
      </rPr>
      <t>单艳红，</t>
    </r>
    <r>
      <rPr>
        <sz val="11"/>
        <color theme="1"/>
        <rFont val="Arial"/>
        <family val="2"/>
      </rPr>
      <t xml:space="preserve">2005. </t>
    </r>
    <r>
      <rPr>
        <sz val="11"/>
        <color theme="1"/>
        <rFont val="等线"/>
        <family val="2"/>
      </rPr>
      <t>水田土壤溶液磷氮的动态变化及潜在的环境影响</t>
    </r>
  </si>
  <si>
    <r>
      <rPr>
        <sz val="11"/>
        <color theme="1"/>
        <rFont val="等线"/>
        <family val="2"/>
      </rPr>
      <t>陆敏</t>
    </r>
    <r>
      <rPr>
        <sz val="11"/>
        <color theme="1"/>
        <rFont val="Arial"/>
        <family val="2"/>
      </rPr>
      <t>,2007.</t>
    </r>
    <r>
      <rPr>
        <sz val="11"/>
        <color theme="1"/>
        <rFont val="等线"/>
        <family val="2"/>
      </rPr>
      <t>水旱轮作农田系统氮素循环与水环境效应</t>
    </r>
  </si>
  <si>
    <r>
      <rPr>
        <sz val="11"/>
        <color theme="1"/>
        <rFont val="等线"/>
        <family val="2"/>
      </rPr>
      <t>育秧箱全量施肥对水稻产量和氮素流失的影响</t>
    </r>
  </si>
  <si>
    <r>
      <rPr>
        <sz val="11"/>
        <color theme="1"/>
        <rFont val="等线"/>
        <family val="2"/>
      </rPr>
      <t>稻田氮素利用与损失及其对环境影响究</t>
    </r>
  </si>
  <si>
    <r>
      <rPr>
        <sz val="11"/>
        <color theme="1"/>
        <rFont val="等线"/>
        <family val="2"/>
      </rPr>
      <t xml:space="preserve">孟祥海
</t>
    </r>
  </si>
  <si>
    <r>
      <rPr>
        <sz val="11"/>
        <color theme="1"/>
        <rFont val="等线"/>
        <family val="2"/>
      </rPr>
      <t>施肥对太湖地区青紫泥水稻土稻季农田氮磷流失的影响</t>
    </r>
  </si>
  <si>
    <r>
      <rPr>
        <sz val="11"/>
        <color theme="1"/>
        <rFont val="等线"/>
        <family val="2"/>
      </rPr>
      <t>焦少俊</t>
    </r>
  </si>
  <si>
    <r>
      <rPr>
        <sz val="11"/>
        <color theme="1"/>
        <rFont val="等线"/>
        <family val="2"/>
      </rPr>
      <t>控释尿素减量施用对稻田氮素径流和渗漏损失的影响</t>
    </r>
  </si>
  <si>
    <r>
      <rPr>
        <sz val="11"/>
        <color theme="1"/>
        <rFont val="等线"/>
        <family val="2"/>
      </rPr>
      <t>李</t>
    </r>
    <r>
      <rPr>
        <sz val="11"/>
        <color theme="1"/>
        <rFont val="Arial"/>
        <family val="2"/>
      </rPr>
      <t xml:space="preserve"> </t>
    </r>
    <r>
      <rPr>
        <sz val="11"/>
        <color theme="1"/>
        <rFont val="等线"/>
        <family val="2"/>
      </rPr>
      <t>旭</t>
    </r>
  </si>
  <si>
    <r>
      <t xml:space="preserve"> </t>
    </r>
    <r>
      <rPr>
        <sz val="11"/>
        <color theme="1"/>
        <rFont val="等线"/>
        <family val="2"/>
      </rPr>
      <t>稻田土壤上控释氮肥的氮素利用率与硝态氮的淋溶损失</t>
    </r>
  </si>
  <si>
    <r>
      <rPr>
        <sz val="11"/>
        <color theme="1"/>
        <rFont val="等线"/>
        <family val="2"/>
      </rPr>
      <t>纪雄辉等，</t>
    </r>
    <r>
      <rPr>
        <sz val="11"/>
        <color theme="1"/>
        <rFont val="Arial"/>
        <family val="2"/>
      </rPr>
      <t xml:space="preserve">2007. </t>
    </r>
    <r>
      <rPr>
        <sz val="11"/>
        <color theme="1"/>
        <rFont val="等线"/>
        <family val="2"/>
      </rPr>
      <t>稻田土壤上控释氮肥的氮素利用率与硝态氮的淋溶损失</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</si>
</sst>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Red]\(0.00\)"/>
    <numFmt numFmtId="177" formatCode="0.0000_);[Red]\(0.0000\)"/>
    <numFmt numFmtId="178" formatCode="0.000_);[Red]\(0.000\)"/>
    <numFmt numFmtId="179" formatCode="0.0"/>
  </numFmts>
  <fonts count="9" x14ac:knownFonts="1">
    <font>
      <sz val="11"/>
      <color theme="1"/>
      <name val="等线"/>
      <family val="2"/>
      <scheme val="minor"/>
    </font>
    <font>
      <sz val="11"/>
      <color rgb="FF9C0006"/>
      <name val="等线"/>
      <family val="2"/>
      <charset val="134"/>
      <scheme val="minor"/>
    </font>
    <font>
      <sz val="11"/>
      <color theme="1"/>
      <name val="Arial"/>
      <family val="2"/>
    </font>
    <font>
      <sz val="9"/>
      <name val="等线"/>
      <family val="3"/>
      <charset val="134"/>
      <scheme val="minor"/>
    </font>
    <font>
      <sz val="11"/>
      <color theme="1"/>
      <name val="宋体"/>
      <family val="2"/>
    </font>
    <font>
      <sz val="11"/>
      <color theme="1"/>
      <name val="宋体"/>
      <family val="2"/>
      <charset val="134"/>
    </font>
    <font>
      <sz val="11"/>
      <color theme="1"/>
      <name val="等线"/>
      <family val="2"/>
    </font>
    <font>
      <sz val="11"/>
      <color theme="1"/>
      <name val="微软雅黑"/>
      <family val="2"/>
      <charset val="134"/>
    </font>
    <font>
      <sz val="11"/>
      <name val="Arial"/>
      <family val="2"/>
    </font>
  </fonts>
  <fills count="3">
    <fill>
      <patternFill patternType="none"/>
    </fill>
    <fill>
      <patternFill patternType="gray125"/>
    </fill>
    <fill>
      <patternFill patternType="solid">
        <fgColor rgb="FFFFC7CE"/>
      </patternFill>
    </fill>
  </fills>
  <borders count="18">
    <border>
      <left/>
      <right/>
      <top/>
      <bottom/>
      <diagonal/>
    </border>
    <border>
      <left style="thin">
        <color auto="1"/>
      </left>
      <right style="thin">
        <color auto="1"/>
      </right>
      <top style="thin">
        <color auto="1"/>
      </top>
      <bottom style="thin">
        <color auto="1"/>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auto="1"/>
      </top>
      <bottom/>
      <diagonal/>
    </border>
    <border>
      <left/>
      <right/>
      <top style="thin">
        <color indexed="64"/>
      </top>
      <bottom/>
      <diagonal/>
    </border>
    <border>
      <left style="thin">
        <color indexed="64"/>
      </left>
      <right/>
      <top style="thin">
        <color indexed="64"/>
      </top>
      <bottom/>
      <diagonal/>
    </border>
  </borders>
  <cellStyleXfs count="2">
    <xf numFmtId="0" fontId="0" fillId="0" borderId="0"/>
    <xf numFmtId="0" fontId="1" fillId="2" borderId="0" applyNumberFormat="0" applyBorder="0" applyAlignment="0" applyProtection="0">
      <alignment vertical="center"/>
    </xf>
  </cellStyleXfs>
  <cellXfs count="108">
    <xf numFmtId="0" fontId="0" fillId="0" borderId="0" xfId="0"/>
    <xf numFmtId="0" fontId="2" fillId="0" borderId="1" xfId="0" applyFont="1" applyBorder="1"/>
    <xf numFmtId="0" fontId="2" fillId="0" borderId="3" xfId="0" applyFont="1" applyBorder="1"/>
    <xf numFmtId="0" fontId="2" fillId="0" borderId="2" xfId="0" applyFont="1" applyBorder="1"/>
    <xf numFmtId="0" fontId="2" fillId="0" borderId="4" xfId="0" applyFont="1" applyBorder="1"/>
    <xf numFmtId="0" fontId="2" fillId="0" borderId="0" xfId="0" applyFont="1"/>
    <xf numFmtId="0" fontId="0" fillId="0" borderId="7" xfId="0" applyBorder="1"/>
    <xf numFmtId="0" fontId="0" fillId="0" borderId="0" xfId="0" applyAlignment="1">
      <alignment horizontal="center"/>
    </xf>
    <xf numFmtId="178" fontId="2" fillId="0" borderId="1" xfId="0" applyNumberFormat="1" applyFont="1" applyBorder="1"/>
    <xf numFmtId="178" fontId="2" fillId="0" borderId="4" xfId="0" applyNumberFormat="1" applyFont="1" applyBorder="1"/>
    <xf numFmtId="0" fontId="2" fillId="0" borderId="6" xfId="0" applyFont="1" applyBorder="1" applyAlignment="1">
      <alignment horizontal="left"/>
    </xf>
    <xf numFmtId="0" fontId="2" fillId="0" borderId="5" xfId="0" applyFont="1" applyBorder="1" applyAlignment="1">
      <alignment horizontal="left"/>
    </xf>
    <xf numFmtId="176" fontId="2" fillId="0" borderId="7" xfId="0" applyNumberFormat="1" applyFont="1" applyBorder="1" applyAlignment="1">
      <alignment horizontal="left"/>
    </xf>
    <xf numFmtId="0" fontId="2" fillId="0" borderId="8" xfId="0" applyFont="1" applyBorder="1" applyAlignment="1">
      <alignment horizontal="left"/>
    </xf>
    <xf numFmtId="0" fontId="2" fillId="0" borderId="1" xfId="0" applyFont="1" applyBorder="1" applyAlignment="1">
      <alignment horizontal="center"/>
    </xf>
    <xf numFmtId="176" fontId="2" fillId="0" borderId="1" xfId="0" applyNumberFormat="1" applyFont="1" applyBorder="1" applyAlignment="1">
      <alignment horizontal="center"/>
    </xf>
    <xf numFmtId="176" fontId="2" fillId="0" borderId="4" xfId="0" applyNumberFormat="1" applyFont="1" applyBorder="1" applyAlignment="1">
      <alignment horizontal="center"/>
    </xf>
    <xf numFmtId="176" fontId="2" fillId="0" borderId="6" xfId="0" applyNumberFormat="1" applyFont="1" applyBorder="1" applyAlignment="1">
      <alignment horizontal="left"/>
    </xf>
    <xf numFmtId="176" fontId="2" fillId="0" borderId="9" xfId="0" applyNumberFormat="1" applyFont="1" applyBorder="1" applyAlignment="1">
      <alignment horizontal="left"/>
    </xf>
    <xf numFmtId="0" fontId="2" fillId="0" borderId="1" xfId="0" applyFont="1" applyFill="1" applyBorder="1" applyAlignment="1">
      <alignment horizontal="center"/>
    </xf>
    <xf numFmtId="0" fontId="2" fillId="0" borderId="3" xfId="0" applyFont="1" applyFill="1" applyBorder="1" applyAlignment="1">
      <alignment horizontal="center"/>
    </xf>
    <xf numFmtId="0" fontId="2" fillId="0" borderId="5" xfId="0" applyFont="1" applyFill="1" applyBorder="1" applyAlignment="1">
      <alignment horizontal="left"/>
    </xf>
    <xf numFmtId="0" fontId="2" fillId="0" borderId="8" xfId="0" applyFont="1" applyFill="1" applyBorder="1" applyAlignment="1">
      <alignment horizontal="left"/>
    </xf>
    <xf numFmtId="0" fontId="2" fillId="0" borderId="12" xfId="0" applyFont="1" applyFill="1" applyBorder="1" applyAlignment="1">
      <alignment horizontal="center"/>
    </xf>
    <xf numFmtId="0" fontId="2" fillId="0" borderId="2" xfId="0" applyFont="1" applyFill="1" applyBorder="1" applyAlignment="1">
      <alignment horizontal="center"/>
    </xf>
    <xf numFmtId="0" fontId="2" fillId="0" borderId="4" xfId="0" applyFont="1" applyFill="1" applyBorder="1" applyAlignment="1">
      <alignment horizontal="center"/>
    </xf>
    <xf numFmtId="176" fontId="2" fillId="0" borderId="2" xfId="0" applyNumberFormat="1" applyFont="1" applyFill="1" applyBorder="1" applyAlignment="1">
      <alignment horizontal="center"/>
    </xf>
    <xf numFmtId="0" fontId="2" fillId="0" borderId="0" xfId="0" applyFont="1" applyFill="1" applyAlignment="1">
      <alignment horizontal="left"/>
    </xf>
    <xf numFmtId="0" fontId="2" fillId="0" borderId="6" xfId="0" applyFont="1" applyFill="1" applyBorder="1" applyAlignment="1">
      <alignment horizontal="left"/>
    </xf>
    <xf numFmtId="0" fontId="2" fillId="0" borderId="0" xfId="0" applyFont="1" applyFill="1"/>
    <xf numFmtId="176" fontId="2" fillId="0" borderId="0" xfId="0" applyNumberFormat="1" applyFont="1" applyFill="1" applyAlignment="1">
      <alignment horizontal="left"/>
    </xf>
    <xf numFmtId="176" fontId="2" fillId="0" borderId="6" xfId="0" applyNumberFormat="1" applyFont="1" applyFill="1" applyBorder="1" applyAlignment="1">
      <alignment horizontal="left"/>
    </xf>
    <xf numFmtId="0" fontId="2" fillId="0" borderId="7" xfId="0" applyFont="1" applyFill="1" applyBorder="1" applyAlignment="1">
      <alignment horizontal="left"/>
    </xf>
    <xf numFmtId="0" fontId="2" fillId="0" borderId="9" xfId="0" applyFont="1" applyFill="1" applyBorder="1" applyAlignment="1">
      <alignment horizontal="left"/>
    </xf>
    <xf numFmtId="0" fontId="2" fillId="0" borderId="7" xfId="0" applyFont="1" applyFill="1" applyBorder="1"/>
    <xf numFmtId="176" fontId="2" fillId="0" borderId="7" xfId="0" applyNumberFormat="1" applyFont="1" applyFill="1" applyBorder="1" applyAlignment="1">
      <alignment horizontal="left"/>
    </xf>
    <xf numFmtId="176" fontId="2" fillId="0" borderId="9" xfId="0" applyNumberFormat="1" applyFont="1" applyFill="1" applyBorder="1" applyAlignment="1">
      <alignment horizontal="left"/>
    </xf>
    <xf numFmtId="1" fontId="2" fillId="0" borderId="0" xfId="0" applyNumberFormat="1" applyFont="1" applyFill="1" applyAlignment="1">
      <alignment horizontal="left"/>
    </xf>
    <xf numFmtId="1" fontId="2" fillId="0" borderId="7" xfId="0" applyNumberFormat="1" applyFont="1" applyFill="1" applyBorder="1" applyAlignment="1">
      <alignment horizontal="left"/>
    </xf>
    <xf numFmtId="0" fontId="4" fillId="0" borderId="0" xfId="0" applyFont="1" applyFill="1" applyAlignment="1">
      <alignment horizontal="left"/>
    </xf>
    <xf numFmtId="0" fontId="4" fillId="0" borderId="7" xfId="0" applyFont="1" applyFill="1" applyBorder="1" applyAlignment="1">
      <alignment horizontal="left"/>
    </xf>
    <xf numFmtId="179" fontId="2" fillId="0" borderId="0" xfId="0" applyNumberFormat="1" applyFont="1" applyFill="1" applyAlignment="1">
      <alignment horizontal="left"/>
    </xf>
    <xf numFmtId="179" fontId="2" fillId="0" borderId="7" xfId="0" applyNumberFormat="1" applyFont="1" applyFill="1" applyBorder="1" applyAlignment="1">
      <alignment horizontal="left"/>
    </xf>
    <xf numFmtId="0" fontId="2" fillId="0" borderId="0" xfId="0" applyFont="1" applyFill="1" applyBorder="1" applyAlignment="1">
      <alignment horizontal="left"/>
    </xf>
    <xf numFmtId="0" fontId="2" fillId="0" borderId="0" xfId="0" applyFont="1" applyFill="1" applyBorder="1"/>
    <xf numFmtId="176" fontId="2" fillId="0" borderId="0" xfId="0" applyNumberFormat="1" applyFont="1" applyFill="1" applyBorder="1" applyAlignment="1">
      <alignment horizontal="left"/>
    </xf>
    <xf numFmtId="176" fontId="2" fillId="0" borderId="0" xfId="0" applyNumberFormat="1" applyFont="1" applyBorder="1" applyAlignment="1">
      <alignment horizontal="left"/>
    </xf>
    <xf numFmtId="0" fontId="0" fillId="0" borderId="0" xfId="0" applyBorder="1"/>
    <xf numFmtId="0" fontId="2" fillId="0" borderId="17" xfId="0" applyFont="1" applyFill="1" applyBorder="1" applyAlignment="1">
      <alignment horizontal="left"/>
    </xf>
    <xf numFmtId="0" fontId="2" fillId="0" borderId="16" xfId="0" applyFont="1" applyFill="1" applyBorder="1" applyAlignment="1">
      <alignment horizontal="left"/>
    </xf>
    <xf numFmtId="0" fontId="2" fillId="0" borderId="15" xfId="0" applyFont="1" applyFill="1" applyBorder="1" applyAlignment="1">
      <alignment horizontal="left"/>
    </xf>
    <xf numFmtId="0" fontId="2" fillId="0" borderId="16" xfId="0" applyFont="1" applyFill="1" applyBorder="1"/>
    <xf numFmtId="176" fontId="2" fillId="0" borderId="16" xfId="0" applyNumberFormat="1" applyFont="1" applyFill="1" applyBorder="1" applyAlignment="1">
      <alignment horizontal="left"/>
    </xf>
    <xf numFmtId="176" fontId="2" fillId="0" borderId="15" xfId="0" applyNumberFormat="1" applyFont="1" applyFill="1" applyBorder="1" applyAlignment="1">
      <alignment horizontal="left"/>
    </xf>
    <xf numFmtId="0" fontId="2" fillId="0" borderId="17" xfId="0" applyFont="1" applyBorder="1" applyAlignment="1">
      <alignment horizontal="left"/>
    </xf>
    <xf numFmtId="176" fontId="2" fillId="0" borderId="15" xfId="0" applyNumberFormat="1" applyFont="1" applyBorder="1" applyAlignment="1">
      <alignment horizontal="left"/>
    </xf>
    <xf numFmtId="0" fontId="0" fillId="0" borderId="16" xfId="0" applyBorder="1"/>
    <xf numFmtId="1" fontId="2" fillId="0" borderId="16" xfId="0" applyNumberFormat="1" applyFont="1" applyFill="1" applyBorder="1" applyAlignment="1">
      <alignment horizontal="left"/>
    </xf>
    <xf numFmtId="0" fontId="4" fillId="0" borderId="0" xfId="0" applyFont="1" applyFill="1" applyBorder="1" applyAlignment="1">
      <alignment horizontal="left"/>
    </xf>
    <xf numFmtId="1" fontId="2" fillId="0" borderId="0" xfId="0" applyNumberFormat="1" applyFont="1" applyFill="1" applyBorder="1" applyAlignment="1">
      <alignment horizontal="left"/>
    </xf>
    <xf numFmtId="176" fontId="2" fillId="0" borderId="3" xfId="0" applyNumberFormat="1" applyFont="1" applyFill="1" applyBorder="1" applyAlignment="1">
      <alignment horizontal="center"/>
    </xf>
    <xf numFmtId="0" fontId="2" fillId="0" borderId="1" xfId="0" applyFont="1" applyFill="1" applyBorder="1"/>
    <xf numFmtId="0" fontId="2" fillId="0" borderId="2" xfId="0" applyFont="1" applyFill="1" applyBorder="1"/>
    <xf numFmtId="0" fontId="2" fillId="0" borderId="3" xfId="0" applyFont="1" applyFill="1" applyBorder="1"/>
    <xf numFmtId="0" fontId="2" fillId="0" borderId="4" xfId="0" applyFont="1" applyFill="1" applyBorder="1"/>
    <xf numFmtId="0" fontId="2" fillId="0" borderId="11" xfId="0" applyFont="1" applyFill="1" applyBorder="1"/>
    <xf numFmtId="0" fontId="2" fillId="0" borderId="11" xfId="0" applyFont="1" applyBorder="1" applyAlignment="1">
      <alignment horizontal="center"/>
    </xf>
    <xf numFmtId="0" fontId="2" fillId="0" borderId="11" xfId="0" applyFont="1" applyFill="1" applyBorder="1" applyAlignment="1">
      <alignment horizontal="center"/>
    </xf>
    <xf numFmtId="0" fontId="2" fillId="0" borderId="1" xfId="0" applyFont="1" applyFill="1" applyBorder="1" applyAlignment="1">
      <alignment horizontal="center"/>
    </xf>
    <xf numFmtId="0" fontId="2" fillId="0" borderId="12" xfId="0" applyFont="1" applyBorder="1" applyAlignment="1">
      <alignment horizontal="center"/>
    </xf>
    <xf numFmtId="0" fontId="2" fillId="0" borderId="1" xfId="0" applyFont="1" applyBorder="1" applyAlignment="1">
      <alignment horizontal="center"/>
    </xf>
    <xf numFmtId="0" fontId="2" fillId="0" borderId="11" xfId="0" applyFont="1" applyBorder="1" applyAlignment="1">
      <alignment horizontal="center"/>
    </xf>
    <xf numFmtId="0" fontId="2" fillId="0" borderId="10" xfId="0" applyFont="1" applyBorder="1" applyAlignment="1">
      <alignment horizontal="center"/>
    </xf>
    <xf numFmtId="0" fontId="2" fillId="0" borderId="11" xfId="0" applyFont="1" applyFill="1" applyBorder="1" applyAlignment="1">
      <alignment horizontal="center"/>
    </xf>
    <xf numFmtId="0" fontId="2" fillId="0" borderId="10" xfId="0" applyFont="1" applyFill="1" applyBorder="1" applyAlignment="1">
      <alignment horizontal="center"/>
    </xf>
    <xf numFmtId="0" fontId="2" fillId="0" borderId="12" xfId="0" applyFont="1" applyFill="1" applyBorder="1" applyAlignment="1">
      <alignment horizontal="center"/>
    </xf>
    <xf numFmtId="0" fontId="2" fillId="0" borderId="1" xfId="0" applyFont="1" applyFill="1" applyBorder="1" applyAlignment="1">
      <alignment horizontal="center"/>
    </xf>
    <xf numFmtId="0" fontId="2" fillId="0" borderId="12" xfId="0" applyFont="1" applyBorder="1" applyAlignment="1">
      <alignment horizontal="center"/>
    </xf>
    <xf numFmtId="0" fontId="2" fillId="0" borderId="1" xfId="0" applyFont="1" applyBorder="1" applyAlignment="1">
      <alignment horizontal="center"/>
    </xf>
    <xf numFmtId="0" fontId="2" fillId="0" borderId="5" xfId="0" applyFont="1" applyFill="1" applyBorder="1"/>
    <xf numFmtId="177" fontId="2" fillId="0" borderId="0" xfId="0" applyNumberFormat="1" applyFont="1" applyFill="1"/>
    <xf numFmtId="0" fontId="2" fillId="0" borderId="7" xfId="0" applyFont="1" applyBorder="1"/>
    <xf numFmtId="0" fontId="2" fillId="0" borderId="8" xfId="0" applyFont="1" applyFill="1" applyBorder="1"/>
    <xf numFmtId="177" fontId="2" fillId="0" borderId="7" xfId="0" applyNumberFormat="1" applyFont="1" applyFill="1" applyBorder="1"/>
    <xf numFmtId="0" fontId="2" fillId="0" borderId="10" xfId="0" applyFont="1" applyBorder="1"/>
    <xf numFmtId="0" fontId="2" fillId="0" borderId="10" xfId="0" applyFont="1" applyFill="1" applyBorder="1"/>
    <xf numFmtId="177" fontId="2" fillId="0" borderId="10" xfId="0" applyNumberFormat="1" applyFont="1" applyFill="1" applyBorder="1"/>
    <xf numFmtId="178" fontId="2" fillId="0" borderId="4" xfId="0" applyNumberFormat="1" applyFont="1" applyBorder="1" applyAlignment="1">
      <alignment horizontal="center" vertical="center"/>
    </xf>
    <xf numFmtId="176" fontId="2" fillId="0" borderId="2" xfId="0" applyNumberFormat="1" applyFont="1" applyFill="1" applyBorder="1" applyAlignment="1">
      <alignment horizontal="right"/>
    </xf>
    <xf numFmtId="0" fontId="2" fillId="0" borderId="0" xfId="0" applyFont="1" applyBorder="1"/>
    <xf numFmtId="177" fontId="2" fillId="0" borderId="0" xfId="0" applyNumberFormat="1" applyFont="1" applyFill="1" applyBorder="1"/>
    <xf numFmtId="0" fontId="2" fillId="0" borderId="16" xfId="0" applyFont="1" applyBorder="1"/>
    <xf numFmtId="0" fontId="2" fillId="0" borderId="17" xfId="0" applyFont="1" applyFill="1" applyBorder="1"/>
    <xf numFmtId="177" fontId="2" fillId="0" borderId="16" xfId="0" applyNumberFormat="1" applyFont="1" applyFill="1" applyBorder="1"/>
    <xf numFmtId="0" fontId="5" fillId="0" borderId="7" xfId="0" applyFont="1" applyBorder="1"/>
    <xf numFmtId="0" fontId="5" fillId="0" borderId="16" xfId="0" applyFont="1" applyBorder="1"/>
    <xf numFmtId="0" fontId="5" fillId="0" borderId="0" xfId="0" applyFont="1" applyBorder="1"/>
    <xf numFmtId="176" fontId="8" fillId="0" borderId="0" xfId="0" applyNumberFormat="1" applyFont="1" applyBorder="1" applyAlignment="1">
      <alignment horizontal="left"/>
    </xf>
    <xf numFmtId="176" fontId="8" fillId="0" borderId="9" xfId="0" applyNumberFormat="1" applyFont="1" applyBorder="1" applyAlignment="1">
      <alignment horizontal="left"/>
    </xf>
    <xf numFmtId="178" fontId="2" fillId="0" borderId="0" xfId="0" applyNumberFormat="1" applyFont="1"/>
    <xf numFmtId="0" fontId="2" fillId="0" borderId="14" xfId="0" applyFont="1" applyFill="1" applyBorder="1" applyAlignment="1">
      <alignment horizontal="center"/>
    </xf>
    <xf numFmtId="0" fontId="2" fillId="0" borderId="13" xfId="0" applyFont="1" applyFill="1" applyBorder="1" applyAlignment="1">
      <alignment horizontal="center"/>
    </xf>
    <xf numFmtId="178" fontId="2" fillId="0" borderId="7" xfId="0" applyNumberFormat="1" applyFont="1" applyBorder="1"/>
    <xf numFmtId="0" fontId="2" fillId="0" borderId="0" xfId="0" applyFont="1" applyFill="1" applyAlignment="1">
      <alignment horizontal="center"/>
    </xf>
    <xf numFmtId="176" fontId="8" fillId="0" borderId="1" xfId="1" applyNumberFormat="1" applyFont="1" applyFill="1" applyBorder="1" applyAlignment="1">
      <alignment horizontal="center" vertical="center"/>
    </xf>
    <xf numFmtId="176" fontId="2" fillId="0" borderId="13" xfId="0" applyNumberFormat="1" applyFont="1" applyFill="1" applyBorder="1" applyAlignment="1">
      <alignment horizontal="center"/>
    </xf>
    <xf numFmtId="176" fontId="2" fillId="0" borderId="0" xfId="0" applyNumberFormat="1" applyFont="1" applyFill="1" applyAlignment="1">
      <alignment horizontal="right"/>
    </xf>
    <xf numFmtId="176" fontId="2" fillId="0" borderId="7" xfId="0" applyNumberFormat="1" applyFont="1" applyFill="1" applyBorder="1" applyAlignment="1">
      <alignment horizontal="right"/>
    </xf>
  </cellXfs>
  <cellStyles count="2">
    <cellStyle name="差" xfId="1" builtinId="27"/>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34"/>
  <sheetViews>
    <sheetView workbookViewId="0">
      <selection activeCell="V74" sqref="V74"/>
    </sheetView>
  </sheetViews>
  <sheetFormatPr defaultRowHeight="14" x14ac:dyDescent="0.3"/>
  <cols>
    <col min="1" max="2" width="8.6640625" style="27"/>
    <col min="3" max="3" width="8.6640625" style="28"/>
    <col min="4" max="5" width="8.6640625" style="30"/>
    <col min="6" max="6" width="8.1640625" style="21" customWidth="1"/>
    <col min="7" max="7" width="11" style="27" customWidth="1"/>
    <col min="8" max="9" width="8.1640625" style="27" customWidth="1"/>
    <col min="10" max="10" width="8.1640625" style="21" customWidth="1"/>
    <col min="11" max="14" width="8.1640625" style="27" customWidth="1"/>
    <col min="15" max="15" width="8.1640625" style="30" customWidth="1"/>
    <col min="16" max="16" width="8.1640625" style="27" customWidth="1"/>
    <col min="17" max="17" width="8.1640625" style="31" customWidth="1"/>
    <col min="18" max="18" width="8.6640625" style="21"/>
    <col min="19" max="19" width="8.6640625" style="11"/>
    <col min="20" max="20" width="8.6640625" style="46"/>
    <col min="21" max="21" width="12.25" style="17" customWidth="1"/>
  </cols>
  <sheetData>
    <row r="1" spans="1:21" s="7" customFormat="1" x14ac:dyDescent="0.3">
      <c r="A1" s="76" t="s">
        <v>0</v>
      </c>
      <c r="B1" s="76"/>
      <c r="C1" s="76"/>
      <c r="D1" s="71" t="s">
        <v>1</v>
      </c>
      <c r="E1" s="77"/>
      <c r="F1" s="67" t="s">
        <v>251</v>
      </c>
      <c r="G1" s="73" t="s">
        <v>3</v>
      </c>
      <c r="H1" s="74"/>
      <c r="I1" s="75"/>
      <c r="J1" s="73" t="s">
        <v>4</v>
      </c>
      <c r="K1" s="74"/>
      <c r="L1" s="74"/>
      <c r="M1" s="74"/>
      <c r="N1" s="74"/>
      <c r="O1" s="74"/>
      <c r="P1" s="74"/>
      <c r="Q1" s="75"/>
      <c r="R1" s="66" t="s">
        <v>257</v>
      </c>
      <c r="S1" s="71" t="s">
        <v>252</v>
      </c>
      <c r="T1" s="72"/>
      <c r="U1" s="77"/>
    </row>
    <row r="2" spans="1:21" s="7" customFormat="1" ht="14.5" x14ac:dyDescent="0.3">
      <c r="A2" s="19" t="s">
        <v>5</v>
      </c>
      <c r="B2" s="19" t="s">
        <v>6</v>
      </c>
      <c r="C2" s="19" t="s">
        <v>7</v>
      </c>
      <c r="D2" s="19" t="s">
        <v>244</v>
      </c>
      <c r="E2" s="19" t="s">
        <v>243</v>
      </c>
      <c r="F2" s="19" t="s">
        <v>7</v>
      </c>
      <c r="G2" s="23" t="s">
        <v>11</v>
      </c>
      <c r="H2" s="19" t="s">
        <v>12</v>
      </c>
      <c r="I2" s="19" t="s">
        <v>13</v>
      </c>
      <c r="J2" s="61" t="s">
        <v>14</v>
      </c>
      <c r="K2" s="61" t="s">
        <v>15</v>
      </c>
      <c r="L2" s="61" t="s">
        <v>16</v>
      </c>
      <c r="M2" s="61" t="s">
        <v>17</v>
      </c>
      <c r="N2" s="61" t="s">
        <v>18</v>
      </c>
      <c r="O2" s="61" t="s">
        <v>255</v>
      </c>
      <c r="P2" s="61" t="s">
        <v>254</v>
      </c>
      <c r="Q2" s="61" t="s">
        <v>20</v>
      </c>
      <c r="R2" s="19" t="s">
        <v>245</v>
      </c>
      <c r="S2" s="14" t="s">
        <v>21</v>
      </c>
      <c r="T2" s="15" t="s">
        <v>247</v>
      </c>
      <c r="U2" s="15" t="s">
        <v>321</v>
      </c>
    </row>
    <row r="3" spans="1:21" s="7" customFormat="1" ht="14.5" thickBot="1" x14ac:dyDescent="0.35">
      <c r="A3" s="24"/>
      <c r="B3" s="24"/>
      <c r="C3" s="25"/>
      <c r="D3" s="26"/>
      <c r="E3" s="26"/>
      <c r="F3" s="20"/>
      <c r="G3" s="24" t="s">
        <v>22</v>
      </c>
      <c r="H3" s="24" t="s">
        <v>23</v>
      </c>
      <c r="I3" s="24" t="s">
        <v>24</v>
      </c>
      <c r="J3" s="63" t="s">
        <v>25</v>
      </c>
      <c r="K3" s="62" t="s">
        <v>26</v>
      </c>
      <c r="L3" s="62" t="s">
        <v>27</v>
      </c>
      <c r="M3" s="62" t="s">
        <v>28</v>
      </c>
      <c r="N3" s="62" t="s">
        <v>29</v>
      </c>
      <c r="O3" s="62" t="s">
        <v>19</v>
      </c>
      <c r="P3" s="62" t="s">
        <v>30</v>
      </c>
      <c r="Q3" s="64" t="s">
        <v>31</v>
      </c>
      <c r="R3" s="20" t="s">
        <v>246</v>
      </c>
      <c r="S3" s="20" t="s">
        <v>246</v>
      </c>
      <c r="T3" s="60" t="s">
        <v>246</v>
      </c>
      <c r="U3" s="16" t="s">
        <v>320</v>
      </c>
    </row>
    <row r="4" spans="1:21" s="47" customFormat="1" x14ac:dyDescent="0.3">
      <c r="A4" s="43" t="s">
        <v>33</v>
      </c>
      <c r="B4" s="43" t="s">
        <v>34</v>
      </c>
      <c r="C4" s="28">
        <v>2011</v>
      </c>
      <c r="D4" s="45">
        <v>115.5</v>
      </c>
      <c r="E4" s="45">
        <v>29.92</v>
      </c>
      <c r="F4" s="21">
        <v>2008</v>
      </c>
      <c r="G4" s="43">
        <v>668.64</v>
      </c>
      <c r="H4" s="43">
        <v>629.64</v>
      </c>
      <c r="I4" s="43">
        <v>26.827000000000002</v>
      </c>
      <c r="J4" s="21">
        <v>1.4</v>
      </c>
      <c r="K4" s="43">
        <v>38</v>
      </c>
      <c r="L4" s="43">
        <v>37</v>
      </c>
      <c r="M4" s="43">
        <v>25</v>
      </c>
      <c r="N4" s="43">
        <v>5.39</v>
      </c>
      <c r="O4" s="45">
        <v>19.373549883990719</v>
      </c>
      <c r="P4" s="43">
        <v>2.54</v>
      </c>
      <c r="Q4" s="31">
        <f>O4/P4</f>
        <v>7.6273818440908343</v>
      </c>
      <c r="R4" s="21">
        <v>0</v>
      </c>
      <c r="S4" s="11">
        <v>7.88</v>
      </c>
      <c r="T4" s="46">
        <f>AVERAGE(S4:S5,S8:S9)</f>
        <v>6.9325000000000001</v>
      </c>
      <c r="U4" s="17">
        <v>0</v>
      </c>
    </row>
    <row r="5" spans="1:21" s="47" customFormat="1" x14ac:dyDescent="0.3">
      <c r="A5" s="43" t="s">
        <v>33</v>
      </c>
      <c r="B5" s="43" t="s">
        <v>34</v>
      </c>
      <c r="C5" s="28">
        <v>2011</v>
      </c>
      <c r="D5" s="45">
        <v>115.5</v>
      </c>
      <c r="E5" s="45">
        <v>29.92</v>
      </c>
      <c r="F5" s="21">
        <v>2008</v>
      </c>
      <c r="G5" s="43">
        <v>668.64</v>
      </c>
      <c r="H5" s="43">
        <v>629.64</v>
      </c>
      <c r="I5" s="43">
        <v>26.827000000000002</v>
      </c>
      <c r="J5" s="21">
        <v>1.4</v>
      </c>
      <c r="K5" s="43">
        <v>38</v>
      </c>
      <c r="L5" s="43">
        <v>37</v>
      </c>
      <c r="M5" s="43">
        <v>25</v>
      </c>
      <c r="N5" s="43">
        <v>5.85</v>
      </c>
      <c r="O5" s="45">
        <v>15.661252900232018</v>
      </c>
      <c r="P5" s="43">
        <v>2.48</v>
      </c>
      <c r="Q5" s="31">
        <f t="shared" ref="Q5:Q62" si="0">O5/P5</f>
        <v>6.3150213307387171</v>
      </c>
      <c r="R5" s="21">
        <v>0</v>
      </c>
      <c r="S5" s="11">
        <v>9.84</v>
      </c>
      <c r="T5" s="46"/>
      <c r="U5" s="17">
        <v>0</v>
      </c>
    </row>
    <row r="6" spans="1:21" s="47" customFormat="1" x14ac:dyDescent="0.3">
      <c r="A6" s="43" t="s">
        <v>33</v>
      </c>
      <c r="B6" s="43" t="s">
        <v>34</v>
      </c>
      <c r="C6" s="28">
        <v>2011</v>
      </c>
      <c r="D6" s="45">
        <v>115.5</v>
      </c>
      <c r="E6" s="45">
        <v>29.92</v>
      </c>
      <c r="F6" s="21">
        <v>2008</v>
      </c>
      <c r="G6" s="43">
        <v>668.64</v>
      </c>
      <c r="H6" s="43">
        <v>629.64</v>
      </c>
      <c r="I6" s="43">
        <v>26.827000000000002</v>
      </c>
      <c r="J6" s="21">
        <v>1.4</v>
      </c>
      <c r="K6" s="43">
        <v>38</v>
      </c>
      <c r="L6" s="43">
        <v>37</v>
      </c>
      <c r="M6" s="43">
        <v>25</v>
      </c>
      <c r="N6" s="43">
        <v>5.39</v>
      </c>
      <c r="O6" s="45">
        <v>19.373549883990719</v>
      </c>
      <c r="P6" s="43">
        <v>2.54</v>
      </c>
      <c r="Q6" s="31">
        <f t="shared" si="0"/>
        <v>7.6273818440908343</v>
      </c>
      <c r="R6" s="21">
        <v>210</v>
      </c>
      <c r="S6" s="11">
        <v>36.700000000000003</v>
      </c>
      <c r="T6" s="46"/>
      <c r="U6" s="17">
        <f>(S6-S4)/R6*100</f>
        <v>13.723809523809527</v>
      </c>
    </row>
    <row r="7" spans="1:21" s="47" customFormat="1" x14ac:dyDescent="0.3">
      <c r="A7" s="43" t="s">
        <v>33</v>
      </c>
      <c r="B7" s="43" t="s">
        <v>34</v>
      </c>
      <c r="C7" s="28">
        <v>2011</v>
      </c>
      <c r="D7" s="45">
        <v>115.5</v>
      </c>
      <c r="E7" s="45">
        <v>29.92</v>
      </c>
      <c r="F7" s="21">
        <v>2008</v>
      </c>
      <c r="G7" s="43">
        <v>668.64</v>
      </c>
      <c r="H7" s="43">
        <v>629.64</v>
      </c>
      <c r="I7" s="43">
        <v>26.827000000000002</v>
      </c>
      <c r="J7" s="21">
        <v>1.4</v>
      </c>
      <c r="K7" s="43">
        <v>38</v>
      </c>
      <c r="L7" s="43">
        <v>37</v>
      </c>
      <c r="M7" s="43">
        <v>25</v>
      </c>
      <c r="N7" s="43">
        <v>5.85</v>
      </c>
      <c r="O7" s="45">
        <v>15.661252900232018</v>
      </c>
      <c r="P7" s="43">
        <v>2.48</v>
      </c>
      <c r="Q7" s="31">
        <f t="shared" si="0"/>
        <v>6.3150213307387171</v>
      </c>
      <c r="R7" s="21">
        <v>210</v>
      </c>
      <c r="S7" s="11">
        <v>28.5</v>
      </c>
      <c r="T7" s="46"/>
      <c r="U7" s="17">
        <f>(S7-S5)/R7*100</f>
        <v>8.8857142857142861</v>
      </c>
    </row>
    <row r="8" spans="1:21" s="47" customFormat="1" x14ac:dyDescent="0.3">
      <c r="A8" s="43" t="s">
        <v>33</v>
      </c>
      <c r="B8" s="43" t="s">
        <v>34</v>
      </c>
      <c r="C8" s="28">
        <v>2011</v>
      </c>
      <c r="D8" s="45">
        <v>115.5</v>
      </c>
      <c r="E8" s="45">
        <v>29.92</v>
      </c>
      <c r="F8" s="21">
        <v>2009</v>
      </c>
      <c r="G8" s="43">
        <v>629.88</v>
      </c>
      <c r="H8" s="43">
        <v>628.31999999999994</v>
      </c>
      <c r="I8" s="43">
        <v>26.88</v>
      </c>
      <c r="J8" s="21">
        <v>1.4</v>
      </c>
      <c r="K8" s="43">
        <v>38</v>
      </c>
      <c r="L8" s="43">
        <v>37</v>
      </c>
      <c r="M8" s="43">
        <v>25</v>
      </c>
      <c r="N8" s="43">
        <v>5.39</v>
      </c>
      <c r="O8" s="45">
        <v>19.373549883990719</v>
      </c>
      <c r="P8" s="43">
        <v>2.54</v>
      </c>
      <c r="Q8" s="31">
        <f t="shared" si="0"/>
        <v>7.6273818440908343</v>
      </c>
      <c r="R8" s="21">
        <v>0</v>
      </c>
      <c r="S8" s="11">
        <v>4.4400000000000004</v>
      </c>
      <c r="T8" s="46"/>
      <c r="U8" s="17">
        <v>0</v>
      </c>
    </row>
    <row r="9" spans="1:21" s="47" customFormat="1" x14ac:dyDescent="0.3">
      <c r="A9" s="43" t="s">
        <v>33</v>
      </c>
      <c r="B9" s="43" t="s">
        <v>34</v>
      </c>
      <c r="C9" s="28">
        <v>2011</v>
      </c>
      <c r="D9" s="45">
        <v>115.5</v>
      </c>
      <c r="E9" s="45">
        <v>29.92</v>
      </c>
      <c r="F9" s="21">
        <v>2009</v>
      </c>
      <c r="G9" s="43">
        <v>629.88</v>
      </c>
      <c r="H9" s="43">
        <v>628.31999999999994</v>
      </c>
      <c r="I9" s="43">
        <v>26.88</v>
      </c>
      <c r="J9" s="21">
        <v>1.4</v>
      </c>
      <c r="K9" s="43">
        <v>38</v>
      </c>
      <c r="L9" s="43">
        <v>37</v>
      </c>
      <c r="M9" s="43">
        <v>25</v>
      </c>
      <c r="N9" s="43">
        <v>5.85</v>
      </c>
      <c r="O9" s="45">
        <v>15.661252900232018</v>
      </c>
      <c r="P9" s="43">
        <v>2.48</v>
      </c>
      <c r="Q9" s="31">
        <f t="shared" si="0"/>
        <v>6.3150213307387171</v>
      </c>
      <c r="R9" s="21">
        <v>0</v>
      </c>
      <c r="S9" s="11">
        <v>5.57</v>
      </c>
      <c r="T9" s="46"/>
      <c r="U9" s="17">
        <v>0</v>
      </c>
    </row>
    <row r="10" spans="1:21" s="47" customFormat="1" x14ac:dyDescent="0.3">
      <c r="A10" s="43" t="s">
        <v>33</v>
      </c>
      <c r="B10" s="43" t="s">
        <v>34</v>
      </c>
      <c r="C10" s="28">
        <v>2011</v>
      </c>
      <c r="D10" s="45">
        <v>115.5</v>
      </c>
      <c r="E10" s="45">
        <v>29.92</v>
      </c>
      <c r="F10" s="21">
        <v>2009</v>
      </c>
      <c r="G10" s="43">
        <v>629.88</v>
      </c>
      <c r="H10" s="43">
        <v>628.31999999999994</v>
      </c>
      <c r="I10" s="43">
        <v>26.88</v>
      </c>
      <c r="J10" s="21">
        <v>1.4</v>
      </c>
      <c r="K10" s="43">
        <v>38</v>
      </c>
      <c r="L10" s="43">
        <v>37</v>
      </c>
      <c r="M10" s="43">
        <v>25</v>
      </c>
      <c r="N10" s="43">
        <v>5.39</v>
      </c>
      <c r="O10" s="45">
        <v>19.373549883990719</v>
      </c>
      <c r="P10" s="43">
        <v>2.54</v>
      </c>
      <c r="Q10" s="31">
        <f t="shared" si="0"/>
        <v>7.6273818440908343</v>
      </c>
      <c r="R10" s="21">
        <v>210</v>
      </c>
      <c r="S10" s="11">
        <v>27.6</v>
      </c>
      <c r="T10" s="46"/>
      <c r="U10" s="17">
        <f>(S10-S8)/R10*100</f>
        <v>11.028571428571428</v>
      </c>
    </row>
    <row r="11" spans="1:21" s="6" customFormat="1" x14ac:dyDescent="0.3">
      <c r="A11" s="32" t="s">
        <v>33</v>
      </c>
      <c r="B11" s="32" t="s">
        <v>34</v>
      </c>
      <c r="C11" s="33">
        <v>2011</v>
      </c>
      <c r="D11" s="35">
        <v>115.5</v>
      </c>
      <c r="E11" s="35">
        <v>29.92</v>
      </c>
      <c r="F11" s="22">
        <v>2009</v>
      </c>
      <c r="G11" s="32">
        <v>629.88</v>
      </c>
      <c r="H11" s="32">
        <v>628.31999999999994</v>
      </c>
      <c r="I11" s="32">
        <v>26.88</v>
      </c>
      <c r="J11" s="22">
        <v>1.4</v>
      </c>
      <c r="K11" s="32">
        <v>38</v>
      </c>
      <c r="L11" s="32">
        <v>37</v>
      </c>
      <c r="M11" s="32">
        <v>25</v>
      </c>
      <c r="N11" s="32">
        <v>5.85</v>
      </c>
      <c r="O11" s="35">
        <v>15.661252900232018</v>
      </c>
      <c r="P11" s="32">
        <v>2.48</v>
      </c>
      <c r="Q11" s="36">
        <f t="shared" si="0"/>
        <v>6.3150213307387171</v>
      </c>
      <c r="R11" s="22">
        <v>210</v>
      </c>
      <c r="S11" s="13">
        <v>18.2</v>
      </c>
      <c r="T11" s="12"/>
      <c r="U11" s="18">
        <f>(S11-S9)/R11*100</f>
        <v>6.0142857142857133</v>
      </c>
    </row>
    <row r="12" spans="1:21" ht="14.5" x14ac:dyDescent="0.3">
      <c r="A12" s="27" t="s">
        <v>35</v>
      </c>
      <c r="B12" s="27" t="s">
        <v>36</v>
      </c>
      <c r="C12" s="28">
        <v>2005</v>
      </c>
      <c r="D12" s="30">
        <v>121.75</v>
      </c>
      <c r="E12" s="30">
        <v>30.87</v>
      </c>
      <c r="F12" s="21">
        <v>2002</v>
      </c>
      <c r="G12" s="27">
        <v>684</v>
      </c>
      <c r="H12" s="27">
        <v>684.12</v>
      </c>
      <c r="I12" s="27">
        <v>26.425000000000001</v>
      </c>
      <c r="J12" s="21">
        <v>1.37</v>
      </c>
      <c r="K12" s="37">
        <v>30.46153846</v>
      </c>
      <c r="L12" s="37">
        <v>44.53846154</v>
      </c>
      <c r="M12" s="27">
        <v>25</v>
      </c>
      <c r="N12" s="27">
        <v>7.9</v>
      </c>
      <c r="O12" s="30">
        <v>7.5406032482598606</v>
      </c>
      <c r="P12" s="27">
        <v>1.4730000000000001</v>
      </c>
      <c r="Q12" s="31">
        <f t="shared" si="0"/>
        <v>5.1192146967140939</v>
      </c>
      <c r="R12" s="21">
        <v>0</v>
      </c>
      <c r="S12" s="11">
        <v>6.5</v>
      </c>
      <c r="T12" s="46">
        <f>S12</f>
        <v>6.5</v>
      </c>
      <c r="U12" s="17">
        <v>0</v>
      </c>
    </row>
    <row r="13" spans="1:21" ht="14.5" x14ac:dyDescent="0.3">
      <c r="A13" s="27" t="s">
        <v>35</v>
      </c>
      <c r="B13" s="27" t="s">
        <v>36</v>
      </c>
      <c r="C13" s="28">
        <v>2005</v>
      </c>
      <c r="D13" s="30">
        <v>121.75</v>
      </c>
      <c r="E13" s="30">
        <v>30.87</v>
      </c>
      <c r="F13" s="21">
        <v>2002</v>
      </c>
      <c r="G13" s="27">
        <v>684</v>
      </c>
      <c r="H13" s="27">
        <v>684.12</v>
      </c>
      <c r="I13" s="27">
        <v>26.425000000000001</v>
      </c>
      <c r="J13" s="21">
        <v>1.37</v>
      </c>
      <c r="K13" s="37">
        <v>30.46153846</v>
      </c>
      <c r="L13" s="37">
        <v>44.53846154</v>
      </c>
      <c r="M13" s="27">
        <v>25</v>
      </c>
      <c r="N13" s="27">
        <v>7.9</v>
      </c>
      <c r="O13" s="30">
        <v>7.5406032482598606</v>
      </c>
      <c r="P13" s="27">
        <v>1.4730000000000001</v>
      </c>
      <c r="Q13" s="31">
        <f t="shared" si="0"/>
        <v>5.1192146967140939</v>
      </c>
      <c r="R13" s="21">
        <v>225</v>
      </c>
      <c r="S13" s="11">
        <v>92.25</v>
      </c>
      <c r="U13" s="17">
        <f>(S13-S12)/R13*100</f>
        <v>38.111111111111114</v>
      </c>
    </row>
    <row r="14" spans="1:21" ht="14.5" x14ac:dyDescent="0.3">
      <c r="A14" s="27" t="s">
        <v>35</v>
      </c>
      <c r="B14" s="27" t="s">
        <v>36</v>
      </c>
      <c r="C14" s="28">
        <v>2005</v>
      </c>
      <c r="D14" s="30">
        <v>121.75</v>
      </c>
      <c r="E14" s="30">
        <v>30.87</v>
      </c>
      <c r="F14" s="21">
        <v>2002</v>
      </c>
      <c r="G14" s="27">
        <v>684</v>
      </c>
      <c r="H14" s="27">
        <v>684.12</v>
      </c>
      <c r="I14" s="27">
        <v>26.425000000000001</v>
      </c>
      <c r="J14" s="21">
        <v>1.37</v>
      </c>
      <c r="K14" s="37">
        <v>30.46153846</v>
      </c>
      <c r="L14" s="37">
        <v>44.53846154</v>
      </c>
      <c r="M14" s="27">
        <v>25</v>
      </c>
      <c r="N14" s="27">
        <v>7.9</v>
      </c>
      <c r="O14" s="30">
        <v>9.7061098221191404</v>
      </c>
      <c r="P14" s="27">
        <v>1.4730000000000001</v>
      </c>
      <c r="Q14" s="31">
        <f t="shared" si="0"/>
        <v>6.5893481480781668</v>
      </c>
      <c r="R14" s="21">
        <v>375</v>
      </c>
      <c r="S14" s="11">
        <v>161.25</v>
      </c>
      <c r="U14" s="17">
        <f>(S14-S12)/R14*100</f>
        <v>41.266666666666666</v>
      </c>
    </row>
    <row r="15" spans="1:21" s="6" customFormat="1" ht="14.5" x14ac:dyDescent="0.3">
      <c r="A15" s="32" t="s">
        <v>35</v>
      </c>
      <c r="B15" s="32" t="s">
        <v>36</v>
      </c>
      <c r="C15" s="33">
        <v>2005</v>
      </c>
      <c r="D15" s="35">
        <v>121.75</v>
      </c>
      <c r="E15" s="35">
        <v>30.87</v>
      </c>
      <c r="F15" s="22">
        <v>2002</v>
      </c>
      <c r="G15" s="32">
        <v>684</v>
      </c>
      <c r="H15" s="32">
        <v>684.12</v>
      </c>
      <c r="I15" s="32">
        <v>26.425000000000001</v>
      </c>
      <c r="J15" s="22">
        <v>1.37</v>
      </c>
      <c r="K15" s="38">
        <v>30.46153846</v>
      </c>
      <c r="L15" s="38">
        <v>44.53846154</v>
      </c>
      <c r="M15" s="32">
        <v>25</v>
      </c>
      <c r="N15" s="32">
        <v>7.9</v>
      </c>
      <c r="O15" s="35">
        <v>7.5406032482598606</v>
      </c>
      <c r="P15" s="32">
        <v>1.4730000000000001</v>
      </c>
      <c r="Q15" s="36">
        <f t="shared" si="0"/>
        <v>5.1192146967140939</v>
      </c>
      <c r="R15" s="22">
        <v>525</v>
      </c>
      <c r="S15" s="13">
        <v>236.25</v>
      </c>
      <c r="T15" s="12"/>
      <c r="U15" s="18">
        <f>(S15-S12)/R15*100</f>
        <v>43.761904761904766</v>
      </c>
    </row>
    <row r="16" spans="1:21" ht="14.5" x14ac:dyDescent="0.3">
      <c r="A16" s="27" t="s">
        <v>37</v>
      </c>
      <c r="B16" s="39" t="s">
        <v>38</v>
      </c>
      <c r="C16" s="28">
        <v>2015</v>
      </c>
      <c r="D16" s="30">
        <v>115.55</v>
      </c>
      <c r="E16" s="30">
        <v>29.85</v>
      </c>
      <c r="F16" s="21">
        <v>2014</v>
      </c>
      <c r="G16" s="27">
        <v>942.24</v>
      </c>
      <c r="H16" s="27">
        <v>634.07999999999993</v>
      </c>
      <c r="I16" s="27">
        <v>25.837</v>
      </c>
      <c r="J16" s="21">
        <v>1.42</v>
      </c>
      <c r="K16" s="27">
        <v>39</v>
      </c>
      <c r="L16" s="27">
        <v>40</v>
      </c>
      <c r="M16" s="27">
        <v>21</v>
      </c>
      <c r="N16" s="27">
        <v>5.8</v>
      </c>
      <c r="O16" s="30">
        <v>13.839907192575406</v>
      </c>
      <c r="P16" s="27">
        <v>2.39</v>
      </c>
      <c r="Q16" s="31">
        <f t="shared" si="0"/>
        <v>5.7907561475210905</v>
      </c>
      <c r="R16" s="21">
        <v>0</v>
      </c>
      <c r="S16" s="11">
        <v>18.41</v>
      </c>
      <c r="T16" s="46">
        <f>AVERAGE(S18,S16)</f>
        <v>18.899999999999999</v>
      </c>
      <c r="U16" s="17">
        <v>0</v>
      </c>
    </row>
    <row r="17" spans="1:21" ht="14.5" x14ac:dyDescent="0.3">
      <c r="A17" s="27" t="s">
        <v>37</v>
      </c>
      <c r="B17" s="39" t="s">
        <v>38</v>
      </c>
      <c r="C17" s="28">
        <v>2015</v>
      </c>
      <c r="D17" s="30">
        <v>115.55</v>
      </c>
      <c r="E17" s="30">
        <v>29.85</v>
      </c>
      <c r="F17" s="21">
        <v>2014</v>
      </c>
      <c r="G17" s="27">
        <v>942.24</v>
      </c>
      <c r="H17" s="27">
        <v>634.07999999999993</v>
      </c>
      <c r="I17" s="27">
        <v>25.837</v>
      </c>
      <c r="J17" s="21">
        <v>1.42</v>
      </c>
      <c r="K17" s="27">
        <v>39</v>
      </c>
      <c r="L17" s="27">
        <v>40</v>
      </c>
      <c r="M17" s="27">
        <v>21</v>
      </c>
      <c r="N17" s="27">
        <v>5.8</v>
      </c>
      <c r="O17" s="30">
        <v>13.839907192575406</v>
      </c>
      <c r="P17" s="27">
        <v>2.39</v>
      </c>
      <c r="Q17" s="31">
        <f t="shared" si="0"/>
        <v>5.7907561475210905</v>
      </c>
      <c r="R17" s="21">
        <v>180</v>
      </c>
      <c r="S17" s="11">
        <v>42.24</v>
      </c>
      <c r="U17" s="17">
        <f>(S17-S16)/R17*100</f>
        <v>13.238888888888889</v>
      </c>
    </row>
    <row r="18" spans="1:21" ht="14.5" x14ac:dyDescent="0.3">
      <c r="A18" s="27" t="s">
        <v>37</v>
      </c>
      <c r="B18" s="39" t="s">
        <v>38</v>
      </c>
      <c r="C18" s="28">
        <v>2015</v>
      </c>
      <c r="D18" s="30">
        <v>115.55</v>
      </c>
      <c r="E18" s="30">
        <v>29.85</v>
      </c>
      <c r="F18" s="21">
        <v>2014</v>
      </c>
      <c r="G18" s="27">
        <v>942.24</v>
      </c>
      <c r="H18" s="27">
        <v>634.07999999999993</v>
      </c>
      <c r="I18" s="27">
        <v>25.837</v>
      </c>
      <c r="J18" s="21">
        <v>1.42</v>
      </c>
      <c r="K18" s="27">
        <v>39</v>
      </c>
      <c r="L18" s="27">
        <v>40</v>
      </c>
      <c r="M18" s="27">
        <v>21</v>
      </c>
      <c r="N18" s="27">
        <v>5.8</v>
      </c>
      <c r="O18" s="30">
        <v>13.839907192575406</v>
      </c>
      <c r="P18" s="27">
        <v>2.39</v>
      </c>
      <c r="Q18" s="31">
        <f t="shared" si="0"/>
        <v>5.7907561475210905</v>
      </c>
      <c r="R18" s="21">
        <v>0</v>
      </c>
      <c r="S18" s="11">
        <v>19.39</v>
      </c>
      <c r="U18" s="17">
        <v>0</v>
      </c>
    </row>
    <row r="19" spans="1:21" s="6" customFormat="1" ht="14.5" x14ac:dyDescent="0.3">
      <c r="A19" s="32" t="s">
        <v>37</v>
      </c>
      <c r="B19" s="40" t="s">
        <v>38</v>
      </c>
      <c r="C19" s="33">
        <v>2015</v>
      </c>
      <c r="D19" s="35">
        <v>115.55</v>
      </c>
      <c r="E19" s="35">
        <v>29.85</v>
      </c>
      <c r="F19" s="22">
        <v>2014</v>
      </c>
      <c r="G19" s="32">
        <v>942.24</v>
      </c>
      <c r="H19" s="32">
        <v>634.07999999999993</v>
      </c>
      <c r="I19" s="32">
        <v>25.837</v>
      </c>
      <c r="J19" s="22">
        <v>1.42</v>
      </c>
      <c r="K19" s="32">
        <v>39</v>
      </c>
      <c r="L19" s="32">
        <v>40</v>
      </c>
      <c r="M19" s="32">
        <v>21</v>
      </c>
      <c r="N19" s="32">
        <v>5.8</v>
      </c>
      <c r="O19" s="35">
        <v>13.839907192575406</v>
      </c>
      <c r="P19" s="32">
        <v>2.39</v>
      </c>
      <c r="Q19" s="36">
        <f t="shared" si="0"/>
        <v>5.7907561475210905</v>
      </c>
      <c r="R19" s="22">
        <v>180</v>
      </c>
      <c r="S19" s="13">
        <v>47.44</v>
      </c>
      <c r="T19" s="12"/>
      <c r="U19" s="18">
        <f>(S19-S18)/R19*100</f>
        <v>15.583333333333332</v>
      </c>
    </row>
    <row r="20" spans="1:21" ht="14.5" x14ac:dyDescent="0.3">
      <c r="A20" s="27" t="s">
        <v>39</v>
      </c>
      <c r="B20" s="39" t="s">
        <v>40</v>
      </c>
      <c r="C20" s="28">
        <v>2012</v>
      </c>
      <c r="D20" s="30">
        <v>113.3</v>
      </c>
      <c r="E20" s="30">
        <v>28.2</v>
      </c>
      <c r="F20" s="21">
        <v>2010</v>
      </c>
      <c r="G20" s="27">
        <v>970.8</v>
      </c>
      <c r="H20" s="27">
        <v>404.04</v>
      </c>
      <c r="I20" s="27">
        <v>17.399999999999999</v>
      </c>
      <c r="J20" s="21">
        <v>1.4</v>
      </c>
      <c r="K20" s="37">
        <v>36.6122449</v>
      </c>
      <c r="L20" s="37">
        <v>31.673469390000001</v>
      </c>
      <c r="M20" s="37">
        <v>31.714285709999999</v>
      </c>
      <c r="N20" s="27">
        <v>8.4</v>
      </c>
      <c r="O20" s="30">
        <v>18.607888631090486</v>
      </c>
      <c r="P20" s="27">
        <v>2.0329999999999999</v>
      </c>
      <c r="Q20" s="31">
        <f t="shared" si="0"/>
        <v>9.1529211171128804</v>
      </c>
      <c r="R20" s="21">
        <v>0</v>
      </c>
      <c r="S20" s="11">
        <f>2.08+1.34+0.53+0.32</f>
        <v>4.2700000000000005</v>
      </c>
      <c r="T20" s="46">
        <f>AVERAGE(S25,S20)</f>
        <v>3.3850000000000002</v>
      </c>
      <c r="U20" s="17">
        <v>0</v>
      </c>
    </row>
    <row r="21" spans="1:21" ht="14.5" x14ac:dyDescent="0.3">
      <c r="A21" s="27" t="s">
        <v>39</v>
      </c>
      <c r="B21" s="39" t="s">
        <v>40</v>
      </c>
      <c r="C21" s="28">
        <v>2012</v>
      </c>
      <c r="D21" s="30">
        <v>113.3</v>
      </c>
      <c r="E21" s="30">
        <v>28.2</v>
      </c>
      <c r="F21" s="21">
        <v>2010</v>
      </c>
      <c r="G21" s="27">
        <v>970.8</v>
      </c>
      <c r="H21" s="27">
        <v>404.04</v>
      </c>
      <c r="I21" s="27">
        <v>17.399999999999999</v>
      </c>
      <c r="J21" s="21">
        <v>1.4</v>
      </c>
      <c r="K21" s="37">
        <v>36.6122449</v>
      </c>
      <c r="L21" s="37">
        <v>31.673469390000001</v>
      </c>
      <c r="M21" s="37">
        <v>31.714285709999999</v>
      </c>
      <c r="N21" s="27">
        <v>8.4</v>
      </c>
      <c r="O21" s="30">
        <v>18.607888631090486</v>
      </c>
      <c r="P21" s="27">
        <v>2.0329999999999999</v>
      </c>
      <c r="Q21" s="31">
        <f t="shared" si="0"/>
        <v>9.1529211171128804</v>
      </c>
      <c r="R21" s="21">
        <v>150</v>
      </c>
      <c r="S21" s="11">
        <v>63.07</v>
      </c>
      <c r="U21" s="17">
        <f>(S21-S20)/R21*100</f>
        <v>39.199999999999996</v>
      </c>
    </row>
    <row r="22" spans="1:21" ht="14.5" x14ac:dyDescent="0.3">
      <c r="A22" s="27" t="s">
        <v>39</v>
      </c>
      <c r="B22" s="39" t="s">
        <v>40</v>
      </c>
      <c r="C22" s="28">
        <v>2012</v>
      </c>
      <c r="D22" s="30">
        <v>113.3</v>
      </c>
      <c r="E22" s="30">
        <v>28.2</v>
      </c>
      <c r="F22" s="21">
        <v>2010</v>
      </c>
      <c r="G22" s="27">
        <v>970.8</v>
      </c>
      <c r="H22" s="27">
        <v>404.04</v>
      </c>
      <c r="I22" s="27">
        <v>17.399999999999999</v>
      </c>
      <c r="J22" s="21">
        <v>1.4</v>
      </c>
      <c r="K22" s="37">
        <v>36.6122449</v>
      </c>
      <c r="L22" s="37">
        <v>31.673469390000001</v>
      </c>
      <c r="M22" s="37">
        <v>31.714285709999999</v>
      </c>
      <c r="N22" s="27">
        <v>8.4</v>
      </c>
      <c r="O22" s="30">
        <v>18.607888631090486</v>
      </c>
      <c r="P22" s="27">
        <v>2.0329999999999999</v>
      </c>
      <c r="Q22" s="31">
        <f t="shared" si="0"/>
        <v>9.1529211171128804</v>
      </c>
      <c r="R22" s="21">
        <v>120</v>
      </c>
      <c r="S22" s="11">
        <v>42.42</v>
      </c>
      <c r="U22" s="17">
        <f>(S22-S20)/R22*100</f>
        <v>31.791666666666668</v>
      </c>
    </row>
    <row r="23" spans="1:21" ht="14.5" x14ac:dyDescent="0.3">
      <c r="A23" s="27" t="s">
        <v>39</v>
      </c>
      <c r="B23" s="39" t="s">
        <v>40</v>
      </c>
      <c r="C23" s="28">
        <v>2012</v>
      </c>
      <c r="D23" s="30">
        <v>113.3</v>
      </c>
      <c r="E23" s="30">
        <v>28.2</v>
      </c>
      <c r="F23" s="21">
        <v>2010</v>
      </c>
      <c r="G23" s="27">
        <v>970.8</v>
      </c>
      <c r="H23" s="27">
        <v>404.04</v>
      </c>
      <c r="I23" s="27">
        <v>17.399999999999999</v>
      </c>
      <c r="J23" s="21">
        <v>1.4</v>
      </c>
      <c r="K23" s="37">
        <v>36.6122449</v>
      </c>
      <c r="L23" s="37">
        <v>31.673469390000001</v>
      </c>
      <c r="M23" s="37">
        <v>31.714285709999999</v>
      </c>
      <c r="N23" s="27">
        <v>8.4</v>
      </c>
      <c r="O23" s="30">
        <v>18.607888631090486</v>
      </c>
      <c r="P23" s="27">
        <v>2.0329999999999999</v>
      </c>
      <c r="Q23" s="31">
        <f t="shared" si="0"/>
        <v>9.1529211171128804</v>
      </c>
      <c r="R23" s="21">
        <v>180</v>
      </c>
      <c r="S23" s="11">
        <v>57.720000000000006</v>
      </c>
      <c r="U23" s="17">
        <f>(S23-S20)/R23*100</f>
        <v>29.694444444444446</v>
      </c>
    </row>
    <row r="24" spans="1:21" ht="14.5" x14ac:dyDescent="0.3">
      <c r="A24" s="27" t="s">
        <v>39</v>
      </c>
      <c r="B24" s="39" t="s">
        <v>40</v>
      </c>
      <c r="C24" s="28">
        <v>2012</v>
      </c>
      <c r="D24" s="30">
        <v>113.3</v>
      </c>
      <c r="E24" s="30">
        <v>28.2</v>
      </c>
      <c r="F24" s="21">
        <v>2010</v>
      </c>
      <c r="G24" s="27">
        <v>970.8</v>
      </c>
      <c r="H24" s="27">
        <v>404.04</v>
      </c>
      <c r="I24" s="27">
        <v>17.399999999999999</v>
      </c>
      <c r="J24" s="21">
        <v>1.4</v>
      </c>
      <c r="K24" s="37">
        <v>36.6122449</v>
      </c>
      <c r="L24" s="37">
        <v>31.673469390000001</v>
      </c>
      <c r="M24" s="37">
        <v>31.714285709999999</v>
      </c>
      <c r="N24" s="27">
        <v>8.4</v>
      </c>
      <c r="O24" s="30">
        <v>18.607888631090486</v>
      </c>
      <c r="P24" s="27">
        <v>2.0329999999999999</v>
      </c>
      <c r="Q24" s="31">
        <f t="shared" si="0"/>
        <v>9.1529211171128804</v>
      </c>
      <c r="R24" s="21">
        <v>150</v>
      </c>
      <c r="S24" s="11">
        <v>47.610000000000007</v>
      </c>
      <c r="U24" s="17">
        <f>(S24-S20)/R24*100</f>
        <v>28.893333333333338</v>
      </c>
    </row>
    <row r="25" spans="1:21" ht="14.5" x14ac:dyDescent="0.3">
      <c r="A25" s="39" t="s">
        <v>41</v>
      </c>
      <c r="B25" s="39" t="s">
        <v>40</v>
      </c>
      <c r="C25" s="28">
        <v>2012</v>
      </c>
      <c r="D25" s="30">
        <v>113.3</v>
      </c>
      <c r="E25" s="30">
        <v>28.2</v>
      </c>
      <c r="F25" s="21">
        <v>2010</v>
      </c>
      <c r="G25" s="27">
        <v>970.8</v>
      </c>
      <c r="H25" s="27">
        <v>404.04</v>
      </c>
      <c r="I25" s="27">
        <v>26.199000000000002</v>
      </c>
      <c r="J25" s="21">
        <v>1.4</v>
      </c>
      <c r="K25" s="37">
        <v>36.6122449</v>
      </c>
      <c r="L25" s="37">
        <v>31.673469390000001</v>
      </c>
      <c r="M25" s="37">
        <v>31.714285709999999</v>
      </c>
      <c r="N25" s="27">
        <v>8.4</v>
      </c>
      <c r="O25" s="30">
        <v>18.607888631090486</v>
      </c>
      <c r="P25" s="27">
        <v>2.0329999999999999</v>
      </c>
      <c r="Q25" s="31">
        <f t="shared" si="0"/>
        <v>9.1529211171128804</v>
      </c>
      <c r="R25" s="21">
        <v>0</v>
      </c>
      <c r="S25" s="10">
        <f>1.37+0.57+0.13+0.43</f>
        <v>2.5</v>
      </c>
      <c r="T25" s="17"/>
      <c r="U25" s="17">
        <v>0</v>
      </c>
    </row>
    <row r="26" spans="1:21" ht="14.5" x14ac:dyDescent="0.3">
      <c r="A26" s="27" t="s">
        <v>39</v>
      </c>
      <c r="B26" s="39" t="s">
        <v>40</v>
      </c>
      <c r="C26" s="28">
        <v>2012</v>
      </c>
      <c r="D26" s="30">
        <v>113.3</v>
      </c>
      <c r="E26" s="30">
        <v>28.2</v>
      </c>
      <c r="F26" s="21">
        <v>2010</v>
      </c>
      <c r="G26" s="27">
        <v>970.8</v>
      </c>
      <c r="H26" s="27">
        <v>404.04</v>
      </c>
      <c r="I26" s="27">
        <v>26.199000000000002</v>
      </c>
      <c r="J26" s="21">
        <v>1.4</v>
      </c>
      <c r="K26" s="37">
        <v>36.6122449</v>
      </c>
      <c r="L26" s="37">
        <v>31.673469390000001</v>
      </c>
      <c r="M26" s="37">
        <v>31.714285709999999</v>
      </c>
      <c r="N26" s="27">
        <v>8.4</v>
      </c>
      <c r="O26" s="30">
        <v>12.807424593967516</v>
      </c>
      <c r="P26" s="27">
        <v>2.0329999999999999</v>
      </c>
      <c r="Q26" s="31">
        <f t="shared" si="0"/>
        <v>6.2997661554193396</v>
      </c>
      <c r="R26" s="21">
        <v>165</v>
      </c>
      <c r="S26" s="11">
        <v>99.79</v>
      </c>
      <c r="U26" s="17">
        <f>(S26-S25)/R26*100</f>
        <v>58.963636363636361</v>
      </c>
    </row>
    <row r="27" spans="1:21" ht="14.5" x14ac:dyDescent="0.3">
      <c r="A27" s="27" t="s">
        <v>39</v>
      </c>
      <c r="B27" s="39" t="s">
        <v>40</v>
      </c>
      <c r="C27" s="28">
        <v>2012</v>
      </c>
      <c r="D27" s="30">
        <v>113.3</v>
      </c>
      <c r="E27" s="30">
        <v>28.2</v>
      </c>
      <c r="F27" s="21">
        <v>2010</v>
      </c>
      <c r="G27" s="27">
        <v>970.8</v>
      </c>
      <c r="H27" s="27">
        <v>404.04</v>
      </c>
      <c r="I27" s="27">
        <v>26.199000000000002</v>
      </c>
      <c r="J27" s="21">
        <v>1.4</v>
      </c>
      <c r="K27" s="37">
        <v>36.6122449</v>
      </c>
      <c r="L27" s="37">
        <v>31.673469390000001</v>
      </c>
      <c r="M27" s="37">
        <v>31.714285709999999</v>
      </c>
      <c r="N27" s="27">
        <v>8.4</v>
      </c>
      <c r="O27" s="30">
        <v>12.807424593967516</v>
      </c>
      <c r="P27" s="27">
        <v>2.0329999999999999</v>
      </c>
      <c r="Q27" s="31">
        <f t="shared" si="0"/>
        <v>6.2997661554193396</v>
      </c>
      <c r="R27" s="21">
        <v>135</v>
      </c>
      <c r="S27" s="11">
        <v>58.55</v>
      </c>
      <c r="U27" s="17">
        <f>(S27-S25)/R27*100</f>
        <v>41.518518518518519</v>
      </c>
    </row>
    <row r="28" spans="1:21" ht="14.5" x14ac:dyDescent="0.3">
      <c r="A28" s="27" t="s">
        <v>39</v>
      </c>
      <c r="B28" s="39" t="s">
        <v>40</v>
      </c>
      <c r="C28" s="28">
        <v>2012</v>
      </c>
      <c r="D28" s="30">
        <v>113.3</v>
      </c>
      <c r="E28" s="30">
        <v>28.2</v>
      </c>
      <c r="F28" s="21">
        <v>2010</v>
      </c>
      <c r="G28" s="27">
        <v>970.8</v>
      </c>
      <c r="H28" s="27">
        <v>404.04</v>
      </c>
      <c r="I28" s="27">
        <v>26.199000000000002</v>
      </c>
      <c r="J28" s="21">
        <v>1.4</v>
      </c>
      <c r="K28" s="37">
        <v>36.6122449</v>
      </c>
      <c r="L28" s="37">
        <v>31.673469390000001</v>
      </c>
      <c r="M28" s="37">
        <v>31.714285709999999</v>
      </c>
      <c r="N28" s="27">
        <v>8.4</v>
      </c>
      <c r="O28" s="30">
        <v>18.607888631090486</v>
      </c>
      <c r="P28" s="27">
        <v>2.0329999999999999</v>
      </c>
      <c r="Q28" s="31">
        <f t="shared" si="0"/>
        <v>9.1529211171128804</v>
      </c>
      <c r="R28" s="21">
        <v>195</v>
      </c>
      <c r="S28" s="11">
        <v>76.73</v>
      </c>
      <c r="U28" s="17">
        <f>(S28-S25)/R28*100</f>
        <v>38.06666666666667</v>
      </c>
    </row>
    <row r="29" spans="1:21" s="6" customFormat="1" ht="14.5" x14ac:dyDescent="0.3">
      <c r="A29" s="32" t="s">
        <v>39</v>
      </c>
      <c r="B29" s="40" t="s">
        <v>40</v>
      </c>
      <c r="C29" s="33">
        <v>2012</v>
      </c>
      <c r="D29" s="35">
        <v>113.3</v>
      </c>
      <c r="E29" s="35">
        <v>28.2</v>
      </c>
      <c r="F29" s="22">
        <v>2010</v>
      </c>
      <c r="G29" s="32">
        <v>970.8</v>
      </c>
      <c r="H29" s="32">
        <v>404.04</v>
      </c>
      <c r="I29" s="32">
        <v>26.199000000000002</v>
      </c>
      <c r="J29" s="22">
        <v>1.4</v>
      </c>
      <c r="K29" s="38">
        <v>36.6122449</v>
      </c>
      <c r="L29" s="38">
        <v>31.673469390000001</v>
      </c>
      <c r="M29" s="38">
        <v>31.714285709999999</v>
      </c>
      <c r="N29" s="32">
        <v>8.4</v>
      </c>
      <c r="O29" s="35">
        <v>18.607888631090486</v>
      </c>
      <c r="P29" s="32">
        <v>2.0329999999999999</v>
      </c>
      <c r="Q29" s="36">
        <f t="shared" si="0"/>
        <v>9.1529211171128804</v>
      </c>
      <c r="R29" s="22">
        <v>165</v>
      </c>
      <c r="S29" s="13">
        <v>64.2</v>
      </c>
      <c r="T29" s="12"/>
      <c r="U29" s="18">
        <f>(S29-S25)/R29*100</f>
        <v>37.393939393939398</v>
      </c>
    </row>
    <row r="30" spans="1:21" x14ac:dyDescent="0.3">
      <c r="A30" s="27" t="s">
        <v>42</v>
      </c>
      <c r="C30" s="28">
        <v>2015</v>
      </c>
      <c r="D30" s="30">
        <v>120.7</v>
      </c>
      <c r="E30" s="30">
        <v>31.53</v>
      </c>
      <c r="F30" s="21">
        <v>2009</v>
      </c>
      <c r="G30" s="27">
        <v>726.96</v>
      </c>
      <c r="H30" s="27">
        <v>779.28</v>
      </c>
      <c r="I30" s="27">
        <v>26.225999999999999</v>
      </c>
      <c r="J30" s="21">
        <v>1.52</v>
      </c>
      <c r="K30" s="27">
        <v>36</v>
      </c>
      <c r="L30" s="27">
        <v>43</v>
      </c>
      <c r="M30" s="27">
        <v>21</v>
      </c>
      <c r="N30" s="27">
        <v>7.6</v>
      </c>
      <c r="O30" s="30">
        <v>20.301624129930396</v>
      </c>
      <c r="P30" s="27">
        <v>2.12</v>
      </c>
      <c r="Q30" s="31">
        <f t="shared" si="0"/>
        <v>9.5762377971369794</v>
      </c>
      <c r="R30" s="21">
        <v>0</v>
      </c>
      <c r="S30" s="11">
        <v>5.5075999999999992</v>
      </c>
      <c r="T30" s="46">
        <f>AVERAGE(S34,S30)</f>
        <v>6.5361999999999991</v>
      </c>
      <c r="U30" s="17">
        <v>0</v>
      </c>
    </row>
    <row r="31" spans="1:21" x14ac:dyDescent="0.3">
      <c r="A31" s="27" t="s">
        <v>42</v>
      </c>
      <c r="C31" s="28">
        <v>2015</v>
      </c>
      <c r="D31" s="30">
        <v>120.7</v>
      </c>
      <c r="E31" s="30">
        <v>31.53</v>
      </c>
      <c r="F31" s="21">
        <v>2009</v>
      </c>
      <c r="G31" s="27">
        <v>726.96</v>
      </c>
      <c r="H31" s="27">
        <v>779.28</v>
      </c>
      <c r="I31" s="27">
        <v>26.225999999999999</v>
      </c>
      <c r="J31" s="21">
        <v>1.52</v>
      </c>
      <c r="K31" s="27">
        <v>36</v>
      </c>
      <c r="L31" s="27">
        <v>43</v>
      </c>
      <c r="M31" s="27">
        <v>21</v>
      </c>
      <c r="N31" s="27">
        <v>7.6</v>
      </c>
      <c r="O31" s="30">
        <v>20.301624129930396</v>
      </c>
      <c r="P31" s="27">
        <v>2.12</v>
      </c>
      <c r="Q31" s="31">
        <f t="shared" si="0"/>
        <v>9.5762377971369794</v>
      </c>
      <c r="R31" s="21">
        <v>300</v>
      </c>
      <c r="S31" s="11">
        <v>16.416</v>
      </c>
      <c r="U31" s="17">
        <f>(S31-S30)/R31*100</f>
        <v>3.6361333333333334</v>
      </c>
    </row>
    <row r="32" spans="1:21" x14ac:dyDescent="0.3">
      <c r="A32" s="27" t="s">
        <v>42</v>
      </c>
      <c r="C32" s="28">
        <v>2015</v>
      </c>
      <c r="D32" s="30">
        <v>120.7</v>
      </c>
      <c r="E32" s="30">
        <v>31.53</v>
      </c>
      <c r="F32" s="21">
        <v>2009</v>
      </c>
      <c r="G32" s="27">
        <v>726.96</v>
      </c>
      <c r="H32" s="27">
        <v>779.28</v>
      </c>
      <c r="I32" s="27">
        <v>26.225999999999999</v>
      </c>
      <c r="J32" s="21">
        <v>1.52</v>
      </c>
      <c r="K32" s="27">
        <v>36</v>
      </c>
      <c r="L32" s="27">
        <v>43</v>
      </c>
      <c r="M32" s="27">
        <v>21</v>
      </c>
      <c r="N32" s="27">
        <v>7.6</v>
      </c>
      <c r="O32" s="30">
        <v>20.301624129930396</v>
      </c>
      <c r="P32" s="27">
        <v>2.12</v>
      </c>
      <c r="Q32" s="31">
        <f t="shared" si="0"/>
        <v>9.5762377971369794</v>
      </c>
      <c r="R32" s="21">
        <v>225</v>
      </c>
      <c r="S32" s="11">
        <v>53.21050000000001</v>
      </c>
      <c r="U32" s="17">
        <f>(S32-S30)/R32*100</f>
        <v>21.201288888888893</v>
      </c>
    </row>
    <row r="33" spans="1:21" x14ac:dyDescent="0.3">
      <c r="A33" s="27" t="s">
        <v>42</v>
      </c>
      <c r="C33" s="28">
        <v>2015</v>
      </c>
      <c r="D33" s="30">
        <v>120.7</v>
      </c>
      <c r="E33" s="30">
        <v>31.53</v>
      </c>
      <c r="F33" s="21">
        <v>2009</v>
      </c>
      <c r="G33" s="27">
        <v>726.96</v>
      </c>
      <c r="H33" s="27">
        <v>779.28</v>
      </c>
      <c r="I33" s="27">
        <v>26.225999999999999</v>
      </c>
      <c r="J33" s="21">
        <v>1.52</v>
      </c>
      <c r="K33" s="27">
        <v>36</v>
      </c>
      <c r="L33" s="27">
        <v>43</v>
      </c>
      <c r="M33" s="27">
        <v>21</v>
      </c>
      <c r="N33" s="27">
        <v>7.6</v>
      </c>
      <c r="O33" s="30">
        <v>20.301624129930396</v>
      </c>
      <c r="P33" s="27">
        <v>2.12</v>
      </c>
      <c r="Q33" s="31">
        <f t="shared" si="0"/>
        <v>9.5762377971369794</v>
      </c>
      <c r="R33" s="21">
        <v>365</v>
      </c>
      <c r="S33" s="11">
        <v>61.592199999999998</v>
      </c>
      <c r="U33" s="17">
        <f>(S33-S30)/R33*100</f>
        <v>15.365643835616439</v>
      </c>
    </row>
    <row r="34" spans="1:21" x14ac:dyDescent="0.3">
      <c r="A34" s="27" t="s">
        <v>42</v>
      </c>
      <c r="C34" s="28">
        <v>2015</v>
      </c>
      <c r="D34" s="30">
        <v>120.7</v>
      </c>
      <c r="E34" s="30">
        <v>31.53</v>
      </c>
      <c r="F34" s="21">
        <v>2010</v>
      </c>
      <c r="G34" s="27">
        <v>526.19999999999993</v>
      </c>
      <c r="H34" s="27">
        <v>624</v>
      </c>
      <c r="I34" s="27">
        <v>26.213000000000001</v>
      </c>
      <c r="J34" s="21">
        <v>1.52</v>
      </c>
      <c r="K34" s="27">
        <v>36</v>
      </c>
      <c r="L34" s="27">
        <v>43</v>
      </c>
      <c r="M34" s="27">
        <v>21</v>
      </c>
      <c r="N34" s="27">
        <v>7.6</v>
      </c>
      <c r="O34" s="30">
        <v>20.301624129930396</v>
      </c>
      <c r="P34" s="27">
        <v>2.12</v>
      </c>
      <c r="Q34" s="31">
        <f t="shared" si="0"/>
        <v>9.5762377971369794</v>
      </c>
      <c r="R34" s="21">
        <v>0</v>
      </c>
      <c r="S34" s="11">
        <v>7.5648</v>
      </c>
      <c r="U34" s="17">
        <v>0</v>
      </c>
    </row>
    <row r="35" spans="1:21" x14ac:dyDescent="0.3">
      <c r="A35" s="27" t="s">
        <v>42</v>
      </c>
      <c r="C35" s="28">
        <v>2015</v>
      </c>
      <c r="D35" s="30">
        <v>120.7</v>
      </c>
      <c r="E35" s="30">
        <v>31.53</v>
      </c>
      <c r="F35" s="21">
        <v>2010</v>
      </c>
      <c r="G35" s="27">
        <v>526.19999999999993</v>
      </c>
      <c r="H35" s="27">
        <v>624</v>
      </c>
      <c r="I35" s="27">
        <v>26.213000000000001</v>
      </c>
      <c r="J35" s="21">
        <v>1.52</v>
      </c>
      <c r="K35" s="27">
        <v>36</v>
      </c>
      <c r="L35" s="27">
        <v>43</v>
      </c>
      <c r="M35" s="27">
        <v>21</v>
      </c>
      <c r="N35" s="27">
        <v>7.6</v>
      </c>
      <c r="O35" s="30">
        <v>20.301624129930396</v>
      </c>
      <c r="P35" s="27">
        <v>2.12</v>
      </c>
      <c r="Q35" s="31">
        <f t="shared" si="0"/>
        <v>9.5762377971369794</v>
      </c>
      <c r="R35" s="21">
        <v>300</v>
      </c>
      <c r="S35" s="11">
        <v>22.600999999999999</v>
      </c>
      <c r="U35" s="17">
        <f>(S35-S34)/R35*100</f>
        <v>5.0120666666666658</v>
      </c>
    </row>
    <row r="36" spans="1:21" x14ac:dyDescent="0.3">
      <c r="A36" s="27" t="s">
        <v>42</v>
      </c>
      <c r="C36" s="28">
        <v>2015</v>
      </c>
      <c r="D36" s="30">
        <v>120.7</v>
      </c>
      <c r="E36" s="30">
        <v>31.53</v>
      </c>
      <c r="F36" s="21">
        <v>2010</v>
      </c>
      <c r="G36" s="27">
        <v>526.19999999999993</v>
      </c>
      <c r="H36" s="27">
        <v>624</v>
      </c>
      <c r="I36" s="27">
        <v>26.213000000000001</v>
      </c>
      <c r="J36" s="21">
        <v>1.52</v>
      </c>
      <c r="K36" s="27">
        <v>36</v>
      </c>
      <c r="L36" s="27">
        <v>43</v>
      </c>
      <c r="M36" s="27">
        <v>21</v>
      </c>
      <c r="N36" s="27">
        <v>7.6</v>
      </c>
      <c r="O36" s="30">
        <v>20.301624129930396</v>
      </c>
      <c r="P36" s="27">
        <v>2.12</v>
      </c>
      <c r="Q36" s="31">
        <f t="shared" si="0"/>
        <v>9.5762377971369794</v>
      </c>
      <c r="R36" s="21">
        <v>225</v>
      </c>
      <c r="S36" s="11">
        <v>48.907199999999996</v>
      </c>
      <c r="U36" s="17">
        <f>(S36-S34)/R36*100</f>
        <v>18.374399999999998</v>
      </c>
    </row>
    <row r="37" spans="1:21" s="6" customFormat="1" x14ac:dyDescent="0.3">
      <c r="A37" s="32" t="s">
        <v>42</v>
      </c>
      <c r="B37" s="32"/>
      <c r="C37" s="33">
        <v>2015</v>
      </c>
      <c r="D37" s="35">
        <v>120.7</v>
      </c>
      <c r="E37" s="35">
        <v>31.53</v>
      </c>
      <c r="F37" s="22">
        <v>2010</v>
      </c>
      <c r="G37" s="32">
        <v>526.19999999999993</v>
      </c>
      <c r="H37" s="32">
        <v>624</v>
      </c>
      <c r="I37" s="32">
        <v>26.213000000000001</v>
      </c>
      <c r="J37" s="22">
        <v>1.52</v>
      </c>
      <c r="K37" s="32">
        <v>36</v>
      </c>
      <c r="L37" s="32">
        <v>43</v>
      </c>
      <c r="M37" s="32">
        <v>21</v>
      </c>
      <c r="N37" s="32">
        <v>7.6</v>
      </c>
      <c r="O37" s="35">
        <v>20.301624129930396</v>
      </c>
      <c r="P37" s="32">
        <v>2.12</v>
      </c>
      <c r="Q37" s="36">
        <f t="shared" si="0"/>
        <v>9.5762377971369794</v>
      </c>
      <c r="R37" s="22">
        <v>365</v>
      </c>
      <c r="S37" s="13">
        <v>72.125</v>
      </c>
      <c r="T37" s="12"/>
      <c r="U37" s="18">
        <f>(S37-S34)/R37*100</f>
        <v>17.687726027397257</v>
      </c>
    </row>
    <row r="38" spans="1:21" ht="14.5" x14ac:dyDescent="0.3">
      <c r="A38" s="27" t="s">
        <v>43</v>
      </c>
      <c r="B38" s="27" t="s">
        <v>44</v>
      </c>
      <c r="C38" s="28">
        <v>2011</v>
      </c>
      <c r="D38" s="30">
        <v>114.3</v>
      </c>
      <c r="E38" s="30">
        <v>30.5</v>
      </c>
      <c r="F38" s="21" t="s">
        <v>45</v>
      </c>
      <c r="G38" s="27">
        <v>623.28</v>
      </c>
      <c r="H38" s="27">
        <v>733.44</v>
      </c>
      <c r="I38" s="27">
        <v>27.056999999999999</v>
      </c>
      <c r="J38" s="21">
        <v>1.42</v>
      </c>
      <c r="K38" s="27">
        <v>37</v>
      </c>
      <c r="L38" s="27">
        <v>42</v>
      </c>
      <c r="M38" s="27">
        <v>21</v>
      </c>
      <c r="N38" s="27">
        <v>6.3</v>
      </c>
      <c r="O38" s="30">
        <v>12.006960556844547</v>
      </c>
      <c r="P38" s="27">
        <v>0.86</v>
      </c>
      <c r="Q38" s="31">
        <f t="shared" si="0"/>
        <v>13.961582042842496</v>
      </c>
      <c r="R38" s="21">
        <v>0</v>
      </c>
      <c r="S38" s="11">
        <v>22.1</v>
      </c>
      <c r="T38" s="46">
        <f>S38</f>
        <v>22.1</v>
      </c>
      <c r="U38" s="17">
        <v>0</v>
      </c>
    </row>
    <row r="39" spans="1:21" ht="14.5" x14ac:dyDescent="0.3">
      <c r="A39" s="27" t="s">
        <v>43</v>
      </c>
      <c r="B39" s="27" t="s">
        <v>44</v>
      </c>
      <c r="C39" s="28">
        <v>2011</v>
      </c>
      <c r="D39" s="30">
        <v>114.3</v>
      </c>
      <c r="E39" s="30">
        <v>30.5</v>
      </c>
      <c r="F39" s="21" t="s">
        <v>45</v>
      </c>
      <c r="G39" s="27">
        <v>623.28</v>
      </c>
      <c r="H39" s="27">
        <v>733.44</v>
      </c>
      <c r="I39" s="27">
        <v>27.056999999999999</v>
      </c>
      <c r="J39" s="21">
        <v>1.42</v>
      </c>
      <c r="K39" s="27">
        <v>37</v>
      </c>
      <c r="L39" s="27">
        <v>42</v>
      </c>
      <c r="M39" s="27">
        <v>21</v>
      </c>
      <c r="N39" s="27">
        <v>6.3</v>
      </c>
      <c r="O39" s="30">
        <v>12.006960556844547</v>
      </c>
      <c r="P39" s="27">
        <v>0.86</v>
      </c>
      <c r="Q39" s="31">
        <f t="shared" si="0"/>
        <v>13.961582042842496</v>
      </c>
      <c r="R39" s="21">
        <v>210</v>
      </c>
      <c r="S39" s="11">
        <v>62.82</v>
      </c>
      <c r="U39" s="17">
        <f>(S39-S38)/R39*100</f>
        <v>19.390476190476193</v>
      </c>
    </row>
    <row r="40" spans="1:21" ht="14.5" x14ac:dyDescent="0.3">
      <c r="A40" s="27" t="s">
        <v>43</v>
      </c>
      <c r="B40" s="27" t="s">
        <v>44</v>
      </c>
      <c r="C40" s="28">
        <v>2011</v>
      </c>
      <c r="D40" s="30">
        <v>114.3</v>
      </c>
      <c r="E40" s="30">
        <v>30.5</v>
      </c>
      <c r="F40" s="21" t="s">
        <v>45</v>
      </c>
      <c r="G40" s="27">
        <v>623.28</v>
      </c>
      <c r="H40" s="27">
        <v>733.44</v>
      </c>
      <c r="I40" s="27">
        <v>27.056999999999999</v>
      </c>
      <c r="J40" s="21">
        <v>1.42</v>
      </c>
      <c r="K40" s="27">
        <v>37</v>
      </c>
      <c r="L40" s="27">
        <v>42</v>
      </c>
      <c r="M40" s="27">
        <v>21</v>
      </c>
      <c r="N40" s="27">
        <v>6.3</v>
      </c>
      <c r="O40" s="30">
        <v>12.006960556844547</v>
      </c>
      <c r="P40" s="27">
        <v>0.86</v>
      </c>
      <c r="Q40" s="31">
        <f t="shared" si="0"/>
        <v>13.961582042842496</v>
      </c>
      <c r="R40" s="21">
        <v>147</v>
      </c>
      <c r="S40" s="11">
        <v>45.88</v>
      </c>
      <c r="U40" s="17">
        <f>(S40-S38)/R40*100</f>
        <v>16.176870748299322</v>
      </c>
    </row>
    <row r="41" spans="1:21" s="6" customFormat="1" ht="14.5" x14ac:dyDescent="0.3">
      <c r="A41" s="32" t="s">
        <v>43</v>
      </c>
      <c r="B41" s="32" t="s">
        <v>44</v>
      </c>
      <c r="C41" s="33">
        <v>2011</v>
      </c>
      <c r="D41" s="35">
        <v>114.3</v>
      </c>
      <c r="E41" s="35">
        <v>30.5</v>
      </c>
      <c r="F41" s="22" t="s">
        <v>45</v>
      </c>
      <c r="G41" s="32">
        <v>623.28</v>
      </c>
      <c r="H41" s="32">
        <v>733.44</v>
      </c>
      <c r="I41" s="32">
        <v>27.056999999999999</v>
      </c>
      <c r="J41" s="22">
        <v>1.42</v>
      </c>
      <c r="K41" s="32">
        <v>37</v>
      </c>
      <c r="L41" s="32">
        <v>42</v>
      </c>
      <c r="M41" s="32">
        <v>21</v>
      </c>
      <c r="N41" s="32">
        <v>6.3</v>
      </c>
      <c r="O41" s="35">
        <v>12.006960556844547</v>
      </c>
      <c r="P41" s="32">
        <v>0.86</v>
      </c>
      <c r="Q41" s="36">
        <f t="shared" si="0"/>
        <v>13.961582042842496</v>
      </c>
      <c r="R41" s="22">
        <v>147</v>
      </c>
      <c r="S41" s="13">
        <v>41.27</v>
      </c>
      <c r="T41" s="12"/>
      <c r="U41" s="18">
        <f>(S41-S38)/R41*100</f>
        <v>13.040816326530614</v>
      </c>
    </row>
    <row r="42" spans="1:21" x14ac:dyDescent="0.3">
      <c r="A42" s="27" t="s">
        <v>46</v>
      </c>
      <c r="B42" s="27" t="s">
        <v>47</v>
      </c>
      <c r="C42" s="28">
        <v>2007</v>
      </c>
      <c r="D42" s="30">
        <v>120.68</v>
      </c>
      <c r="E42" s="30">
        <v>31.53</v>
      </c>
      <c r="F42" s="21">
        <v>2001</v>
      </c>
      <c r="G42" s="27">
        <v>530.64</v>
      </c>
      <c r="H42" s="27">
        <v>809.28</v>
      </c>
      <c r="I42" s="27">
        <v>26.67</v>
      </c>
      <c r="J42" s="21">
        <v>1.52</v>
      </c>
      <c r="K42" s="27">
        <v>36</v>
      </c>
      <c r="L42" s="27">
        <v>43</v>
      </c>
      <c r="M42" s="27">
        <v>21</v>
      </c>
      <c r="N42" s="27">
        <v>7.36</v>
      </c>
      <c r="O42" s="30">
        <v>20</v>
      </c>
      <c r="P42" s="27">
        <v>1.79</v>
      </c>
      <c r="Q42" s="31">
        <f t="shared" si="0"/>
        <v>11.173184357541899</v>
      </c>
      <c r="R42" s="21">
        <v>0</v>
      </c>
      <c r="S42" s="11">
        <v>0</v>
      </c>
      <c r="T42" s="46">
        <f>AVERAGE(S45,S42)</f>
        <v>3.46</v>
      </c>
      <c r="U42" s="17">
        <v>0</v>
      </c>
    </row>
    <row r="43" spans="1:21" x14ac:dyDescent="0.3">
      <c r="A43" s="27" t="s">
        <v>46</v>
      </c>
      <c r="B43" s="27" t="s">
        <v>47</v>
      </c>
      <c r="C43" s="28">
        <v>2007</v>
      </c>
      <c r="D43" s="30">
        <v>120.68</v>
      </c>
      <c r="E43" s="30">
        <v>31.53</v>
      </c>
      <c r="F43" s="21">
        <v>2001</v>
      </c>
      <c r="G43" s="27">
        <v>530.64</v>
      </c>
      <c r="H43" s="27">
        <v>809.28</v>
      </c>
      <c r="I43" s="27">
        <v>26.67</v>
      </c>
      <c r="J43" s="21">
        <v>1.52</v>
      </c>
      <c r="K43" s="27">
        <v>36</v>
      </c>
      <c r="L43" s="27">
        <v>43</v>
      </c>
      <c r="M43" s="27">
        <v>21</v>
      </c>
      <c r="N43" s="27">
        <v>7.36</v>
      </c>
      <c r="O43" s="30">
        <v>20</v>
      </c>
      <c r="P43" s="27">
        <v>1.79</v>
      </c>
      <c r="Q43" s="31">
        <f t="shared" si="0"/>
        <v>11.173184357541899</v>
      </c>
      <c r="R43" s="21">
        <v>150</v>
      </c>
      <c r="S43" s="11">
        <v>24.11</v>
      </c>
      <c r="U43" s="17">
        <f>(S43-S42)/R43*100</f>
        <v>16.073333333333334</v>
      </c>
    </row>
    <row r="44" spans="1:21" x14ac:dyDescent="0.3">
      <c r="A44" s="27" t="s">
        <v>46</v>
      </c>
      <c r="B44" s="27" t="s">
        <v>47</v>
      </c>
      <c r="C44" s="28">
        <v>2007</v>
      </c>
      <c r="D44" s="30">
        <v>120.68</v>
      </c>
      <c r="E44" s="30">
        <v>31.53</v>
      </c>
      <c r="F44" s="21">
        <v>2001</v>
      </c>
      <c r="G44" s="27">
        <v>530.64</v>
      </c>
      <c r="H44" s="27">
        <v>809.28</v>
      </c>
      <c r="I44" s="27">
        <v>26.67</v>
      </c>
      <c r="J44" s="21">
        <v>1.52</v>
      </c>
      <c r="K44" s="27">
        <v>36</v>
      </c>
      <c r="L44" s="27">
        <v>43</v>
      </c>
      <c r="M44" s="27">
        <v>21</v>
      </c>
      <c r="N44" s="27">
        <v>7.36</v>
      </c>
      <c r="O44" s="30">
        <v>20</v>
      </c>
      <c r="P44" s="27">
        <v>1.79</v>
      </c>
      <c r="Q44" s="31">
        <f t="shared" si="0"/>
        <v>11.173184357541899</v>
      </c>
      <c r="R44" s="21">
        <v>300</v>
      </c>
      <c r="S44" s="11">
        <v>77.98</v>
      </c>
      <c r="U44" s="17">
        <f>(S44-S42)/R44*100</f>
        <v>25.993333333333336</v>
      </c>
    </row>
    <row r="45" spans="1:21" x14ac:dyDescent="0.3">
      <c r="A45" s="27" t="s">
        <v>46</v>
      </c>
      <c r="B45" s="27" t="s">
        <v>47</v>
      </c>
      <c r="C45" s="28">
        <v>2007</v>
      </c>
      <c r="D45" s="30">
        <v>120.68</v>
      </c>
      <c r="E45" s="30">
        <v>31.53</v>
      </c>
      <c r="F45" s="21">
        <v>2002</v>
      </c>
      <c r="G45" s="27">
        <v>530.64</v>
      </c>
      <c r="H45" s="27">
        <v>809.28</v>
      </c>
      <c r="I45" s="27">
        <v>26.67</v>
      </c>
      <c r="J45" s="21">
        <v>1.52</v>
      </c>
      <c r="K45" s="27">
        <v>36</v>
      </c>
      <c r="L45" s="27">
        <v>43</v>
      </c>
      <c r="M45" s="27">
        <v>21</v>
      </c>
      <c r="N45" s="27">
        <v>7.36</v>
      </c>
      <c r="O45" s="30">
        <v>20</v>
      </c>
      <c r="P45" s="27">
        <v>1.79</v>
      </c>
      <c r="Q45" s="31">
        <f t="shared" si="0"/>
        <v>11.173184357541899</v>
      </c>
      <c r="R45" s="21">
        <v>0</v>
      </c>
      <c r="S45" s="11">
        <v>6.92</v>
      </c>
      <c r="U45" s="17">
        <v>0</v>
      </c>
    </row>
    <row r="46" spans="1:21" x14ac:dyDescent="0.3">
      <c r="A46" s="27" t="s">
        <v>46</v>
      </c>
      <c r="B46" s="27" t="s">
        <v>47</v>
      </c>
      <c r="C46" s="28">
        <v>2007</v>
      </c>
      <c r="D46" s="30">
        <v>120.68</v>
      </c>
      <c r="E46" s="30">
        <v>31.53</v>
      </c>
      <c r="F46" s="21">
        <v>2002</v>
      </c>
      <c r="G46" s="27">
        <v>530.64</v>
      </c>
      <c r="H46" s="27">
        <v>809.28</v>
      </c>
      <c r="I46" s="27">
        <v>26.67</v>
      </c>
      <c r="J46" s="21">
        <v>1.52</v>
      </c>
      <c r="K46" s="27">
        <v>36</v>
      </c>
      <c r="L46" s="27">
        <v>43</v>
      </c>
      <c r="M46" s="27">
        <v>21</v>
      </c>
      <c r="N46" s="27">
        <v>7.36</v>
      </c>
      <c r="O46" s="30">
        <v>20</v>
      </c>
      <c r="P46" s="27">
        <v>1.79</v>
      </c>
      <c r="Q46" s="31">
        <f t="shared" si="0"/>
        <v>11.173184357541899</v>
      </c>
      <c r="R46" s="21">
        <v>150</v>
      </c>
      <c r="S46" s="11">
        <v>48.91</v>
      </c>
      <c r="U46" s="17">
        <f>(S46-S45)/R46*100</f>
        <v>27.993333333333332</v>
      </c>
    </row>
    <row r="47" spans="1:21" s="6" customFormat="1" x14ac:dyDescent="0.3">
      <c r="A47" s="32" t="s">
        <v>46</v>
      </c>
      <c r="B47" s="32" t="s">
        <v>47</v>
      </c>
      <c r="C47" s="33">
        <v>2007</v>
      </c>
      <c r="D47" s="35">
        <v>120.68</v>
      </c>
      <c r="E47" s="35">
        <v>31.53</v>
      </c>
      <c r="F47" s="22">
        <v>2002</v>
      </c>
      <c r="G47" s="32">
        <v>530.64</v>
      </c>
      <c r="H47" s="32">
        <v>809.28</v>
      </c>
      <c r="I47" s="32">
        <v>26.67</v>
      </c>
      <c r="J47" s="22">
        <v>1.52</v>
      </c>
      <c r="K47" s="32">
        <v>36</v>
      </c>
      <c r="L47" s="32">
        <v>43</v>
      </c>
      <c r="M47" s="32">
        <v>21</v>
      </c>
      <c r="N47" s="32">
        <v>7.36</v>
      </c>
      <c r="O47" s="35">
        <v>20</v>
      </c>
      <c r="P47" s="32">
        <v>1.79</v>
      </c>
      <c r="Q47" s="36">
        <f t="shared" si="0"/>
        <v>11.173184357541899</v>
      </c>
      <c r="R47" s="22">
        <v>300</v>
      </c>
      <c r="S47" s="13">
        <v>110.67</v>
      </c>
      <c r="T47" s="12"/>
      <c r="U47" s="18">
        <f>(S47-S45)/R47*100</f>
        <v>34.583333333333336</v>
      </c>
    </row>
    <row r="48" spans="1:21" ht="14.5" x14ac:dyDescent="0.3">
      <c r="A48" s="27" t="s">
        <v>48</v>
      </c>
      <c r="B48" s="27" t="s">
        <v>49</v>
      </c>
      <c r="C48" s="28">
        <v>2012</v>
      </c>
      <c r="D48" s="30">
        <v>133</v>
      </c>
      <c r="E48" s="30">
        <v>45.33</v>
      </c>
      <c r="F48" s="21">
        <v>2009</v>
      </c>
      <c r="G48" s="27">
        <v>401.76</v>
      </c>
      <c r="H48" s="27">
        <v>568.56000000000006</v>
      </c>
      <c r="I48" s="27">
        <v>17.710999999999999</v>
      </c>
      <c r="J48" s="21">
        <v>1.1100000000000001</v>
      </c>
      <c r="K48" s="27">
        <v>31</v>
      </c>
      <c r="L48" s="27">
        <v>41</v>
      </c>
      <c r="M48" s="27">
        <v>28</v>
      </c>
      <c r="N48" s="27">
        <v>6</v>
      </c>
      <c r="O48" s="30">
        <v>35.498839907192576</v>
      </c>
      <c r="P48" s="27">
        <v>1.6240000000000001</v>
      </c>
      <c r="Q48" s="31">
        <f t="shared" si="0"/>
        <v>21.858891568468334</v>
      </c>
      <c r="R48" s="21">
        <v>0</v>
      </c>
      <c r="S48" s="11">
        <v>5.86</v>
      </c>
      <c r="T48" s="46">
        <f>S48</f>
        <v>5.86</v>
      </c>
      <c r="U48" s="17">
        <v>0</v>
      </c>
    </row>
    <row r="49" spans="1:21" ht="14.5" x14ac:dyDescent="0.3">
      <c r="A49" s="27" t="s">
        <v>48</v>
      </c>
      <c r="B49" s="27" t="s">
        <v>49</v>
      </c>
      <c r="C49" s="28">
        <v>2012</v>
      </c>
      <c r="D49" s="30">
        <v>133</v>
      </c>
      <c r="E49" s="30">
        <v>45.33</v>
      </c>
      <c r="F49" s="21">
        <v>2009</v>
      </c>
      <c r="G49" s="27">
        <v>401.76</v>
      </c>
      <c r="H49" s="27">
        <v>568.56000000000006</v>
      </c>
      <c r="I49" s="27">
        <v>17.710999999999999</v>
      </c>
      <c r="J49" s="21">
        <v>1.1100000000000001</v>
      </c>
      <c r="K49" s="27">
        <v>31</v>
      </c>
      <c r="L49" s="27">
        <v>41</v>
      </c>
      <c r="M49" s="27">
        <v>28</v>
      </c>
      <c r="N49" s="27">
        <v>6</v>
      </c>
      <c r="O49" s="30">
        <v>35.498839907192576</v>
      </c>
      <c r="P49" s="27">
        <v>1.6240000000000001</v>
      </c>
      <c r="Q49" s="31">
        <f t="shared" si="0"/>
        <v>21.858891568468334</v>
      </c>
      <c r="R49" s="21">
        <v>103.3</v>
      </c>
      <c r="S49" s="11">
        <v>14.25</v>
      </c>
      <c r="U49" s="17">
        <f>(S49-S48)/R49*100</f>
        <v>8.1219748305905135</v>
      </c>
    </row>
    <row r="50" spans="1:21" ht="14.5" x14ac:dyDescent="0.3">
      <c r="A50" s="27" t="s">
        <v>48</v>
      </c>
      <c r="B50" s="27" t="s">
        <v>49</v>
      </c>
      <c r="C50" s="28">
        <v>2012</v>
      </c>
      <c r="D50" s="30">
        <v>133</v>
      </c>
      <c r="E50" s="30">
        <v>45.33</v>
      </c>
      <c r="F50" s="21">
        <v>2009</v>
      </c>
      <c r="G50" s="27">
        <v>401.76</v>
      </c>
      <c r="H50" s="27">
        <v>568.56000000000006</v>
      </c>
      <c r="I50" s="27">
        <v>17.710999999999999</v>
      </c>
      <c r="J50" s="21">
        <v>1.1100000000000001</v>
      </c>
      <c r="K50" s="27">
        <v>31</v>
      </c>
      <c r="L50" s="27">
        <v>41</v>
      </c>
      <c r="M50" s="27">
        <v>28</v>
      </c>
      <c r="N50" s="27">
        <v>6</v>
      </c>
      <c r="O50" s="30">
        <v>35.498839907192576</v>
      </c>
      <c r="P50" s="27">
        <v>1.6240000000000001</v>
      </c>
      <c r="Q50" s="31">
        <f t="shared" si="0"/>
        <v>21.858891568468334</v>
      </c>
      <c r="R50" s="21">
        <v>103.3</v>
      </c>
      <c r="S50" s="11">
        <v>16.52</v>
      </c>
      <c r="U50" s="17">
        <f>(S50-S48)/R50*100</f>
        <v>10.31945788964182</v>
      </c>
    </row>
    <row r="51" spans="1:21" ht="14.5" x14ac:dyDescent="0.3">
      <c r="A51" s="27" t="s">
        <v>48</v>
      </c>
      <c r="B51" s="27" t="s">
        <v>49</v>
      </c>
      <c r="C51" s="28">
        <v>2012</v>
      </c>
      <c r="D51" s="30">
        <v>133</v>
      </c>
      <c r="E51" s="30">
        <v>45.33</v>
      </c>
      <c r="F51" s="21">
        <v>2009</v>
      </c>
      <c r="G51" s="27">
        <v>401.76</v>
      </c>
      <c r="H51" s="27">
        <v>568.56000000000006</v>
      </c>
      <c r="I51" s="27">
        <v>17.710999999999999</v>
      </c>
      <c r="J51" s="21">
        <v>1.1100000000000001</v>
      </c>
      <c r="K51" s="27">
        <v>31</v>
      </c>
      <c r="L51" s="27">
        <v>41</v>
      </c>
      <c r="M51" s="27">
        <v>28</v>
      </c>
      <c r="N51" s="27">
        <v>6</v>
      </c>
      <c r="O51" s="30">
        <v>35.498839907192576</v>
      </c>
      <c r="P51" s="27">
        <v>1.6240000000000001</v>
      </c>
      <c r="Q51" s="31">
        <f t="shared" si="0"/>
        <v>21.858891568468334</v>
      </c>
      <c r="R51" s="21">
        <v>82.7</v>
      </c>
      <c r="S51" s="11">
        <v>10.91</v>
      </c>
      <c r="U51" s="17">
        <f>(S51-S48)/R51*100</f>
        <v>6.1064087061668681</v>
      </c>
    </row>
    <row r="52" spans="1:21" ht="14.5" x14ac:dyDescent="0.3">
      <c r="A52" s="27" t="s">
        <v>48</v>
      </c>
      <c r="B52" s="27" t="s">
        <v>49</v>
      </c>
      <c r="C52" s="28">
        <v>2012</v>
      </c>
      <c r="D52" s="30">
        <v>133</v>
      </c>
      <c r="E52" s="30">
        <v>45.33</v>
      </c>
      <c r="F52" s="21">
        <v>2009</v>
      </c>
      <c r="G52" s="27">
        <v>401.76</v>
      </c>
      <c r="H52" s="27">
        <v>568.56000000000006</v>
      </c>
      <c r="I52" s="27">
        <v>17.710999999999999</v>
      </c>
      <c r="J52" s="21">
        <v>1.1100000000000001</v>
      </c>
      <c r="K52" s="27">
        <v>31</v>
      </c>
      <c r="L52" s="27">
        <v>41</v>
      </c>
      <c r="M52" s="27">
        <v>28</v>
      </c>
      <c r="N52" s="27">
        <v>6</v>
      </c>
      <c r="O52" s="30">
        <v>35.498839907192576</v>
      </c>
      <c r="P52" s="27">
        <v>1.6240000000000001</v>
      </c>
      <c r="Q52" s="31">
        <f t="shared" si="0"/>
        <v>21.858891568468334</v>
      </c>
      <c r="R52" s="21">
        <v>82.7</v>
      </c>
      <c r="S52" s="11">
        <v>14.57</v>
      </c>
      <c r="U52" s="17">
        <f>(S52-S48)/R52*100</f>
        <v>10.532043530834342</v>
      </c>
    </row>
    <row r="53" spans="1:21" s="6" customFormat="1" ht="14.5" x14ac:dyDescent="0.3">
      <c r="A53" s="32" t="s">
        <v>48</v>
      </c>
      <c r="B53" s="32" t="s">
        <v>49</v>
      </c>
      <c r="C53" s="33">
        <v>2012</v>
      </c>
      <c r="D53" s="35">
        <v>133</v>
      </c>
      <c r="E53" s="35">
        <v>45.33</v>
      </c>
      <c r="F53" s="22">
        <v>2009</v>
      </c>
      <c r="G53" s="32">
        <v>401.76</v>
      </c>
      <c r="H53" s="32">
        <v>568.56000000000006</v>
      </c>
      <c r="I53" s="32">
        <v>17.710999999999999</v>
      </c>
      <c r="J53" s="22">
        <v>1.1100000000000001</v>
      </c>
      <c r="K53" s="32">
        <v>31</v>
      </c>
      <c r="L53" s="32">
        <v>41</v>
      </c>
      <c r="M53" s="32">
        <v>28</v>
      </c>
      <c r="N53" s="32">
        <v>6</v>
      </c>
      <c r="O53" s="35">
        <v>35.498839907192576</v>
      </c>
      <c r="P53" s="32">
        <v>1.6240000000000001</v>
      </c>
      <c r="Q53" s="36">
        <f t="shared" si="0"/>
        <v>21.858891568468334</v>
      </c>
      <c r="R53" s="22">
        <v>82.7</v>
      </c>
      <c r="S53" s="13">
        <v>12.57</v>
      </c>
      <c r="T53" s="12"/>
      <c r="U53" s="18">
        <f>(S53-S48)/R53*100</f>
        <v>8.1136638452236998</v>
      </c>
    </row>
    <row r="54" spans="1:21" ht="14.5" x14ac:dyDescent="0.3">
      <c r="A54" s="27" t="s">
        <v>50</v>
      </c>
      <c r="B54" s="27" t="s">
        <v>51</v>
      </c>
      <c r="C54" s="28">
        <v>2005</v>
      </c>
      <c r="D54" s="30">
        <v>111.87</v>
      </c>
      <c r="E54" s="30">
        <v>26.75</v>
      </c>
      <c r="F54" s="21">
        <v>2001</v>
      </c>
      <c r="G54" s="27">
        <v>737.64</v>
      </c>
      <c r="H54" s="27">
        <v>695.16</v>
      </c>
      <c r="I54" s="27">
        <v>27.024000000000001</v>
      </c>
      <c r="J54" s="21">
        <v>1.07</v>
      </c>
      <c r="K54" s="37">
        <v>36.76</v>
      </c>
      <c r="L54" s="37">
        <v>34.479999999999997</v>
      </c>
      <c r="M54" s="37">
        <v>28.76</v>
      </c>
      <c r="N54" s="27">
        <v>6.8</v>
      </c>
      <c r="O54" s="30">
        <v>14.211136890951277</v>
      </c>
      <c r="P54" s="27">
        <v>1.58</v>
      </c>
      <c r="Q54" s="31">
        <f t="shared" si="0"/>
        <v>8.9943904373109351</v>
      </c>
      <c r="R54" s="21">
        <v>0</v>
      </c>
      <c r="S54" s="11">
        <v>0.74</v>
      </c>
      <c r="T54" s="46">
        <f>AVERAGE(S56,S54)</f>
        <v>1.4700000000000002</v>
      </c>
      <c r="U54" s="17">
        <v>0</v>
      </c>
    </row>
    <row r="55" spans="1:21" ht="14.5" x14ac:dyDescent="0.3">
      <c r="A55" s="27" t="s">
        <v>50</v>
      </c>
      <c r="B55" s="27" t="s">
        <v>51</v>
      </c>
      <c r="C55" s="28">
        <v>2005</v>
      </c>
      <c r="D55" s="30">
        <v>111.87</v>
      </c>
      <c r="E55" s="30">
        <v>26.75</v>
      </c>
      <c r="F55" s="21">
        <v>2001</v>
      </c>
      <c r="G55" s="27">
        <v>737.64</v>
      </c>
      <c r="H55" s="27">
        <v>695.16</v>
      </c>
      <c r="I55" s="27">
        <v>27.024000000000001</v>
      </c>
      <c r="J55" s="21">
        <v>1.07</v>
      </c>
      <c r="K55" s="37">
        <v>36.76</v>
      </c>
      <c r="L55" s="37">
        <v>34.479999999999997</v>
      </c>
      <c r="M55" s="37">
        <v>28.76</v>
      </c>
      <c r="N55" s="27">
        <v>6.8</v>
      </c>
      <c r="O55" s="30">
        <v>14.211136890951277</v>
      </c>
      <c r="P55" s="27">
        <v>1.58</v>
      </c>
      <c r="Q55" s="31">
        <f t="shared" si="0"/>
        <v>8.9943904373109351</v>
      </c>
      <c r="R55" s="21">
        <v>150</v>
      </c>
      <c r="S55" s="11">
        <v>57.36</v>
      </c>
      <c r="U55" s="17">
        <f>(S55-S54)/R55*100</f>
        <v>37.74666666666667</v>
      </c>
    </row>
    <row r="56" spans="1:21" ht="14.5" x14ac:dyDescent="0.3">
      <c r="A56" s="27" t="s">
        <v>50</v>
      </c>
      <c r="B56" s="27" t="s">
        <v>51</v>
      </c>
      <c r="C56" s="28">
        <v>2005</v>
      </c>
      <c r="D56" s="30">
        <v>111.87</v>
      </c>
      <c r="E56" s="30">
        <v>26.75</v>
      </c>
      <c r="F56" s="21">
        <v>2001</v>
      </c>
      <c r="G56" s="27">
        <v>737.64</v>
      </c>
      <c r="H56" s="27">
        <v>695.16</v>
      </c>
      <c r="I56" s="27">
        <v>27.024000000000001</v>
      </c>
      <c r="J56" s="21">
        <v>1.07</v>
      </c>
      <c r="K56" s="37">
        <v>36.76</v>
      </c>
      <c r="L56" s="37">
        <v>34.479999999999997</v>
      </c>
      <c r="M56" s="37">
        <v>28.76</v>
      </c>
      <c r="N56" s="27">
        <v>6.8</v>
      </c>
      <c r="O56" s="30">
        <v>14.211136890951277</v>
      </c>
      <c r="P56" s="27">
        <v>1.58</v>
      </c>
      <c r="Q56" s="31">
        <f t="shared" si="0"/>
        <v>8.9943904373109351</v>
      </c>
      <c r="R56" s="21">
        <v>0</v>
      </c>
      <c r="S56" s="11">
        <v>2.2000000000000002</v>
      </c>
      <c r="U56" s="17">
        <v>0</v>
      </c>
    </row>
    <row r="57" spans="1:21" s="6" customFormat="1" ht="14.5" x14ac:dyDescent="0.3">
      <c r="A57" s="32" t="s">
        <v>50</v>
      </c>
      <c r="B57" s="32" t="s">
        <v>51</v>
      </c>
      <c r="C57" s="33">
        <v>2005</v>
      </c>
      <c r="D57" s="35">
        <v>111.87</v>
      </c>
      <c r="E57" s="35">
        <v>26.75</v>
      </c>
      <c r="F57" s="22">
        <v>2001</v>
      </c>
      <c r="G57" s="32">
        <v>737.64</v>
      </c>
      <c r="H57" s="32">
        <v>695.16</v>
      </c>
      <c r="I57" s="32">
        <v>27.024000000000001</v>
      </c>
      <c r="J57" s="22">
        <v>1.07</v>
      </c>
      <c r="K57" s="38">
        <v>36.76</v>
      </c>
      <c r="L57" s="38">
        <v>34.479999999999997</v>
      </c>
      <c r="M57" s="38">
        <v>28.76</v>
      </c>
      <c r="N57" s="32">
        <v>6.8</v>
      </c>
      <c r="O57" s="35">
        <v>14.211136890951277</v>
      </c>
      <c r="P57" s="32">
        <v>1.58</v>
      </c>
      <c r="Q57" s="36">
        <f t="shared" si="0"/>
        <v>8.9943904373109351</v>
      </c>
      <c r="R57" s="22">
        <v>150</v>
      </c>
      <c r="S57" s="13">
        <v>59.1</v>
      </c>
      <c r="T57" s="12"/>
      <c r="U57" s="18">
        <f>(S57-S56)/R57*100</f>
        <v>37.93333333333333</v>
      </c>
    </row>
    <row r="58" spans="1:21" ht="14.5" x14ac:dyDescent="0.3">
      <c r="A58" s="27" t="s">
        <v>52</v>
      </c>
      <c r="B58" s="27" t="s">
        <v>44</v>
      </c>
      <c r="C58" s="28">
        <v>2010</v>
      </c>
      <c r="D58" s="30">
        <v>114.3</v>
      </c>
      <c r="E58" s="30">
        <v>30.5</v>
      </c>
      <c r="F58" s="21">
        <v>2008</v>
      </c>
      <c r="G58" s="27">
        <v>802.31999999999994</v>
      </c>
      <c r="H58" s="27">
        <v>707.04000000000008</v>
      </c>
      <c r="I58" s="27">
        <v>26.948</v>
      </c>
      <c r="J58" s="21">
        <v>1.42</v>
      </c>
      <c r="K58" s="27">
        <v>37</v>
      </c>
      <c r="L58" s="27">
        <v>42</v>
      </c>
      <c r="M58" s="27">
        <v>21</v>
      </c>
      <c r="N58" s="27">
        <v>6.3</v>
      </c>
      <c r="O58" s="30">
        <v>12.001160092807426</v>
      </c>
      <c r="P58" s="27">
        <v>0.86399999999999999</v>
      </c>
      <c r="Q58" s="31">
        <f t="shared" si="0"/>
        <v>13.890231588897484</v>
      </c>
      <c r="R58" s="21">
        <v>0</v>
      </c>
      <c r="S58" s="11">
        <v>22.11</v>
      </c>
      <c r="T58" s="46">
        <f>S58</f>
        <v>22.11</v>
      </c>
      <c r="U58" s="17">
        <v>0</v>
      </c>
    </row>
    <row r="59" spans="1:21" ht="14.5" x14ac:dyDescent="0.3">
      <c r="A59" s="27" t="s">
        <v>52</v>
      </c>
      <c r="B59" s="27" t="s">
        <v>44</v>
      </c>
      <c r="C59" s="28">
        <v>2010</v>
      </c>
      <c r="D59" s="30">
        <v>114.3</v>
      </c>
      <c r="E59" s="30">
        <v>30.5</v>
      </c>
      <c r="F59" s="21">
        <v>2008</v>
      </c>
      <c r="G59" s="27">
        <v>802.31999999999994</v>
      </c>
      <c r="H59" s="27">
        <v>707.04000000000008</v>
      </c>
      <c r="I59" s="27">
        <v>26.948</v>
      </c>
      <c r="J59" s="21">
        <v>1.42</v>
      </c>
      <c r="K59" s="27">
        <v>37</v>
      </c>
      <c r="L59" s="27">
        <v>42</v>
      </c>
      <c r="M59" s="27">
        <v>21</v>
      </c>
      <c r="N59" s="27">
        <v>6.3</v>
      </c>
      <c r="O59" s="30">
        <v>12.001160092807426</v>
      </c>
      <c r="P59" s="27">
        <v>0.86399999999999999</v>
      </c>
      <c r="Q59" s="31">
        <f t="shared" si="0"/>
        <v>13.890231588897484</v>
      </c>
      <c r="R59" s="21">
        <v>210</v>
      </c>
      <c r="S59" s="11">
        <v>62.82</v>
      </c>
      <c r="U59" s="17">
        <f>(S59-S58)/R59*100</f>
        <v>19.385714285714286</v>
      </c>
    </row>
    <row r="60" spans="1:21" ht="14.5" x14ac:dyDescent="0.3">
      <c r="A60" s="27" t="s">
        <v>52</v>
      </c>
      <c r="B60" s="27" t="s">
        <v>44</v>
      </c>
      <c r="C60" s="28">
        <v>2010</v>
      </c>
      <c r="D60" s="30">
        <v>114.3</v>
      </c>
      <c r="E60" s="30">
        <v>30.5</v>
      </c>
      <c r="F60" s="21">
        <v>2008</v>
      </c>
      <c r="G60" s="27">
        <v>802.31999999999994</v>
      </c>
      <c r="H60" s="27">
        <v>707.04000000000008</v>
      </c>
      <c r="I60" s="27">
        <v>26.948</v>
      </c>
      <c r="J60" s="21">
        <v>1.42</v>
      </c>
      <c r="K60" s="27">
        <v>37</v>
      </c>
      <c r="L60" s="27">
        <v>42</v>
      </c>
      <c r="M60" s="27">
        <v>21</v>
      </c>
      <c r="N60" s="27">
        <v>6.3</v>
      </c>
      <c r="O60" s="30">
        <v>12.001160092807426</v>
      </c>
      <c r="P60" s="27">
        <v>0.86399999999999999</v>
      </c>
      <c r="Q60" s="31">
        <f t="shared" si="0"/>
        <v>13.890231588897484</v>
      </c>
      <c r="R60" s="21">
        <v>147</v>
      </c>
      <c r="S60" s="11">
        <v>45.88</v>
      </c>
      <c r="U60" s="17">
        <f>(S60-S58)/R60*100</f>
        <v>16.170068027210888</v>
      </c>
    </row>
    <row r="61" spans="1:21" s="6" customFormat="1" ht="14.5" x14ac:dyDescent="0.3">
      <c r="A61" s="32" t="s">
        <v>52</v>
      </c>
      <c r="B61" s="32" t="s">
        <v>44</v>
      </c>
      <c r="C61" s="33">
        <v>2010</v>
      </c>
      <c r="D61" s="35">
        <v>114.3</v>
      </c>
      <c r="E61" s="35">
        <v>30.5</v>
      </c>
      <c r="F61" s="22">
        <v>2008</v>
      </c>
      <c r="G61" s="32">
        <v>802.31999999999994</v>
      </c>
      <c r="H61" s="32">
        <v>707.04000000000008</v>
      </c>
      <c r="I61" s="32">
        <v>26.948</v>
      </c>
      <c r="J61" s="22">
        <v>1.42</v>
      </c>
      <c r="K61" s="32">
        <v>37</v>
      </c>
      <c r="L61" s="32">
        <v>42</v>
      </c>
      <c r="M61" s="32">
        <v>21</v>
      </c>
      <c r="N61" s="32">
        <v>6.3</v>
      </c>
      <c r="O61" s="35">
        <v>12.001160092807426</v>
      </c>
      <c r="P61" s="32">
        <v>0.86399999999999999</v>
      </c>
      <c r="Q61" s="36">
        <f t="shared" si="0"/>
        <v>13.890231588897484</v>
      </c>
      <c r="R61" s="22">
        <v>147</v>
      </c>
      <c r="S61" s="13">
        <v>41.27</v>
      </c>
      <c r="T61" s="12"/>
      <c r="U61" s="18">
        <f>(S61-S58)/R61*100</f>
        <v>13.03401360544218</v>
      </c>
    </row>
    <row r="62" spans="1:21" ht="14.5" x14ac:dyDescent="0.3">
      <c r="A62" s="27" t="s">
        <v>53</v>
      </c>
      <c r="B62" s="27" t="s">
        <v>54</v>
      </c>
      <c r="C62" s="28">
        <v>2011</v>
      </c>
      <c r="D62" s="30">
        <v>119.4</v>
      </c>
      <c r="E62" s="30">
        <v>32.4</v>
      </c>
      <c r="F62" s="21">
        <v>2008</v>
      </c>
      <c r="G62" s="27">
        <v>607.31999999999994</v>
      </c>
      <c r="H62" s="27">
        <v>677.04000000000008</v>
      </c>
      <c r="I62" s="27">
        <v>25.684000000000001</v>
      </c>
      <c r="J62" s="21">
        <v>1.42</v>
      </c>
      <c r="K62" s="37">
        <v>48.272727269999997</v>
      </c>
      <c r="L62" s="37">
        <v>34.18181818</v>
      </c>
      <c r="M62" s="37">
        <v>17.545454549999999</v>
      </c>
      <c r="N62" s="27">
        <v>7.43</v>
      </c>
      <c r="O62" s="30">
        <v>3.8747099767981439</v>
      </c>
      <c r="P62" s="27">
        <v>0.55000000000000004</v>
      </c>
      <c r="Q62" s="31">
        <f t="shared" si="0"/>
        <v>7.0449272305420791</v>
      </c>
      <c r="R62" s="21">
        <v>0</v>
      </c>
      <c r="S62" s="11">
        <v>0.39</v>
      </c>
      <c r="T62" s="46">
        <f>AVERAGE(S67,S62)</f>
        <v>0.40500000000000003</v>
      </c>
      <c r="U62" s="17">
        <v>0</v>
      </c>
    </row>
    <row r="63" spans="1:21" ht="14.5" x14ac:dyDescent="0.3">
      <c r="A63" s="27" t="s">
        <v>53</v>
      </c>
      <c r="B63" s="27" t="s">
        <v>54</v>
      </c>
      <c r="C63" s="28">
        <v>2011</v>
      </c>
      <c r="D63" s="30">
        <v>119.4</v>
      </c>
      <c r="E63" s="30">
        <v>32.4</v>
      </c>
      <c r="F63" s="21">
        <v>2008</v>
      </c>
      <c r="G63" s="27">
        <v>607.31999999999994</v>
      </c>
      <c r="H63" s="27">
        <v>677.04000000000008</v>
      </c>
      <c r="I63" s="27">
        <v>25.684000000000001</v>
      </c>
      <c r="J63" s="21">
        <v>1.42</v>
      </c>
      <c r="K63" s="37">
        <v>48.272727269999997</v>
      </c>
      <c r="L63" s="37">
        <v>34.18181818</v>
      </c>
      <c r="M63" s="37">
        <v>17.545454549999999</v>
      </c>
      <c r="N63" s="27">
        <v>7.43</v>
      </c>
      <c r="O63" s="30">
        <v>3.8747099767981439</v>
      </c>
      <c r="P63" s="27">
        <v>0.55000000000000004</v>
      </c>
      <c r="Q63" s="31">
        <f t="shared" ref="Q63:Q111" si="1">O63/P63</f>
        <v>7.0449272305420791</v>
      </c>
      <c r="R63" s="21">
        <v>100</v>
      </c>
      <c r="S63" s="11">
        <v>11.32</v>
      </c>
      <c r="U63" s="17">
        <f>(S63-S62)/R63*100</f>
        <v>10.93</v>
      </c>
    </row>
    <row r="64" spans="1:21" ht="14.5" x14ac:dyDescent="0.3">
      <c r="A64" s="27" t="s">
        <v>53</v>
      </c>
      <c r="B64" s="27" t="s">
        <v>54</v>
      </c>
      <c r="C64" s="28">
        <v>2011</v>
      </c>
      <c r="D64" s="30">
        <v>119.4</v>
      </c>
      <c r="E64" s="30">
        <v>32.4</v>
      </c>
      <c r="F64" s="21">
        <v>2008</v>
      </c>
      <c r="G64" s="27">
        <v>607.31999999999994</v>
      </c>
      <c r="H64" s="27">
        <v>677.04000000000008</v>
      </c>
      <c r="I64" s="27">
        <v>25.684000000000001</v>
      </c>
      <c r="J64" s="21">
        <v>1.42</v>
      </c>
      <c r="K64" s="37">
        <v>48.272727269999997</v>
      </c>
      <c r="L64" s="37">
        <v>34.18181818</v>
      </c>
      <c r="M64" s="37">
        <v>17.545454549999999</v>
      </c>
      <c r="N64" s="27">
        <v>7.43</v>
      </c>
      <c r="O64" s="30">
        <v>3.8747099767981439</v>
      </c>
      <c r="P64" s="27">
        <v>0.55000000000000004</v>
      </c>
      <c r="Q64" s="31">
        <f t="shared" si="1"/>
        <v>7.0449272305420791</v>
      </c>
      <c r="R64" s="21">
        <v>200</v>
      </c>
      <c r="S64" s="11">
        <v>35.42</v>
      </c>
      <c r="U64" s="17">
        <f>(S64-S62)/R64*100</f>
        <v>17.515000000000001</v>
      </c>
    </row>
    <row r="65" spans="1:21" ht="14.5" x14ac:dyDescent="0.3">
      <c r="A65" s="27" t="s">
        <v>53</v>
      </c>
      <c r="B65" s="27" t="s">
        <v>54</v>
      </c>
      <c r="C65" s="28">
        <v>2011</v>
      </c>
      <c r="D65" s="30">
        <v>119.4</v>
      </c>
      <c r="E65" s="30">
        <v>32.4</v>
      </c>
      <c r="F65" s="21">
        <v>2008</v>
      </c>
      <c r="G65" s="27">
        <v>607.31999999999994</v>
      </c>
      <c r="H65" s="27">
        <v>677.04000000000008</v>
      </c>
      <c r="I65" s="27">
        <v>25.684000000000001</v>
      </c>
      <c r="J65" s="21">
        <v>1.42</v>
      </c>
      <c r="K65" s="37">
        <v>48.272727269999997</v>
      </c>
      <c r="L65" s="37">
        <v>34.18181818</v>
      </c>
      <c r="M65" s="37">
        <v>17.545454549999999</v>
      </c>
      <c r="N65" s="27">
        <v>7.43</v>
      </c>
      <c r="O65" s="30">
        <v>3.8747099767981439</v>
      </c>
      <c r="P65" s="27">
        <v>0.55000000000000004</v>
      </c>
      <c r="Q65" s="31">
        <f t="shared" si="1"/>
        <v>7.0449272305420791</v>
      </c>
      <c r="R65" s="21">
        <v>300</v>
      </c>
      <c r="S65" s="11">
        <v>70.81</v>
      </c>
      <c r="U65" s="17">
        <f>(S65-S62)/R65*100</f>
        <v>23.473333333333336</v>
      </c>
    </row>
    <row r="66" spans="1:21" ht="14.5" x14ac:dyDescent="0.3">
      <c r="A66" s="27" t="s">
        <v>53</v>
      </c>
      <c r="B66" s="27" t="s">
        <v>54</v>
      </c>
      <c r="C66" s="28">
        <v>2011</v>
      </c>
      <c r="D66" s="30">
        <v>119.4</v>
      </c>
      <c r="E66" s="30">
        <v>32.4</v>
      </c>
      <c r="F66" s="21">
        <v>2008</v>
      </c>
      <c r="G66" s="27">
        <v>607.31999999999994</v>
      </c>
      <c r="H66" s="27">
        <v>677.04000000000008</v>
      </c>
      <c r="I66" s="27">
        <v>25.684000000000001</v>
      </c>
      <c r="J66" s="21">
        <v>1.42</v>
      </c>
      <c r="K66" s="37">
        <v>48.272727269999997</v>
      </c>
      <c r="L66" s="37">
        <v>34.18181818</v>
      </c>
      <c r="M66" s="37">
        <v>17.545454549999999</v>
      </c>
      <c r="N66" s="27">
        <v>7.43</v>
      </c>
      <c r="O66" s="30">
        <v>3.8747099767981439</v>
      </c>
      <c r="P66" s="27">
        <v>0.55000000000000004</v>
      </c>
      <c r="Q66" s="31">
        <f t="shared" si="1"/>
        <v>7.0449272305420791</v>
      </c>
      <c r="R66" s="21">
        <v>400</v>
      </c>
      <c r="S66" s="11">
        <v>102.43</v>
      </c>
      <c r="U66" s="17">
        <f>(S66-S62)/R66*100</f>
        <v>25.509999999999998</v>
      </c>
    </row>
    <row r="67" spans="1:21" ht="14.5" x14ac:dyDescent="0.3">
      <c r="A67" s="27" t="s">
        <v>53</v>
      </c>
      <c r="B67" s="27" t="s">
        <v>54</v>
      </c>
      <c r="C67" s="28">
        <v>2011</v>
      </c>
      <c r="D67" s="30">
        <v>119.4</v>
      </c>
      <c r="E67" s="30">
        <v>32.4</v>
      </c>
      <c r="F67" s="21">
        <v>2008</v>
      </c>
      <c r="G67" s="27">
        <v>607.31999999999994</v>
      </c>
      <c r="H67" s="27">
        <v>677.04000000000008</v>
      </c>
      <c r="I67" s="27">
        <v>25.684000000000001</v>
      </c>
      <c r="J67" s="21">
        <v>1.42</v>
      </c>
      <c r="K67" s="37">
        <v>48.272727269999997</v>
      </c>
      <c r="L67" s="37">
        <v>34.18181818</v>
      </c>
      <c r="M67" s="37">
        <v>17.545454549999999</v>
      </c>
      <c r="N67" s="27">
        <v>7.19</v>
      </c>
      <c r="O67" s="30">
        <v>5.6612529002320189</v>
      </c>
      <c r="P67" s="27">
        <v>0.76</v>
      </c>
      <c r="Q67" s="31">
        <f t="shared" si="1"/>
        <v>7.4490169739894982</v>
      </c>
      <c r="R67" s="21">
        <v>0</v>
      </c>
      <c r="S67" s="11">
        <v>0.42</v>
      </c>
      <c r="U67" s="17">
        <v>0</v>
      </c>
    </row>
    <row r="68" spans="1:21" ht="14.5" x14ac:dyDescent="0.3">
      <c r="A68" s="27" t="s">
        <v>53</v>
      </c>
      <c r="B68" s="27" t="s">
        <v>54</v>
      </c>
      <c r="C68" s="28">
        <v>2011</v>
      </c>
      <c r="D68" s="30">
        <v>119.4</v>
      </c>
      <c r="E68" s="30">
        <v>32.4</v>
      </c>
      <c r="F68" s="21">
        <v>2008</v>
      </c>
      <c r="G68" s="27">
        <v>607.31999999999994</v>
      </c>
      <c r="H68" s="27">
        <v>677.04000000000008</v>
      </c>
      <c r="I68" s="27">
        <v>25.684000000000001</v>
      </c>
      <c r="J68" s="21">
        <v>1.42</v>
      </c>
      <c r="K68" s="37">
        <v>48.272727269999997</v>
      </c>
      <c r="L68" s="37">
        <v>34.18181818</v>
      </c>
      <c r="M68" s="37">
        <v>17.545454549999999</v>
      </c>
      <c r="N68" s="27">
        <v>7.19</v>
      </c>
      <c r="O68" s="30">
        <v>5.6612529002320189</v>
      </c>
      <c r="P68" s="27">
        <v>0.76</v>
      </c>
      <c r="Q68" s="31">
        <f t="shared" si="1"/>
        <v>7.4490169739894982</v>
      </c>
      <c r="R68" s="21">
        <v>100</v>
      </c>
      <c r="S68" s="11">
        <v>10.92</v>
      </c>
      <c r="U68" s="17">
        <f>(S68-S67)/R68*100</f>
        <v>10.5</v>
      </c>
    </row>
    <row r="69" spans="1:21" ht="14.5" x14ac:dyDescent="0.3">
      <c r="A69" s="27" t="s">
        <v>53</v>
      </c>
      <c r="B69" s="27" t="s">
        <v>54</v>
      </c>
      <c r="C69" s="28">
        <v>2011</v>
      </c>
      <c r="D69" s="30">
        <v>119.4</v>
      </c>
      <c r="E69" s="30">
        <v>32.4</v>
      </c>
      <c r="F69" s="21">
        <v>2008</v>
      </c>
      <c r="G69" s="27">
        <v>607.31999999999994</v>
      </c>
      <c r="H69" s="27">
        <v>677.04000000000008</v>
      </c>
      <c r="I69" s="27">
        <v>25.684000000000001</v>
      </c>
      <c r="J69" s="21">
        <v>1.42</v>
      </c>
      <c r="K69" s="37">
        <v>48.272727269999997</v>
      </c>
      <c r="L69" s="37">
        <v>34.18181818</v>
      </c>
      <c r="M69" s="37">
        <v>17.545454549999999</v>
      </c>
      <c r="N69" s="27">
        <v>7.19</v>
      </c>
      <c r="O69" s="30">
        <v>5.6612529002320189</v>
      </c>
      <c r="P69" s="27">
        <v>0.76</v>
      </c>
      <c r="Q69" s="31">
        <f t="shared" si="1"/>
        <v>7.4490169739894982</v>
      </c>
      <c r="R69" s="21">
        <v>200</v>
      </c>
      <c r="S69" s="11">
        <v>28.56</v>
      </c>
      <c r="U69" s="17">
        <f>(S69-S67)/R69*100</f>
        <v>14.069999999999999</v>
      </c>
    </row>
    <row r="70" spans="1:21" ht="14.5" x14ac:dyDescent="0.3">
      <c r="A70" s="27" t="s">
        <v>53</v>
      </c>
      <c r="B70" s="27" t="s">
        <v>54</v>
      </c>
      <c r="C70" s="28">
        <v>2011</v>
      </c>
      <c r="D70" s="30">
        <v>119.4</v>
      </c>
      <c r="E70" s="30">
        <v>32.4</v>
      </c>
      <c r="F70" s="21">
        <v>2008</v>
      </c>
      <c r="G70" s="27">
        <v>607.31999999999994</v>
      </c>
      <c r="H70" s="27">
        <v>677.04000000000008</v>
      </c>
      <c r="I70" s="27">
        <v>25.684000000000001</v>
      </c>
      <c r="J70" s="21">
        <v>1.42</v>
      </c>
      <c r="K70" s="37">
        <v>48.272727269999997</v>
      </c>
      <c r="L70" s="37">
        <v>34.18181818</v>
      </c>
      <c r="M70" s="37">
        <v>17.545454549999999</v>
      </c>
      <c r="N70" s="27">
        <v>7.19</v>
      </c>
      <c r="O70" s="30">
        <v>5.6612529002320189</v>
      </c>
      <c r="P70" s="27">
        <v>0.76</v>
      </c>
      <c r="Q70" s="31">
        <f t="shared" si="1"/>
        <v>7.4490169739894982</v>
      </c>
      <c r="R70" s="21">
        <v>300</v>
      </c>
      <c r="S70" s="11">
        <v>55.26</v>
      </c>
      <c r="U70" s="17">
        <f>(S70-S67)/R70*100</f>
        <v>18.279999999999998</v>
      </c>
    </row>
    <row r="71" spans="1:21" s="6" customFormat="1" ht="14.5" x14ac:dyDescent="0.3">
      <c r="A71" s="32" t="s">
        <v>53</v>
      </c>
      <c r="B71" s="32" t="s">
        <v>54</v>
      </c>
      <c r="C71" s="33">
        <v>2011</v>
      </c>
      <c r="D71" s="35">
        <v>119.4</v>
      </c>
      <c r="E71" s="35">
        <v>32.4</v>
      </c>
      <c r="F71" s="22">
        <v>2008</v>
      </c>
      <c r="G71" s="32">
        <v>607.31999999999994</v>
      </c>
      <c r="H71" s="32">
        <v>677.04000000000008</v>
      </c>
      <c r="I71" s="32">
        <v>25.684000000000001</v>
      </c>
      <c r="J71" s="22">
        <v>1.42</v>
      </c>
      <c r="K71" s="38">
        <v>48.272727269999997</v>
      </c>
      <c r="L71" s="38">
        <v>34.18181818</v>
      </c>
      <c r="M71" s="38">
        <v>17.545454549999999</v>
      </c>
      <c r="N71" s="32">
        <v>7.19</v>
      </c>
      <c r="O71" s="35">
        <v>5.6612529002320189</v>
      </c>
      <c r="P71" s="32">
        <v>0.76</v>
      </c>
      <c r="Q71" s="36">
        <f t="shared" si="1"/>
        <v>7.4490169739894982</v>
      </c>
      <c r="R71" s="22">
        <v>400</v>
      </c>
      <c r="S71" s="13">
        <v>87.06</v>
      </c>
      <c r="T71" s="12"/>
      <c r="U71" s="18">
        <f>(S71-S67)/R71*100</f>
        <v>21.66</v>
      </c>
    </row>
    <row r="72" spans="1:21" ht="14.5" x14ac:dyDescent="0.3">
      <c r="A72" s="27" t="s">
        <v>55</v>
      </c>
      <c r="B72" s="27" t="s">
        <v>56</v>
      </c>
      <c r="C72" s="28">
        <v>2009</v>
      </c>
      <c r="D72" s="30">
        <v>120.2</v>
      </c>
      <c r="E72" s="30">
        <v>30.27</v>
      </c>
      <c r="F72" s="21">
        <v>2006</v>
      </c>
      <c r="G72" s="27">
        <v>518.52</v>
      </c>
      <c r="H72" s="27">
        <v>706.68000000000006</v>
      </c>
      <c r="I72" s="27">
        <v>25.3</v>
      </c>
      <c r="J72" s="21">
        <v>1.42</v>
      </c>
      <c r="K72" s="27">
        <v>35.799999999999997</v>
      </c>
      <c r="L72" s="27">
        <v>34.6</v>
      </c>
      <c r="M72" s="27">
        <v>29.6</v>
      </c>
      <c r="N72" s="27">
        <v>5.2</v>
      </c>
      <c r="O72" s="30">
        <v>12.993039443155451</v>
      </c>
      <c r="P72" s="27">
        <v>2.0089999999999999</v>
      </c>
      <c r="Q72" s="31">
        <f t="shared" si="1"/>
        <v>6.4674163480116738</v>
      </c>
      <c r="R72" s="21">
        <v>120</v>
      </c>
      <c r="S72" s="11">
        <v>7.8591549295774596</v>
      </c>
      <c r="T72" s="46">
        <f>S74</f>
        <v>2.70422535211268</v>
      </c>
      <c r="U72" s="17">
        <f>(S72-S74)/R72*100</f>
        <v>4.295774647887316</v>
      </c>
    </row>
    <row r="73" spans="1:21" ht="14.5" x14ac:dyDescent="0.3">
      <c r="A73" s="27" t="s">
        <v>55</v>
      </c>
      <c r="B73" s="27" t="s">
        <v>56</v>
      </c>
      <c r="C73" s="28">
        <v>2009</v>
      </c>
      <c r="D73" s="30">
        <v>120.2</v>
      </c>
      <c r="E73" s="30">
        <v>30.27</v>
      </c>
      <c r="F73" s="21">
        <v>2006</v>
      </c>
      <c r="G73" s="27">
        <v>518.52</v>
      </c>
      <c r="H73" s="27">
        <v>706.68000000000006</v>
      </c>
      <c r="I73" s="27">
        <v>25.3</v>
      </c>
      <c r="J73" s="21">
        <v>1.42</v>
      </c>
      <c r="K73" s="27">
        <v>35.799999999999997</v>
      </c>
      <c r="L73" s="27">
        <v>34.6</v>
      </c>
      <c r="M73" s="27">
        <v>29.6</v>
      </c>
      <c r="N73" s="27">
        <v>5.2</v>
      </c>
      <c r="O73" s="30">
        <v>12.993039443155451</v>
      </c>
      <c r="P73" s="27">
        <v>2.0089999999999999</v>
      </c>
      <c r="Q73" s="31">
        <f t="shared" si="1"/>
        <v>6.4674163480116738</v>
      </c>
      <c r="R73" s="21">
        <v>120</v>
      </c>
      <c r="S73" s="11">
        <v>9.8873239436619702</v>
      </c>
      <c r="U73" s="17">
        <f>(S73-S74)/R73*100</f>
        <v>5.9859154929577416</v>
      </c>
    </row>
    <row r="74" spans="1:21" ht="14.5" x14ac:dyDescent="0.3">
      <c r="A74" s="27" t="s">
        <v>55</v>
      </c>
      <c r="B74" s="27" t="s">
        <v>56</v>
      </c>
      <c r="C74" s="28">
        <v>2009</v>
      </c>
      <c r="D74" s="30">
        <v>120.2</v>
      </c>
      <c r="E74" s="30">
        <v>30.27</v>
      </c>
      <c r="F74" s="21">
        <v>2006</v>
      </c>
      <c r="G74" s="27">
        <v>518.52</v>
      </c>
      <c r="H74" s="27">
        <v>706.68000000000006</v>
      </c>
      <c r="I74" s="27">
        <v>25.3</v>
      </c>
      <c r="J74" s="21">
        <v>1.42</v>
      </c>
      <c r="K74" s="27">
        <v>35.799999999999997</v>
      </c>
      <c r="L74" s="27">
        <v>34.6</v>
      </c>
      <c r="M74" s="27">
        <v>29.6</v>
      </c>
      <c r="N74" s="27">
        <v>5.2</v>
      </c>
      <c r="O74" s="30">
        <v>12.993039443155451</v>
      </c>
      <c r="P74" s="27">
        <v>2.0089999999999999</v>
      </c>
      <c r="Q74" s="31">
        <f t="shared" si="1"/>
        <v>6.4674163480116738</v>
      </c>
      <c r="R74" s="21">
        <v>0</v>
      </c>
      <c r="S74" s="11">
        <v>2.70422535211268</v>
      </c>
      <c r="U74" s="17">
        <v>0</v>
      </c>
    </row>
    <row r="75" spans="1:21" ht="14.5" x14ac:dyDescent="0.3">
      <c r="A75" s="27" t="s">
        <v>55</v>
      </c>
      <c r="B75" s="27" t="s">
        <v>56</v>
      </c>
      <c r="C75" s="28">
        <v>2009</v>
      </c>
      <c r="D75" s="30">
        <v>120.2</v>
      </c>
      <c r="E75" s="30">
        <v>30.27</v>
      </c>
      <c r="F75" s="21">
        <v>2006</v>
      </c>
      <c r="G75" s="27">
        <v>518.52</v>
      </c>
      <c r="H75" s="27">
        <v>706.68000000000006</v>
      </c>
      <c r="I75" s="27">
        <v>25.3</v>
      </c>
      <c r="J75" s="21">
        <v>1.42</v>
      </c>
      <c r="K75" s="27">
        <v>35.799999999999997</v>
      </c>
      <c r="L75" s="27">
        <v>34.6</v>
      </c>
      <c r="M75" s="27">
        <v>29.6</v>
      </c>
      <c r="N75" s="27">
        <v>5.2</v>
      </c>
      <c r="O75" s="30">
        <v>12.993039443155451</v>
      </c>
      <c r="P75" s="27">
        <v>2.0089999999999999</v>
      </c>
      <c r="Q75" s="31">
        <f t="shared" si="1"/>
        <v>6.4674163480116738</v>
      </c>
      <c r="R75" s="21">
        <v>80</v>
      </c>
      <c r="S75" s="11">
        <v>7.1830985915493004</v>
      </c>
      <c r="U75" s="17">
        <f>(S75-S74)/R75*100</f>
        <v>5.598591549295775</v>
      </c>
    </row>
    <row r="76" spans="1:21" ht="14.5" x14ac:dyDescent="0.3">
      <c r="A76" s="27" t="s">
        <v>55</v>
      </c>
      <c r="B76" s="27" t="s">
        <v>56</v>
      </c>
      <c r="C76" s="28">
        <v>2009</v>
      </c>
      <c r="D76" s="30">
        <v>120.2</v>
      </c>
      <c r="E76" s="30">
        <v>30.27</v>
      </c>
      <c r="F76" s="21">
        <v>2006</v>
      </c>
      <c r="G76" s="27">
        <v>518.52</v>
      </c>
      <c r="H76" s="27">
        <v>706.68000000000006</v>
      </c>
      <c r="I76" s="27">
        <v>25.3</v>
      </c>
      <c r="J76" s="21">
        <v>1.42</v>
      </c>
      <c r="K76" s="27">
        <v>35.799999999999997</v>
      </c>
      <c r="L76" s="27">
        <v>34.6</v>
      </c>
      <c r="M76" s="27">
        <v>29.6</v>
      </c>
      <c r="N76" s="27">
        <v>5.2</v>
      </c>
      <c r="O76" s="30">
        <v>12.993039443155451</v>
      </c>
      <c r="P76" s="27">
        <v>2.0089999999999999</v>
      </c>
      <c r="Q76" s="31">
        <f t="shared" si="1"/>
        <v>6.4674163480116738</v>
      </c>
      <c r="R76" s="21">
        <v>160</v>
      </c>
      <c r="S76" s="11">
        <v>11.0704225352113</v>
      </c>
      <c r="U76" s="17">
        <f>(S76-S74)/R76*100</f>
        <v>5.2288732394366377</v>
      </c>
    </row>
    <row r="77" spans="1:21" s="6" customFormat="1" ht="14.5" x14ac:dyDescent="0.3">
      <c r="A77" s="32" t="s">
        <v>55</v>
      </c>
      <c r="B77" s="32" t="s">
        <v>56</v>
      </c>
      <c r="C77" s="33">
        <v>2009</v>
      </c>
      <c r="D77" s="35">
        <v>120.2</v>
      </c>
      <c r="E77" s="35">
        <v>30.27</v>
      </c>
      <c r="F77" s="22">
        <v>2006</v>
      </c>
      <c r="G77" s="32">
        <v>518.52</v>
      </c>
      <c r="H77" s="32">
        <v>706.68000000000006</v>
      </c>
      <c r="I77" s="32">
        <v>25.3</v>
      </c>
      <c r="J77" s="22">
        <v>1.42</v>
      </c>
      <c r="K77" s="32">
        <v>35.799999999999997</v>
      </c>
      <c r="L77" s="32">
        <v>34.6</v>
      </c>
      <c r="M77" s="32">
        <v>29.6</v>
      </c>
      <c r="N77" s="32">
        <v>5.2</v>
      </c>
      <c r="O77" s="35">
        <v>12.993039443155451</v>
      </c>
      <c r="P77" s="32">
        <v>2.0089999999999999</v>
      </c>
      <c r="Q77" s="36">
        <f t="shared" si="1"/>
        <v>6.4674163480116738</v>
      </c>
      <c r="R77" s="22">
        <v>240</v>
      </c>
      <c r="S77" s="13">
        <v>14.8732394366197</v>
      </c>
      <c r="T77" s="12"/>
      <c r="U77" s="18">
        <f>(S77-S74)/R77*100</f>
        <v>5.0704225352112591</v>
      </c>
    </row>
    <row r="78" spans="1:21" ht="14.5" x14ac:dyDescent="0.3">
      <c r="A78" s="27" t="s">
        <v>57</v>
      </c>
      <c r="B78" s="27" t="s">
        <v>58</v>
      </c>
      <c r="C78" s="28">
        <v>2012</v>
      </c>
      <c r="D78" s="30">
        <v>117.77</v>
      </c>
      <c r="E78" s="30">
        <v>31.65</v>
      </c>
      <c r="F78" s="21">
        <v>2010</v>
      </c>
      <c r="G78" s="27">
        <v>588.12</v>
      </c>
      <c r="H78" s="27">
        <v>592.55999999999995</v>
      </c>
      <c r="I78" s="27">
        <v>26.29</v>
      </c>
      <c r="J78" s="21">
        <v>1.4</v>
      </c>
      <c r="K78" s="27">
        <v>38</v>
      </c>
      <c r="L78" s="27">
        <v>37</v>
      </c>
      <c r="M78" s="27">
        <v>25</v>
      </c>
      <c r="N78" s="27">
        <v>6.99</v>
      </c>
      <c r="O78" s="30">
        <v>19.76218097447796</v>
      </c>
      <c r="P78" s="27">
        <v>1.58</v>
      </c>
      <c r="Q78" s="31">
        <f t="shared" si="1"/>
        <v>12.507709477517697</v>
      </c>
      <c r="R78" s="21">
        <v>0</v>
      </c>
      <c r="S78" s="11">
        <v>1.04</v>
      </c>
      <c r="T78" s="46">
        <f>S78</f>
        <v>1.04</v>
      </c>
      <c r="U78" s="17">
        <v>0</v>
      </c>
    </row>
    <row r="79" spans="1:21" ht="14.5" x14ac:dyDescent="0.3">
      <c r="A79" s="27" t="s">
        <v>57</v>
      </c>
      <c r="B79" s="27" t="s">
        <v>58</v>
      </c>
      <c r="C79" s="28">
        <v>2012</v>
      </c>
      <c r="D79" s="30">
        <v>117.77</v>
      </c>
      <c r="E79" s="30">
        <v>31.65</v>
      </c>
      <c r="F79" s="21">
        <v>2010</v>
      </c>
      <c r="G79" s="27">
        <v>588.12</v>
      </c>
      <c r="H79" s="27">
        <v>592.55999999999995</v>
      </c>
      <c r="I79" s="27">
        <v>26.29</v>
      </c>
      <c r="J79" s="21">
        <v>1.4</v>
      </c>
      <c r="K79" s="27">
        <v>38</v>
      </c>
      <c r="L79" s="27">
        <v>37</v>
      </c>
      <c r="M79" s="27">
        <v>25</v>
      </c>
      <c r="N79" s="27">
        <v>6.99</v>
      </c>
      <c r="O79" s="30">
        <v>19.76218097447796</v>
      </c>
      <c r="P79" s="27">
        <v>1.58</v>
      </c>
      <c r="Q79" s="31">
        <f t="shared" si="1"/>
        <v>12.507709477517697</v>
      </c>
      <c r="R79" s="21">
        <v>214</v>
      </c>
      <c r="S79" s="11">
        <v>15.24</v>
      </c>
      <c r="U79" s="17">
        <f>(S79-S78)/R79*100</f>
        <v>6.6355140186915875</v>
      </c>
    </row>
    <row r="80" spans="1:21" ht="14.5" x14ac:dyDescent="0.3">
      <c r="A80" s="27" t="s">
        <v>57</v>
      </c>
      <c r="B80" s="27" t="s">
        <v>58</v>
      </c>
      <c r="C80" s="28">
        <v>2012</v>
      </c>
      <c r="D80" s="30">
        <v>117.77</v>
      </c>
      <c r="E80" s="30">
        <v>31.65</v>
      </c>
      <c r="F80" s="21">
        <v>2010</v>
      </c>
      <c r="G80" s="27">
        <v>588.12</v>
      </c>
      <c r="H80" s="27">
        <v>592.55999999999995</v>
      </c>
      <c r="I80" s="27">
        <v>26.29</v>
      </c>
      <c r="J80" s="21">
        <v>1.4</v>
      </c>
      <c r="K80" s="27">
        <v>38</v>
      </c>
      <c r="L80" s="27">
        <v>37</v>
      </c>
      <c r="M80" s="27">
        <v>25</v>
      </c>
      <c r="N80" s="27">
        <v>6.99</v>
      </c>
      <c r="O80" s="30">
        <v>19.76218097447796</v>
      </c>
      <c r="P80" s="27">
        <v>1.58</v>
      </c>
      <c r="Q80" s="31">
        <f t="shared" si="1"/>
        <v>12.507709477517697</v>
      </c>
      <c r="R80" s="21">
        <v>225</v>
      </c>
      <c r="S80" s="11">
        <v>13.8</v>
      </c>
      <c r="U80" s="17">
        <f>(S80-S78)/R80*100</f>
        <v>5.6711111111111112</v>
      </c>
    </row>
    <row r="81" spans="1:21" ht="14.5" x14ac:dyDescent="0.3">
      <c r="A81" s="27" t="s">
        <v>57</v>
      </c>
      <c r="B81" s="27" t="s">
        <v>58</v>
      </c>
      <c r="C81" s="28">
        <v>2012</v>
      </c>
      <c r="D81" s="30">
        <v>117.77</v>
      </c>
      <c r="E81" s="30">
        <v>31.65</v>
      </c>
      <c r="F81" s="21">
        <v>2010</v>
      </c>
      <c r="G81" s="27">
        <v>588.12</v>
      </c>
      <c r="H81" s="27">
        <v>592.55999999999995</v>
      </c>
      <c r="I81" s="27">
        <v>26.29</v>
      </c>
      <c r="J81" s="21">
        <v>1.4</v>
      </c>
      <c r="K81" s="27">
        <v>38</v>
      </c>
      <c r="L81" s="27">
        <v>37</v>
      </c>
      <c r="M81" s="27">
        <v>25</v>
      </c>
      <c r="N81" s="27">
        <v>6.99</v>
      </c>
      <c r="O81" s="30">
        <v>19.76218097447796</v>
      </c>
      <c r="P81" s="27">
        <v>1.58</v>
      </c>
      <c r="Q81" s="31">
        <f t="shared" si="1"/>
        <v>12.507709477517697</v>
      </c>
      <c r="R81" s="21">
        <v>157.5</v>
      </c>
      <c r="S81" s="11">
        <v>9.93</v>
      </c>
      <c r="U81" s="17">
        <f>(S81-S78)/R81*100</f>
        <v>5.6444444444444448</v>
      </c>
    </row>
    <row r="82" spans="1:21" s="6" customFormat="1" ht="14.5" x14ac:dyDescent="0.3">
      <c r="A82" s="32" t="s">
        <v>57</v>
      </c>
      <c r="B82" s="32" t="s">
        <v>58</v>
      </c>
      <c r="C82" s="33">
        <v>2012</v>
      </c>
      <c r="D82" s="35">
        <v>117.77</v>
      </c>
      <c r="E82" s="35">
        <v>31.65</v>
      </c>
      <c r="F82" s="22">
        <v>2010</v>
      </c>
      <c r="G82" s="32">
        <v>588.12</v>
      </c>
      <c r="H82" s="32">
        <v>592.55999999999995</v>
      </c>
      <c r="I82" s="32">
        <v>26.29</v>
      </c>
      <c r="J82" s="22">
        <v>1.4</v>
      </c>
      <c r="K82" s="32">
        <v>38</v>
      </c>
      <c r="L82" s="32">
        <v>37</v>
      </c>
      <c r="M82" s="32">
        <v>25</v>
      </c>
      <c r="N82" s="32">
        <v>6.99</v>
      </c>
      <c r="O82" s="35">
        <v>19.76218097447796</v>
      </c>
      <c r="P82" s="32">
        <v>1.58</v>
      </c>
      <c r="Q82" s="36">
        <f t="shared" si="1"/>
        <v>12.507709477517697</v>
      </c>
      <c r="R82" s="22">
        <v>225</v>
      </c>
      <c r="S82" s="13">
        <v>12.93</v>
      </c>
      <c r="T82" s="12"/>
      <c r="U82" s="18">
        <f>(S82-S78)/R82*100</f>
        <v>5.2844444444444445</v>
      </c>
    </row>
    <row r="83" spans="1:21" ht="14.5" x14ac:dyDescent="0.3">
      <c r="A83" s="27" t="s">
        <v>59</v>
      </c>
      <c r="B83" s="27" t="s">
        <v>60</v>
      </c>
      <c r="C83" s="28">
        <v>2009</v>
      </c>
      <c r="D83" s="30">
        <v>111.55</v>
      </c>
      <c r="E83" s="30">
        <v>28.92</v>
      </c>
      <c r="F83" s="21">
        <v>2007</v>
      </c>
      <c r="G83" s="27">
        <v>701.28000000000009</v>
      </c>
      <c r="H83" s="27">
        <v>651.59999999999991</v>
      </c>
      <c r="I83" s="27">
        <v>26.620999999999999</v>
      </c>
      <c r="J83" s="21">
        <v>1.07</v>
      </c>
      <c r="K83" s="37">
        <v>40.488888889999998</v>
      </c>
      <c r="L83" s="37">
        <v>34.688888890000001</v>
      </c>
      <c r="M83" s="37">
        <v>24.82222222</v>
      </c>
      <c r="N83" s="27">
        <v>5.0599999999999996</v>
      </c>
      <c r="O83" s="30">
        <v>16.531322505800464</v>
      </c>
      <c r="P83" s="27">
        <v>2.726</v>
      </c>
      <c r="Q83" s="31">
        <f t="shared" si="1"/>
        <v>6.064314932428637</v>
      </c>
      <c r="R83" s="21">
        <v>0</v>
      </c>
      <c r="S83" s="11">
        <v>1.3</v>
      </c>
      <c r="T83" s="46">
        <f>AVERAGE(S87,S83)</f>
        <v>2.5499999999999998</v>
      </c>
      <c r="U83" s="17">
        <v>0</v>
      </c>
    </row>
    <row r="84" spans="1:21" ht="14.5" x14ac:dyDescent="0.3">
      <c r="A84" s="27" t="s">
        <v>59</v>
      </c>
      <c r="B84" s="27" t="s">
        <v>60</v>
      </c>
      <c r="C84" s="28">
        <v>2009</v>
      </c>
      <c r="D84" s="30">
        <v>111.55</v>
      </c>
      <c r="E84" s="30">
        <v>28.92</v>
      </c>
      <c r="F84" s="21">
        <v>2007</v>
      </c>
      <c r="G84" s="27">
        <v>701.28000000000009</v>
      </c>
      <c r="H84" s="27">
        <v>651.59999999999991</v>
      </c>
      <c r="I84" s="27">
        <v>26.620999999999999</v>
      </c>
      <c r="J84" s="21">
        <v>1.07</v>
      </c>
      <c r="K84" s="37">
        <v>40.488888889999998</v>
      </c>
      <c r="L84" s="37">
        <v>34.688888890000001</v>
      </c>
      <c r="M84" s="37">
        <v>24.82222222</v>
      </c>
      <c r="N84" s="27">
        <v>5.15</v>
      </c>
      <c r="O84" s="30">
        <v>16.009280742459399</v>
      </c>
      <c r="P84" s="27">
        <v>2.8660000000000001</v>
      </c>
      <c r="Q84" s="31">
        <f t="shared" si="1"/>
        <v>5.5859318710605024</v>
      </c>
      <c r="R84" s="21">
        <v>81.3</v>
      </c>
      <c r="S84" s="11">
        <v>10.1</v>
      </c>
      <c r="U84" s="17">
        <f>(S84-S83)/R84*100</f>
        <v>10.82410824108241</v>
      </c>
    </row>
    <row r="85" spans="1:21" ht="14.5" x14ac:dyDescent="0.3">
      <c r="A85" s="27" t="s">
        <v>59</v>
      </c>
      <c r="B85" s="27" t="s">
        <v>60</v>
      </c>
      <c r="C85" s="28">
        <v>2009</v>
      </c>
      <c r="D85" s="30">
        <v>111.55</v>
      </c>
      <c r="E85" s="30">
        <v>28.92</v>
      </c>
      <c r="F85" s="21">
        <v>2007</v>
      </c>
      <c r="G85" s="27">
        <v>701.28000000000009</v>
      </c>
      <c r="H85" s="27">
        <v>651.59999999999991</v>
      </c>
      <c r="I85" s="27">
        <v>26.620999999999999</v>
      </c>
      <c r="J85" s="21">
        <v>1.07</v>
      </c>
      <c r="K85" s="37">
        <v>40.488888889999998</v>
      </c>
      <c r="L85" s="37">
        <v>34.688888890000001</v>
      </c>
      <c r="M85" s="37">
        <v>24.82222222</v>
      </c>
      <c r="N85" s="27">
        <v>5.13</v>
      </c>
      <c r="O85" s="30">
        <v>16.473317865429234</v>
      </c>
      <c r="P85" s="27">
        <v>2.87</v>
      </c>
      <c r="Q85" s="31">
        <f t="shared" si="1"/>
        <v>5.7398320088603603</v>
      </c>
      <c r="R85" s="21">
        <v>81.3</v>
      </c>
      <c r="S85" s="11">
        <v>13.7</v>
      </c>
      <c r="U85" s="17">
        <f>(S85-S83)/R85*100</f>
        <v>15.252152521525215</v>
      </c>
    </row>
    <row r="86" spans="1:21" ht="14.5" x14ac:dyDescent="0.3">
      <c r="A86" s="27" t="s">
        <v>59</v>
      </c>
      <c r="B86" s="27" t="s">
        <v>60</v>
      </c>
      <c r="C86" s="28">
        <v>2009</v>
      </c>
      <c r="D86" s="30">
        <v>111.55</v>
      </c>
      <c r="E86" s="30">
        <v>28.92</v>
      </c>
      <c r="F86" s="21">
        <v>2007</v>
      </c>
      <c r="G86" s="27">
        <v>701.28000000000009</v>
      </c>
      <c r="H86" s="27">
        <v>651.59999999999991</v>
      </c>
      <c r="I86" s="27">
        <v>26.620999999999999</v>
      </c>
      <c r="J86" s="21">
        <v>1.07</v>
      </c>
      <c r="K86" s="37">
        <v>40.488888889999998</v>
      </c>
      <c r="L86" s="37">
        <v>34.688888890000001</v>
      </c>
      <c r="M86" s="37">
        <v>24.82222222</v>
      </c>
      <c r="N86" s="27">
        <v>4.9000000000000004</v>
      </c>
      <c r="O86" s="30">
        <v>18.039443155452439</v>
      </c>
      <c r="P86" s="27">
        <v>3.16</v>
      </c>
      <c r="Q86" s="31">
        <f t="shared" si="1"/>
        <v>5.7086845428646953</v>
      </c>
      <c r="R86" s="21">
        <v>81.3</v>
      </c>
      <c r="S86" s="11">
        <v>11.6</v>
      </c>
      <c r="U86" s="17">
        <f>(S86-S83)/R86*100</f>
        <v>12.669126691266912</v>
      </c>
    </row>
    <row r="87" spans="1:21" ht="14.5" x14ac:dyDescent="0.3">
      <c r="A87" s="27" t="s">
        <v>59</v>
      </c>
      <c r="B87" s="27" t="s">
        <v>60</v>
      </c>
      <c r="C87" s="28">
        <v>2009</v>
      </c>
      <c r="D87" s="30">
        <v>111.55</v>
      </c>
      <c r="E87" s="30">
        <v>28.92</v>
      </c>
      <c r="F87" s="21">
        <v>2007</v>
      </c>
      <c r="G87" s="27">
        <v>701.28000000000009</v>
      </c>
      <c r="H87" s="27">
        <v>651.59999999999991</v>
      </c>
      <c r="I87" s="27">
        <v>26.620999999999999</v>
      </c>
      <c r="J87" s="21">
        <v>1.07</v>
      </c>
      <c r="K87" s="37">
        <v>40.488888889999998</v>
      </c>
      <c r="L87" s="37">
        <v>34.688888890000001</v>
      </c>
      <c r="M87" s="37">
        <v>24.82222222</v>
      </c>
      <c r="N87" s="27">
        <v>5.0599999999999996</v>
      </c>
      <c r="O87" s="30">
        <v>16.531322505800464</v>
      </c>
      <c r="P87" s="27">
        <v>2.726</v>
      </c>
      <c r="Q87" s="31">
        <f t="shared" si="1"/>
        <v>6.064314932428637</v>
      </c>
      <c r="R87" s="21">
        <v>0</v>
      </c>
      <c r="S87" s="11">
        <v>3.8</v>
      </c>
      <c r="U87" s="17">
        <v>0</v>
      </c>
    </row>
    <row r="88" spans="1:21" ht="14.5" x14ac:dyDescent="0.3">
      <c r="A88" s="27" t="s">
        <v>59</v>
      </c>
      <c r="B88" s="27" t="s">
        <v>60</v>
      </c>
      <c r="C88" s="28">
        <v>2009</v>
      </c>
      <c r="D88" s="30">
        <v>111.55</v>
      </c>
      <c r="E88" s="30">
        <v>28.92</v>
      </c>
      <c r="F88" s="21">
        <v>2007</v>
      </c>
      <c r="G88" s="27">
        <v>701.28000000000009</v>
      </c>
      <c r="H88" s="27">
        <v>651.59999999999991</v>
      </c>
      <c r="I88" s="27">
        <v>26.620999999999999</v>
      </c>
      <c r="J88" s="21">
        <v>1.07</v>
      </c>
      <c r="K88" s="37">
        <v>40.488888889999998</v>
      </c>
      <c r="L88" s="37">
        <v>34.688888890000001</v>
      </c>
      <c r="M88" s="37">
        <v>24.82222222</v>
      </c>
      <c r="N88" s="27">
        <v>5.15</v>
      </c>
      <c r="O88" s="30">
        <v>16.009280742459399</v>
      </c>
      <c r="P88" s="27">
        <v>2.8660000000000001</v>
      </c>
      <c r="Q88" s="31">
        <f t="shared" si="1"/>
        <v>5.5859318710605024</v>
      </c>
      <c r="R88" s="21">
        <v>101.7</v>
      </c>
      <c r="S88" s="11">
        <v>19.899999999999999</v>
      </c>
      <c r="U88" s="17">
        <f>(S88-S87)/R88*100</f>
        <v>15.830875122910518</v>
      </c>
    </row>
    <row r="89" spans="1:21" ht="14.5" x14ac:dyDescent="0.3">
      <c r="A89" s="27" t="s">
        <v>59</v>
      </c>
      <c r="B89" s="27" t="s">
        <v>60</v>
      </c>
      <c r="C89" s="28">
        <v>2009</v>
      </c>
      <c r="D89" s="30">
        <v>111.55</v>
      </c>
      <c r="E89" s="30">
        <v>28.92</v>
      </c>
      <c r="F89" s="21">
        <v>2007</v>
      </c>
      <c r="G89" s="27">
        <v>701.28000000000009</v>
      </c>
      <c r="H89" s="27">
        <v>651.59999999999991</v>
      </c>
      <c r="I89" s="27">
        <v>26.620999999999999</v>
      </c>
      <c r="J89" s="21">
        <v>1.07</v>
      </c>
      <c r="K89" s="37">
        <v>40.488888889999998</v>
      </c>
      <c r="L89" s="37">
        <v>34.688888890000001</v>
      </c>
      <c r="M89" s="37">
        <v>24.82222222</v>
      </c>
      <c r="N89" s="27">
        <v>5.13</v>
      </c>
      <c r="O89" s="30">
        <v>16.473317865429234</v>
      </c>
      <c r="P89" s="27">
        <v>2.87</v>
      </c>
      <c r="Q89" s="31">
        <f t="shared" si="1"/>
        <v>5.7398320088603603</v>
      </c>
      <c r="R89" s="21">
        <v>101.7</v>
      </c>
      <c r="S89" s="11">
        <v>37.1</v>
      </c>
      <c r="U89" s="17">
        <f>(S89-S87)/R89*100</f>
        <v>32.743362831858406</v>
      </c>
    </row>
    <row r="90" spans="1:21" s="6" customFormat="1" ht="14.5" x14ac:dyDescent="0.3">
      <c r="A90" s="32" t="s">
        <v>59</v>
      </c>
      <c r="B90" s="32" t="s">
        <v>60</v>
      </c>
      <c r="C90" s="33">
        <v>2009</v>
      </c>
      <c r="D90" s="35">
        <v>111.55</v>
      </c>
      <c r="E90" s="35">
        <v>28.92</v>
      </c>
      <c r="F90" s="22">
        <v>2007</v>
      </c>
      <c r="G90" s="32">
        <v>701.28000000000009</v>
      </c>
      <c r="H90" s="32">
        <v>651.59999999999991</v>
      </c>
      <c r="I90" s="32">
        <v>26.620999999999999</v>
      </c>
      <c r="J90" s="22">
        <v>1.07</v>
      </c>
      <c r="K90" s="38">
        <v>40.488888889999998</v>
      </c>
      <c r="L90" s="38">
        <v>34.688888890000001</v>
      </c>
      <c r="M90" s="38">
        <v>24.82222222</v>
      </c>
      <c r="N90" s="32">
        <v>4.9000000000000004</v>
      </c>
      <c r="O90" s="35">
        <v>18.039443155452439</v>
      </c>
      <c r="P90" s="32">
        <v>3.16</v>
      </c>
      <c r="Q90" s="36">
        <f t="shared" si="1"/>
        <v>5.7086845428646953</v>
      </c>
      <c r="R90" s="22">
        <v>101.7</v>
      </c>
      <c r="S90" s="13">
        <v>18.7</v>
      </c>
      <c r="T90" s="12"/>
      <c r="U90" s="18">
        <f>(S90-S87)/R90*100</f>
        <v>14.650934119960668</v>
      </c>
    </row>
    <row r="91" spans="1:21" ht="14.5" x14ac:dyDescent="0.3">
      <c r="A91" s="27" t="s">
        <v>61</v>
      </c>
      <c r="B91" s="27" t="s">
        <v>62</v>
      </c>
      <c r="C91" s="28">
        <v>2012</v>
      </c>
      <c r="D91" s="30">
        <v>115.9</v>
      </c>
      <c r="E91" s="30">
        <v>23.35</v>
      </c>
      <c r="F91" s="21">
        <v>2010</v>
      </c>
      <c r="G91" s="27">
        <v>1188</v>
      </c>
      <c r="H91" s="27">
        <v>456.12</v>
      </c>
      <c r="I91" s="27">
        <v>23.7</v>
      </c>
      <c r="J91" s="21">
        <v>1.52</v>
      </c>
      <c r="K91" s="27">
        <v>42</v>
      </c>
      <c r="L91" s="27">
        <v>27.2</v>
      </c>
      <c r="M91" s="27">
        <v>30.8</v>
      </c>
      <c r="N91" s="27">
        <v>6.24</v>
      </c>
      <c r="O91" s="30">
        <v>15.226218097447797</v>
      </c>
      <c r="P91" s="27">
        <v>1.5</v>
      </c>
      <c r="Q91" s="31">
        <f t="shared" si="1"/>
        <v>10.150812064965198</v>
      </c>
      <c r="R91" s="21">
        <v>0</v>
      </c>
      <c r="S91" s="11">
        <v>5.03</v>
      </c>
      <c r="T91" s="46">
        <f>AVERAGE(S97,S91)</f>
        <v>2.9650000000000003</v>
      </c>
      <c r="U91" s="17">
        <v>0</v>
      </c>
    </row>
    <row r="92" spans="1:21" ht="14.5" x14ac:dyDescent="0.3">
      <c r="A92" s="27" t="s">
        <v>61</v>
      </c>
      <c r="B92" s="27" t="s">
        <v>62</v>
      </c>
      <c r="C92" s="28">
        <v>2012</v>
      </c>
      <c r="D92" s="30">
        <v>115.9</v>
      </c>
      <c r="E92" s="30">
        <v>23.35</v>
      </c>
      <c r="F92" s="21">
        <v>2010</v>
      </c>
      <c r="G92" s="27">
        <v>1188</v>
      </c>
      <c r="H92" s="27">
        <v>456.12</v>
      </c>
      <c r="I92" s="27">
        <v>23.7</v>
      </c>
      <c r="J92" s="21">
        <v>1.52</v>
      </c>
      <c r="K92" s="27">
        <v>42</v>
      </c>
      <c r="L92" s="27">
        <v>27.2</v>
      </c>
      <c r="M92" s="27">
        <v>30.8</v>
      </c>
      <c r="N92" s="27">
        <v>6.24</v>
      </c>
      <c r="O92" s="30">
        <v>15.226218097447797</v>
      </c>
      <c r="P92" s="27">
        <v>1.5</v>
      </c>
      <c r="Q92" s="31">
        <f t="shared" si="1"/>
        <v>10.150812064965198</v>
      </c>
      <c r="R92" s="21">
        <v>60</v>
      </c>
      <c r="S92" s="11">
        <v>22.6</v>
      </c>
      <c r="U92" s="17">
        <f>(S92-S91)/R92*100</f>
        <v>29.283333333333335</v>
      </c>
    </row>
    <row r="93" spans="1:21" ht="14.5" x14ac:dyDescent="0.3">
      <c r="A93" s="27" t="s">
        <v>61</v>
      </c>
      <c r="B93" s="27" t="s">
        <v>62</v>
      </c>
      <c r="C93" s="28">
        <v>2012</v>
      </c>
      <c r="D93" s="30">
        <v>115.9</v>
      </c>
      <c r="E93" s="30">
        <v>23.35</v>
      </c>
      <c r="F93" s="21">
        <v>2010</v>
      </c>
      <c r="G93" s="27">
        <v>1188</v>
      </c>
      <c r="H93" s="27">
        <v>456.12</v>
      </c>
      <c r="I93" s="27">
        <v>23.7</v>
      </c>
      <c r="J93" s="21">
        <v>1.52</v>
      </c>
      <c r="K93" s="27">
        <v>42</v>
      </c>
      <c r="L93" s="27">
        <v>27.2</v>
      </c>
      <c r="M93" s="27">
        <v>30.8</v>
      </c>
      <c r="N93" s="27">
        <v>6.24</v>
      </c>
      <c r="O93" s="30">
        <v>15.226218097447797</v>
      </c>
      <c r="P93" s="27">
        <v>1.5</v>
      </c>
      <c r="Q93" s="31">
        <f t="shared" si="1"/>
        <v>10.150812064965198</v>
      </c>
      <c r="R93" s="21">
        <v>120</v>
      </c>
      <c r="S93" s="11">
        <v>45.63</v>
      </c>
      <c r="U93" s="17">
        <f>(S93-S91)/R93*100</f>
        <v>33.833333333333329</v>
      </c>
    </row>
    <row r="94" spans="1:21" ht="14.5" x14ac:dyDescent="0.3">
      <c r="A94" s="27" t="s">
        <v>61</v>
      </c>
      <c r="B94" s="27" t="s">
        <v>62</v>
      </c>
      <c r="C94" s="28">
        <v>2012</v>
      </c>
      <c r="D94" s="30">
        <v>115.9</v>
      </c>
      <c r="E94" s="30">
        <v>23.35</v>
      </c>
      <c r="F94" s="21">
        <v>2010</v>
      </c>
      <c r="G94" s="27">
        <v>1188</v>
      </c>
      <c r="H94" s="27">
        <v>456.12</v>
      </c>
      <c r="I94" s="27">
        <v>23.7</v>
      </c>
      <c r="J94" s="21">
        <v>1.52</v>
      </c>
      <c r="K94" s="27">
        <v>42</v>
      </c>
      <c r="L94" s="27">
        <v>27.2</v>
      </c>
      <c r="M94" s="27">
        <v>30.8</v>
      </c>
      <c r="N94" s="27">
        <v>6.24</v>
      </c>
      <c r="O94" s="30">
        <v>15.226218097447797</v>
      </c>
      <c r="P94" s="27">
        <v>1.5</v>
      </c>
      <c r="Q94" s="31">
        <f t="shared" si="1"/>
        <v>10.150812064965198</v>
      </c>
      <c r="R94" s="21">
        <v>180</v>
      </c>
      <c r="S94" s="11">
        <v>72.73</v>
      </c>
      <c r="U94" s="17">
        <f>(S94-S91)/R94*100</f>
        <v>37.611111111111114</v>
      </c>
    </row>
    <row r="95" spans="1:21" ht="14.5" x14ac:dyDescent="0.3">
      <c r="A95" s="27" t="s">
        <v>61</v>
      </c>
      <c r="B95" s="27" t="s">
        <v>62</v>
      </c>
      <c r="C95" s="28">
        <v>2012</v>
      </c>
      <c r="D95" s="30">
        <v>115.9</v>
      </c>
      <c r="E95" s="30">
        <v>23.35</v>
      </c>
      <c r="F95" s="21">
        <v>2010</v>
      </c>
      <c r="G95" s="27">
        <v>1188</v>
      </c>
      <c r="H95" s="27">
        <v>456.12</v>
      </c>
      <c r="I95" s="27">
        <v>23.7</v>
      </c>
      <c r="J95" s="21">
        <v>1.52</v>
      </c>
      <c r="K95" s="27">
        <v>42</v>
      </c>
      <c r="L95" s="27">
        <v>27.2</v>
      </c>
      <c r="M95" s="27">
        <v>30.8</v>
      </c>
      <c r="N95" s="27">
        <v>6.24</v>
      </c>
      <c r="O95" s="30">
        <v>15.226218097447797</v>
      </c>
      <c r="P95" s="27">
        <v>1.5</v>
      </c>
      <c r="Q95" s="31">
        <f t="shared" si="1"/>
        <v>10.150812064965198</v>
      </c>
      <c r="R95" s="21">
        <v>240</v>
      </c>
      <c r="S95" s="11">
        <v>111.4</v>
      </c>
      <c r="U95" s="17">
        <f>(S95-S91)/R95*100</f>
        <v>44.32083333333334</v>
      </c>
    </row>
    <row r="96" spans="1:21" ht="14.5" x14ac:dyDescent="0.3">
      <c r="A96" s="27" t="s">
        <v>61</v>
      </c>
      <c r="B96" s="27" t="s">
        <v>62</v>
      </c>
      <c r="C96" s="28">
        <v>2012</v>
      </c>
      <c r="D96" s="30">
        <v>115.9</v>
      </c>
      <c r="E96" s="30">
        <v>23.35</v>
      </c>
      <c r="F96" s="21">
        <v>2010</v>
      </c>
      <c r="G96" s="27">
        <v>1188</v>
      </c>
      <c r="H96" s="27">
        <v>456.12</v>
      </c>
      <c r="I96" s="27">
        <v>23.7</v>
      </c>
      <c r="J96" s="21">
        <v>1.52</v>
      </c>
      <c r="K96" s="27">
        <v>42</v>
      </c>
      <c r="L96" s="27">
        <v>27.2</v>
      </c>
      <c r="M96" s="27">
        <v>30.8</v>
      </c>
      <c r="N96" s="27">
        <v>6.24</v>
      </c>
      <c r="O96" s="30">
        <v>15.226218097447797</v>
      </c>
      <c r="P96" s="27">
        <v>1.5</v>
      </c>
      <c r="Q96" s="31">
        <f t="shared" si="1"/>
        <v>10.150812064965198</v>
      </c>
      <c r="R96" s="21">
        <v>300</v>
      </c>
      <c r="S96" s="11">
        <v>162</v>
      </c>
      <c r="U96" s="17">
        <f>(S96-S91)/R96*100</f>
        <v>52.323333333333331</v>
      </c>
    </row>
    <row r="97" spans="1:21" ht="14.5" x14ac:dyDescent="0.3">
      <c r="A97" s="27" t="s">
        <v>61</v>
      </c>
      <c r="B97" s="27" t="s">
        <v>62</v>
      </c>
      <c r="C97" s="28">
        <v>2012</v>
      </c>
      <c r="D97" s="30">
        <v>115.9</v>
      </c>
      <c r="E97" s="30">
        <v>23.35</v>
      </c>
      <c r="F97" s="21">
        <v>2010</v>
      </c>
      <c r="G97" s="27">
        <v>1188</v>
      </c>
      <c r="H97" s="27">
        <v>456.12</v>
      </c>
      <c r="I97" s="27">
        <v>26.8</v>
      </c>
      <c r="J97" s="21">
        <v>1.52</v>
      </c>
      <c r="K97" s="27">
        <v>42</v>
      </c>
      <c r="L97" s="27">
        <v>27.2</v>
      </c>
      <c r="M97" s="27">
        <v>30.8</v>
      </c>
      <c r="N97" s="27">
        <v>6.24</v>
      </c>
      <c r="O97" s="30">
        <v>15.226218097447797</v>
      </c>
      <c r="P97" s="27">
        <v>1.5</v>
      </c>
      <c r="Q97" s="31">
        <f t="shared" si="1"/>
        <v>10.150812064965198</v>
      </c>
      <c r="R97" s="21">
        <v>0</v>
      </c>
      <c r="S97" s="11">
        <v>0.9</v>
      </c>
      <c r="U97" s="17">
        <v>0</v>
      </c>
    </row>
    <row r="98" spans="1:21" ht="14.5" x14ac:dyDescent="0.3">
      <c r="A98" s="27" t="s">
        <v>61</v>
      </c>
      <c r="B98" s="27" t="s">
        <v>62</v>
      </c>
      <c r="C98" s="28">
        <v>2012</v>
      </c>
      <c r="D98" s="30">
        <v>115.9</v>
      </c>
      <c r="E98" s="30">
        <v>23.35</v>
      </c>
      <c r="F98" s="21">
        <v>2010</v>
      </c>
      <c r="G98" s="27">
        <v>1188</v>
      </c>
      <c r="H98" s="27">
        <v>456.12</v>
      </c>
      <c r="I98" s="27">
        <v>26.8</v>
      </c>
      <c r="J98" s="21">
        <v>1.52</v>
      </c>
      <c r="K98" s="27">
        <v>42</v>
      </c>
      <c r="L98" s="27">
        <v>27.2</v>
      </c>
      <c r="M98" s="27">
        <v>30.8</v>
      </c>
      <c r="N98" s="27">
        <v>6.24</v>
      </c>
      <c r="O98" s="30">
        <v>15.226218097447797</v>
      </c>
      <c r="P98" s="27">
        <v>1.5</v>
      </c>
      <c r="Q98" s="31">
        <f t="shared" si="1"/>
        <v>10.150812064965198</v>
      </c>
      <c r="R98" s="21">
        <v>60</v>
      </c>
      <c r="S98" s="11">
        <v>22.35</v>
      </c>
      <c r="U98" s="17">
        <f>(S98-S97)/R98*100</f>
        <v>35.750000000000007</v>
      </c>
    </row>
    <row r="99" spans="1:21" ht="14.5" x14ac:dyDescent="0.3">
      <c r="A99" s="27" t="s">
        <v>61</v>
      </c>
      <c r="B99" s="27" t="s">
        <v>62</v>
      </c>
      <c r="C99" s="28">
        <v>2012</v>
      </c>
      <c r="D99" s="30">
        <v>115.9</v>
      </c>
      <c r="E99" s="30">
        <v>23.35</v>
      </c>
      <c r="F99" s="21">
        <v>2010</v>
      </c>
      <c r="G99" s="27">
        <v>1188</v>
      </c>
      <c r="H99" s="27">
        <v>456.12</v>
      </c>
      <c r="I99" s="27">
        <v>26.8</v>
      </c>
      <c r="J99" s="21">
        <v>1.52</v>
      </c>
      <c r="K99" s="27">
        <v>42</v>
      </c>
      <c r="L99" s="27">
        <v>27.2</v>
      </c>
      <c r="M99" s="27">
        <v>30.8</v>
      </c>
      <c r="N99" s="27">
        <v>6.24</v>
      </c>
      <c r="O99" s="30">
        <v>15.226218097447797</v>
      </c>
      <c r="P99" s="27">
        <v>1.5</v>
      </c>
      <c r="Q99" s="31">
        <f t="shared" si="1"/>
        <v>10.150812064965198</v>
      </c>
      <c r="R99" s="21">
        <v>120</v>
      </c>
      <c r="S99" s="11">
        <v>44.28</v>
      </c>
      <c r="U99" s="17">
        <f>(S99-S97)/R99*100</f>
        <v>36.150000000000006</v>
      </c>
    </row>
    <row r="100" spans="1:21" ht="14.5" x14ac:dyDescent="0.3">
      <c r="A100" s="27" t="s">
        <v>61</v>
      </c>
      <c r="B100" s="27" t="s">
        <v>62</v>
      </c>
      <c r="C100" s="28">
        <v>2012</v>
      </c>
      <c r="D100" s="30">
        <v>115.9</v>
      </c>
      <c r="E100" s="30">
        <v>23.35</v>
      </c>
      <c r="F100" s="21">
        <v>2010</v>
      </c>
      <c r="G100" s="27">
        <v>1188</v>
      </c>
      <c r="H100" s="27">
        <v>456.12</v>
      </c>
      <c r="I100" s="27">
        <v>26.8</v>
      </c>
      <c r="J100" s="21">
        <v>1.52</v>
      </c>
      <c r="K100" s="27">
        <v>42</v>
      </c>
      <c r="L100" s="27">
        <v>27.2</v>
      </c>
      <c r="M100" s="27">
        <v>30.8</v>
      </c>
      <c r="N100" s="27">
        <v>6.24</v>
      </c>
      <c r="O100" s="30">
        <v>15.226218097447797</v>
      </c>
      <c r="P100" s="27">
        <v>1.5</v>
      </c>
      <c r="Q100" s="31">
        <f t="shared" si="1"/>
        <v>10.150812064965198</v>
      </c>
      <c r="R100" s="21">
        <v>180</v>
      </c>
      <c r="S100" s="11">
        <v>75.33</v>
      </c>
      <c r="U100" s="17">
        <f>(S100-S97)/R100*100</f>
        <v>41.349999999999994</v>
      </c>
    </row>
    <row r="101" spans="1:21" ht="14.5" x14ac:dyDescent="0.3">
      <c r="A101" s="27" t="s">
        <v>61</v>
      </c>
      <c r="B101" s="27" t="s">
        <v>62</v>
      </c>
      <c r="C101" s="28">
        <v>2012</v>
      </c>
      <c r="D101" s="30">
        <v>115.9</v>
      </c>
      <c r="E101" s="30">
        <v>23.35</v>
      </c>
      <c r="F101" s="21">
        <v>2010</v>
      </c>
      <c r="G101" s="27">
        <v>1188</v>
      </c>
      <c r="H101" s="27">
        <v>456.12</v>
      </c>
      <c r="I101" s="27">
        <v>26.8</v>
      </c>
      <c r="J101" s="21">
        <v>1.52</v>
      </c>
      <c r="K101" s="27">
        <v>42</v>
      </c>
      <c r="L101" s="27">
        <v>27.2</v>
      </c>
      <c r="M101" s="27">
        <v>30.8</v>
      </c>
      <c r="N101" s="27">
        <v>6.24</v>
      </c>
      <c r="O101" s="30">
        <v>15.226218097447797</v>
      </c>
      <c r="P101" s="27">
        <v>1.5</v>
      </c>
      <c r="Q101" s="31">
        <f t="shared" si="1"/>
        <v>10.150812064965198</v>
      </c>
      <c r="R101" s="21">
        <v>240</v>
      </c>
      <c r="S101" s="11">
        <v>104.4</v>
      </c>
      <c r="U101" s="17">
        <f>(S101-S97)/R101*100</f>
        <v>43.125</v>
      </c>
    </row>
    <row r="102" spans="1:21" s="6" customFormat="1" ht="14.5" x14ac:dyDescent="0.3">
      <c r="A102" s="32" t="s">
        <v>61</v>
      </c>
      <c r="B102" s="32" t="s">
        <v>62</v>
      </c>
      <c r="C102" s="33">
        <v>2012</v>
      </c>
      <c r="D102" s="35">
        <v>115.9</v>
      </c>
      <c r="E102" s="35">
        <v>23.35</v>
      </c>
      <c r="F102" s="22">
        <v>2010</v>
      </c>
      <c r="G102" s="32">
        <v>1188</v>
      </c>
      <c r="H102" s="32">
        <v>456.12</v>
      </c>
      <c r="I102" s="32">
        <v>26.8</v>
      </c>
      <c r="J102" s="22">
        <v>1.52</v>
      </c>
      <c r="K102" s="32">
        <v>42</v>
      </c>
      <c r="L102" s="32">
        <v>27.2</v>
      </c>
      <c r="M102" s="32">
        <v>30.8</v>
      </c>
      <c r="N102" s="32">
        <v>6.24</v>
      </c>
      <c r="O102" s="35">
        <v>15.226218097447797</v>
      </c>
      <c r="P102" s="32">
        <v>1.5</v>
      </c>
      <c r="Q102" s="36">
        <f t="shared" si="1"/>
        <v>10.150812064965198</v>
      </c>
      <c r="R102" s="22">
        <v>300</v>
      </c>
      <c r="S102" s="13">
        <v>141.30000000000001</v>
      </c>
      <c r="T102" s="12"/>
      <c r="U102" s="18">
        <f>(S102-S97)/R102*100</f>
        <v>46.800000000000004</v>
      </c>
    </row>
    <row r="103" spans="1:21" ht="14.5" x14ac:dyDescent="0.3">
      <c r="A103" s="27" t="s">
        <v>63</v>
      </c>
      <c r="B103" s="27" t="s">
        <v>64</v>
      </c>
      <c r="C103" s="28">
        <v>2015</v>
      </c>
      <c r="D103" s="30">
        <v>120.42</v>
      </c>
      <c r="E103" s="30">
        <v>30.43</v>
      </c>
      <c r="F103" s="21">
        <v>2012</v>
      </c>
      <c r="G103" s="27">
        <v>753.12</v>
      </c>
      <c r="H103" s="27">
        <v>570.6</v>
      </c>
      <c r="I103" s="27">
        <v>26.501999999999999</v>
      </c>
      <c r="J103" s="21">
        <v>1.4</v>
      </c>
      <c r="K103" s="27">
        <v>30.9</v>
      </c>
      <c r="L103" s="27">
        <v>42.4</v>
      </c>
      <c r="M103" s="27">
        <v>26.7</v>
      </c>
      <c r="N103" s="27">
        <v>6.79</v>
      </c>
      <c r="O103" s="30">
        <v>20.498839907192579</v>
      </c>
      <c r="P103" s="27">
        <v>0.51</v>
      </c>
      <c r="Q103" s="31">
        <f t="shared" si="1"/>
        <v>40.193803739593292</v>
      </c>
      <c r="R103" s="21">
        <v>180</v>
      </c>
      <c r="S103" s="11">
        <v>10.1</v>
      </c>
      <c r="U103" s="17">
        <f>(S103-S104)/R103*100</f>
        <v>5.3666666666666671</v>
      </c>
    </row>
    <row r="104" spans="1:21" s="6" customFormat="1" ht="14.5" x14ac:dyDescent="0.3">
      <c r="A104" s="32" t="s">
        <v>63</v>
      </c>
      <c r="B104" s="32" t="s">
        <v>64</v>
      </c>
      <c r="C104" s="33">
        <v>2015</v>
      </c>
      <c r="D104" s="35">
        <v>120.42</v>
      </c>
      <c r="E104" s="35">
        <v>30.43</v>
      </c>
      <c r="F104" s="22">
        <v>2012</v>
      </c>
      <c r="G104" s="32">
        <v>753.12</v>
      </c>
      <c r="H104" s="32">
        <v>570.6</v>
      </c>
      <c r="I104" s="32">
        <v>26.501999999999999</v>
      </c>
      <c r="J104" s="22">
        <v>1.4</v>
      </c>
      <c r="K104" s="32">
        <v>30.9</v>
      </c>
      <c r="L104" s="32">
        <v>42.4</v>
      </c>
      <c r="M104" s="32">
        <v>26.7</v>
      </c>
      <c r="N104" s="32">
        <v>6.79</v>
      </c>
      <c r="O104" s="35">
        <v>20.498839907192579</v>
      </c>
      <c r="P104" s="32">
        <v>0.51</v>
      </c>
      <c r="Q104" s="36">
        <f t="shared" si="1"/>
        <v>40.193803739593292</v>
      </c>
      <c r="R104" s="22">
        <v>0</v>
      </c>
      <c r="S104" s="13">
        <v>0.44</v>
      </c>
      <c r="T104" s="12">
        <f>S104</f>
        <v>0.44</v>
      </c>
      <c r="U104" s="18">
        <v>0</v>
      </c>
    </row>
    <row r="105" spans="1:21" ht="14.5" x14ac:dyDescent="0.3">
      <c r="A105" s="27" t="s">
        <v>65</v>
      </c>
      <c r="B105" s="27" t="s">
        <v>66</v>
      </c>
      <c r="C105" s="28">
        <v>2014</v>
      </c>
      <c r="D105" s="30">
        <v>113.6</v>
      </c>
      <c r="E105" s="30">
        <v>28.2</v>
      </c>
      <c r="F105" s="21">
        <v>2013</v>
      </c>
      <c r="G105" s="27">
        <v>750.72</v>
      </c>
      <c r="H105" s="27">
        <v>510.23999999999995</v>
      </c>
      <c r="I105" s="27">
        <v>27.428999999999998</v>
      </c>
      <c r="J105" s="21">
        <v>1.07</v>
      </c>
      <c r="K105" s="37">
        <v>36.6122449</v>
      </c>
      <c r="L105" s="37">
        <v>31.673469390000001</v>
      </c>
      <c r="M105" s="37">
        <v>31.714285709999999</v>
      </c>
      <c r="N105" s="27">
        <v>5.7</v>
      </c>
      <c r="O105" s="30">
        <v>8.1032482598607896</v>
      </c>
      <c r="P105" s="27">
        <v>3.21</v>
      </c>
      <c r="Q105" s="31">
        <f t="shared" si="1"/>
        <v>2.524376404941056</v>
      </c>
      <c r="R105" s="21">
        <v>0</v>
      </c>
      <c r="S105" s="11">
        <v>11.97</v>
      </c>
      <c r="T105" s="46">
        <f>AVERAGE(S107,S105)</f>
        <v>13.495000000000001</v>
      </c>
      <c r="U105" s="17">
        <v>0</v>
      </c>
    </row>
    <row r="106" spans="1:21" ht="14.5" x14ac:dyDescent="0.3">
      <c r="A106" s="27" t="s">
        <v>65</v>
      </c>
      <c r="B106" s="27" t="s">
        <v>66</v>
      </c>
      <c r="C106" s="28">
        <v>2014</v>
      </c>
      <c r="D106" s="30">
        <v>113.6</v>
      </c>
      <c r="E106" s="30">
        <v>28.2</v>
      </c>
      <c r="F106" s="21">
        <v>2013</v>
      </c>
      <c r="G106" s="27">
        <v>750.72</v>
      </c>
      <c r="H106" s="27">
        <v>510.23999999999995</v>
      </c>
      <c r="I106" s="27">
        <v>27.428999999999998</v>
      </c>
      <c r="J106" s="21">
        <v>1.07</v>
      </c>
      <c r="K106" s="37">
        <v>36.6122449</v>
      </c>
      <c r="L106" s="37">
        <v>31.673469390000001</v>
      </c>
      <c r="M106" s="37">
        <v>31.714285709999999</v>
      </c>
      <c r="N106" s="27">
        <v>5.7</v>
      </c>
      <c r="O106" s="30">
        <v>8.1032482598607896</v>
      </c>
      <c r="P106" s="27">
        <v>3.21</v>
      </c>
      <c r="Q106" s="31">
        <f t="shared" si="1"/>
        <v>2.524376404941056</v>
      </c>
      <c r="R106" s="21">
        <v>150</v>
      </c>
      <c r="S106" s="11">
        <v>55.58</v>
      </c>
      <c r="U106" s="17">
        <f>(S106-S105)/R106*100</f>
        <v>29.073333333333334</v>
      </c>
    </row>
    <row r="107" spans="1:21" ht="14.5" x14ac:dyDescent="0.3">
      <c r="A107" s="27" t="s">
        <v>65</v>
      </c>
      <c r="B107" s="27" t="s">
        <v>66</v>
      </c>
      <c r="C107" s="28">
        <v>2014</v>
      </c>
      <c r="D107" s="30">
        <v>113.6</v>
      </c>
      <c r="E107" s="30">
        <v>28.2</v>
      </c>
      <c r="F107" s="21">
        <v>2013</v>
      </c>
      <c r="G107" s="27">
        <v>750.72</v>
      </c>
      <c r="H107" s="27">
        <v>510.23999999999995</v>
      </c>
      <c r="I107" s="27">
        <v>27.428999999999998</v>
      </c>
      <c r="J107" s="21">
        <v>1.07</v>
      </c>
      <c r="K107" s="37">
        <v>36.6122449</v>
      </c>
      <c r="L107" s="37">
        <v>31.673469390000001</v>
      </c>
      <c r="M107" s="37">
        <v>31.714285709999999</v>
      </c>
      <c r="N107" s="27">
        <v>5.7</v>
      </c>
      <c r="O107" s="30">
        <v>8.1032482598607896</v>
      </c>
      <c r="P107" s="27">
        <v>3.21</v>
      </c>
      <c r="Q107" s="31">
        <f t="shared" si="1"/>
        <v>2.524376404941056</v>
      </c>
      <c r="R107" s="21">
        <v>0</v>
      </c>
      <c r="S107" s="11">
        <v>15.02</v>
      </c>
      <c r="U107" s="17">
        <v>0</v>
      </c>
    </row>
    <row r="108" spans="1:21" s="6" customFormat="1" ht="14.5" x14ac:dyDescent="0.3">
      <c r="A108" s="32" t="s">
        <v>65</v>
      </c>
      <c r="B108" s="32" t="s">
        <v>66</v>
      </c>
      <c r="C108" s="33">
        <v>2014</v>
      </c>
      <c r="D108" s="35">
        <v>113.6</v>
      </c>
      <c r="E108" s="35">
        <v>28.2</v>
      </c>
      <c r="F108" s="22">
        <v>2013</v>
      </c>
      <c r="G108" s="32">
        <v>750.72</v>
      </c>
      <c r="H108" s="32">
        <v>510.23999999999995</v>
      </c>
      <c r="I108" s="32">
        <v>27.428999999999998</v>
      </c>
      <c r="J108" s="22">
        <v>1.07</v>
      </c>
      <c r="K108" s="38">
        <v>36.6122449</v>
      </c>
      <c r="L108" s="38">
        <v>31.673469390000001</v>
      </c>
      <c r="M108" s="38">
        <v>31.714285709999999</v>
      </c>
      <c r="N108" s="32">
        <v>5.7</v>
      </c>
      <c r="O108" s="35">
        <v>8.1032482598607896</v>
      </c>
      <c r="P108" s="32">
        <v>3.21</v>
      </c>
      <c r="Q108" s="36">
        <f t="shared" si="1"/>
        <v>2.524376404941056</v>
      </c>
      <c r="R108" s="22">
        <v>180</v>
      </c>
      <c r="S108" s="13">
        <v>50.54</v>
      </c>
      <c r="T108" s="12"/>
      <c r="U108" s="18">
        <f>(S108-S107)/R108*100</f>
        <v>19.733333333333331</v>
      </c>
    </row>
    <row r="109" spans="1:21" ht="14.5" x14ac:dyDescent="0.3">
      <c r="A109" s="27" t="s">
        <v>67</v>
      </c>
      <c r="B109" s="27" t="s">
        <v>68</v>
      </c>
      <c r="C109" s="28">
        <v>2013</v>
      </c>
      <c r="D109" s="30">
        <v>113.1</v>
      </c>
      <c r="E109" s="30">
        <v>28.2</v>
      </c>
      <c r="F109" s="21">
        <v>2011</v>
      </c>
      <c r="G109" s="27">
        <v>562.80000000000007</v>
      </c>
      <c r="H109" s="27">
        <v>618.12</v>
      </c>
      <c r="I109" s="27">
        <v>26.768000000000001</v>
      </c>
      <c r="J109" s="21">
        <v>1.4</v>
      </c>
      <c r="K109" s="37">
        <v>37.4</v>
      </c>
      <c r="L109" s="37">
        <v>33.549999999999997</v>
      </c>
      <c r="M109" s="37">
        <v>29.05</v>
      </c>
      <c r="N109" s="27">
        <v>6.77</v>
      </c>
      <c r="O109" s="30">
        <v>21.85034802784223</v>
      </c>
      <c r="P109" s="27">
        <v>1.92</v>
      </c>
      <c r="Q109" s="31">
        <f t="shared" si="1"/>
        <v>11.380389597834496</v>
      </c>
      <c r="R109" s="21">
        <v>0</v>
      </c>
      <c r="S109" s="11">
        <v>5.65</v>
      </c>
      <c r="T109" s="46">
        <f>AVERAGE(S115,S109)</f>
        <v>7.86</v>
      </c>
      <c r="U109" s="17">
        <v>0</v>
      </c>
    </row>
    <row r="110" spans="1:21" ht="14.5" x14ac:dyDescent="0.3">
      <c r="A110" s="27" t="s">
        <v>67</v>
      </c>
      <c r="B110" s="27" t="s">
        <v>68</v>
      </c>
      <c r="C110" s="28">
        <v>2013</v>
      </c>
      <c r="D110" s="30">
        <v>113.1</v>
      </c>
      <c r="E110" s="30">
        <v>28.2</v>
      </c>
      <c r="F110" s="21">
        <v>2011</v>
      </c>
      <c r="G110" s="27">
        <v>562.80000000000007</v>
      </c>
      <c r="H110" s="27">
        <v>618.12</v>
      </c>
      <c r="I110" s="27">
        <v>26.768000000000001</v>
      </c>
      <c r="J110" s="21">
        <v>1.4</v>
      </c>
      <c r="K110" s="37">
        <v>37.4</v>
      </c>
      <c r="L110" s="37">
        <v>33.549999999999997</v>
      </c>
      <c r="M110" s="37">
        <v>29.05</v>
      </c>
      <c r="N110" s="27">
        <v>6.77</v>
      </c>
      <c r="O110" s="30">
        <v>21.85034802784223</v>
      </c>
      <c r="P110" s="27">
        <v>1.92</v>
      </c>
      <c r="Q110" s="31">
        <f t="shared" si="1"/>
        <v>11.380389597834496</v>
      </c>
      <c r="R110" s="21">
        <v>112.5</v>
      </c>
      <c r="S110" s="11">
        <v>38.31</v>
      </c>
      <c r="U110" s="17">
        <f>(S110-S109)/R110*100</f>
        <v>29.031111111111112</v>
      </c>
    </row>
    <row r="111" spans="1:21" ht="14.5" x14ac:dyDescent="0.3">
      <c r="A111" s="27" t="s">
        <v>67</v>
      </c>
      <c r="B111" s="27" t="s">
        <v>68</v>
      </c>
      <c r="C111" s="28">
        <v>2013</v>
      </c>
      <c r="D111" s="30">
        <v>113.1</v>
      </c>
      <c r="E111" s="30">
        <v>28.2</v>
      </c>
      <c r="F111" s="21">
        <v>2011</v>
      </c>
      <c r="G111" s="27">
        <v>562.80000000000007</v>
      </c>
      <c r="H111" s="27">
        <v>618.12</v>
      </c>
      <c r="I111" s="27">
        <v>26.768000000000001</v>
      </c>
      <c r="J111" s="21">
        <v>1.4</v>
      </c>
      <c r="K111" s="37">
        <v>37.4</v>
      </c>
      <c r="L111" s="37">
        <v>33.549999999999997</v>
      </c>
      <c r="M111" s="37">
        <v>29.05</v>
      </c>
      <c r="N111" s="27">
        <v>6.77</v>
      </c>
      <c r="O111" s="30">
        <v>10.24941995359629</v>
      </c>
      <c r="P111" s="27">
        <v>1.92</v>
      </c>
      <c r="Q111" s="31">
        <f t="shared" si="1"/>
        <v>5.3382395591647347</v>
      </c>
      <c r="R111" s="21">
        <v>150</v>
      </c>
      <c r="S111" s="11">
        <v>65.67</v>
      </c>
      <c r="U111" s="17">
        <f>(S111-S109)/R111*100</f>
        <v>40.013333333333335</v>
      </c>
    </row>
    <row r="112" spans="1:21" ht="14.5" x14ac:dyDescent="0.3">
      <c r="A112" s="27" t="s">
        <v>67</v>
      </c>
      <c r="B112" s="27" t="s">
        <v>68</v>
      </c>
      <c r="C112" s="28">
        <v>2013</v>
      </c>
      <c r="D112" s="30">
        <v>113.1</v>
      </c>
      <c r="E112" s="30">
        <v>28.2</v>
      </c>
      <c r="F112" s="21">
        <v>2011</v>
      </c>
      <c r="G112" s="27">
        <v>562.80000000000007</v>
      </c>
      <c r="H112" s="27">
        <v>618.12</v>
      </c>
      <c r="I112" s="27">
        <v>26.768000000000001</v>
      </c>
      <c r="J112" s="21">
        <v>1.4</v>
      </c>
      <c r="K112" s="37">
        <v>37.4</v>
      </c>
      <c r="L112" s="37">
        <v>33.549999999999997</v>
      </c>
      <c r="M112" s="37">
        <v>29.05</v>
      </c>
      <c r="N112" s="27">
        <v>6.77</v>
      </c>
      <c r="O112" s="30">
        <v>10.24941995359629</v>
      </c>
      <c r="P112" s="27">
        <v>1.92</v>
      </c>
      <c r="Q112" s="31">
        <f t="shared" ref="Q112:Q175" si="2">O112/P112</f>
        <v>5.3382395591647347</v>
      </c>
      <c r="R112" s="21">
        <v>187.5</v>
      </c>
      <c r="S112" s="11">
        <v>85.2</v>
      </c>
      <c r="U112" s="17">
        <f>(S112-S109)/R112*100</f>
        <v>42.426666666666662</v>
      </c>
    </row>
    <row r="113" spans="1:21" ht="14.5" x14ac:dyDescent="0.3">
      <c r="A113" s="27" t="s">
        <v>67</v>
      </c>
      <c r="B113" s="27" t="s">
        <v>68</v>
      </c>
      <c r="C113" s="28">
        <v>2013</v>
      </c>
      <c r="D113" s="30">
        <v>113.1</v>
      </c>
      <c r="E113" s="30">
        <v>28.2</v>
      </c>
      <c r="F113" s="21">
        <v>2011</v>
      </c>
      <c r="G113" s="27">
        <v>562.80000000000007</v>
      </c>
      <c r="H113" s="27">
        <v>618.12</v>
      </c>
      <c r="I113" s="27">
        <v>26.768000000000001</v>
      </c>
      <c r="J113" s="21">
        <v>1.4</v>
      </c>
      <c r="K113" s="37">
        <v>37.4</v>
      </c>
      <c r="L113" s="37">
        <v>33.549999999999997</v>
      </c>
      <c r="M113" s="37">
        <v>29.05</v>
      </c>
      <c r="N113" s="27">
        <v>6.77</v>
      </c>
      <c r="O113" s="30">
        <v>10.24941995359629</v>
      </c>
      <c r="P113" s="27">
        <v>1.92</v>
      </c>
      <c r="Q113" s="31">
        <f t="shared" si="2"/>
        <v>5.3382395591647347</v>
      </c>
      <c r="R113" s="21">
        <v>225</v>
      </c>
      <c r="S113" s="11">
        <v>104.64</v>
      </c>
      <c r="U113" s="17">
        <f>(S113-S109)/R113*100</f>
        <v>43.995555555555555</v>
      </c>
    </row>
    <row r="114" spans="1:21" ht="14.5" x14ac:dyDescent="0.3">
      <c r="A114" s="27" t="s">
        <v>67</v>
      </c>
      <c r="B114" s="27" t="s">
        <v>68</v>
      </c>
      <c r="C114" s="28">
        <v>2013</v>
      </c>
      <c r="D114" s="30">
        <v>113.1</v>
      </c>
      <c r="E114" s="30">
        <v>28.2</v>
      </c>
      <c r="F114" s="21">
        <v>2011</v>
      </c>
      <c r="G114" s="27">
        <v>562.80000000000007</v>
      </c>
      <c r="H114" s="27">
        <v>618.12</v>
      </c>
      <c r="I114" s="27">
        <v>26.768000000000001</v>
      </c>
      <c r="J114" s="21">
        <v>1.4</v>
      </c>
      <c r="K114" s="37">
        <v>37.4</v>
      </c>
      <c r="L114" s="37">
        <v>33.549999999999997</v>
      </c>
      <c r="M114" s="37">
        <v>29.05</v>
      </c>
      <c r="N114" s="27">
        <v>6.77</v>
      </c>
      <c r="O114" s="30">
        <v>10.24941995359629</v>
      </c>
      <c r="P114" s="27">
        <v>1.92</v>
      </c>
      <c r="Q114" s="31">
        <f t="shared" si="2"/>
        <v>5.3382395591647347</v>
      </c>
      <c r="R114" s="21">
        <v>300</v>
      </c>
      <c r="S114" s="11">
        <v>137.97</v>
      </c>
      <c r="U114" s="17">
        <f>(S114-S109)/R114*100</f>
        <v>44.106666666666669</v>
      </c>
    </row>
    <row r="115" spans="1:21" ht="14.5" x14ac:dyDescent="0.3">
      <c r="A115" s="27" t="s">
        <v>67</v>
      </c>
      <c r="B115" s="27" t="s">
        <v>68</v>
      </c>
      <c r="C115" s="28">
        <v>2013</v>
      </c>
      <c r="D115" s="30">
        <v>113.1</v>
      </c>
      <c r="E115" s="30">
        <v>28.2</v>
      </c>
      <c r="F115" s="21">
        <v>2011</v>
      </c>
      <c r="G115" s="27">
        <v>562.80000000000007</v>
      </c>
      <c r="H115" s="27">
        <v>618.12</v>
      </c>
      <c r="I115" s="27">
        <v>26.768000000000001</v>
      </c>
      <c r="J115" s="21">
        <v>1.4</v>
      </c>
      <c r="K115" s="37">
        <v>37.4</v>
      </c>
      <c r="L115" s="37">
        <v>33.549999999999997</v>
      </c>
      <c r="M115" s="37">
        <v>29.05</v>
      </c>
      <c r="N115" s="27">
        <v>6.77</v>
      </c>
      <c r="O115" s="30">
        <v>21.85034802784223</v>
      </c>
      <c r="P115" s="27">
        <v>1.92</v>
      </c>
      <c r="Q115" s="31">
        <f t="shared" si="2"/>
        <v>11.380389597834496</v>
      </c>
      <c r="R115" s="21">
        <v>0</v>
      </c>
      <c r="S115" s="11">
        <v>10.07</v>
      </c>
      <c r="U115" s="17">
        <v>0</v>
      </c>
    </row>
    <row r="116" spans="1:21" ht="14.5" x14ac:dyDescent="0.3">
      <c r="A116" s="27" t="s">
        <v>67</v>
      </c>
      <c r="B116" s="27" t="s">
        <v>68</v>
      </c>
      <c r="C116" s="28">
        <v>2013</v>
      </c>
      <c r="D116" s="30">
        <v>113.1</v>
      </c>
      <c r="E116" s="30">
        <v>28.2</v>
      </c>
      <c r="F116" s="21">
        <v>2011</v>
      </c>
      <c r="G116" s="27">
        <v>562.80000000000007</v>
      </c>
      <c r="H116" s="27">
        <v>618.12</v>
      </c>
      <c r="I116" s="27">
        <v>26.768000000000001</v>
      </c>
      <c r="J116" s="21">
        <v>1.4</v>
      </c>
      <c r="K116" s="37">
        <v>37.4</v>
      </c>
      <c r="L116" s="37">
        <v>33.549999999999997</v>
      </c>
      <c r="M116" s="37">
        <v>29.05</v>
      </c>
      <c r="N116" s="27">
        <v>6.77</v>
      </c>
      <c r="O116" s="30">
        <v>10.24941995359629</v>
      </c>
      <c r="P116" s="27">
        <v>1.92</v>
      </c>
      <c r="Q116" s="31">
        <f t="shared" si="2"/>
        <v>5.3382395591647347</v>
      </c>
      <c r="R116" s="21">
        <v>135</v>
      </c>
      <c r="S116" s="11">
        <v>74.849999999999994</v>
      </c>
      <c r="U116" s="17">
        <f>(S116-S115)/R116*100</f>
        <v>47.985185185185188</v>
      </c>
    </row>
    <row r="117" spans="1:21" ht="14.5" x14ac:dyDescent="0.3">
      <c r="A117" s="27" t="s">
        <v>67</v>
      </c>
      <c r="B117" s="27" t="s">
        <v>68</v>
      </c>
      <c r="C117" s="28">
        <v>2013</v>
      </c>
      <c r="D117" s="30">
        <v>113.1</v>
      </c>
      <c r="E117" s="30">
        <v>28.2</v>
      </c>
      <c r="F117" s="21">
        <v>2011</v>
      </c>
      <c r="G117" s="27">
        <v>562.80000000000007</v>
      </c>
      <c r="H117" s="27">
        <v>618.12</v>
      </c>
      <c r="I117" s="27">
        <v>26.768000000000001</v>
      </c>
      <c r="J117" s="21">
        <v>1.4</v>
      </c>
      <c r="K117" s="37">
        <v>37.4</v>
      </c>
      <c r="L117" s="37">
        <v>33.549999999999997</v>
      </c>
      <c r="M117" s="37">
        <v>29.05</v>
      </c>
      <c r="N117" s="27">
        <v>6.77</v>
      </c>
      <c r="O117" s="30">
        <v>10.24941995359629</v>
      </c>
      <c r="P117" s="27">
        <v>1.92</v>
      </c>
      <c r="Q117" s="31">
        <f t="shared" si="2"/>
        <v>5.3382395591647347</v>
      </c>
      <c r="R117" s="21">
        <v>180</v>
      </c>
      <c r="S117" s="11">
        <v>94.42</v>
      </c>
      <c r="U117" s="17">
        <f>(S117-S115)/R117*100</f>
        <v>46.861111111111107</v>
      </c>
    </row>
    <row r="118" spans="1:21" ht="14.5" x14ac:dyDescent="0.3">
      <c r="A118" s="27" t="s">
        <v>67</v>
      </c>
      <c r="B118" s="27" t="s">
        <v>68</v>
      </c>
      <c r="C118" s="28">
        <v>2013</v>
      </c>
      <c r="D118" s="30">
        <v>113.1</v>
      </c>
      <c r="E118" s="30">
        <v>28.2</v>
      </c>
      <c r="F118" s="21">
        <v>2011</v>
      </c>
      <c r="G118" s="27">
        <v>562.80000000000007</v>
      </c>
      <c r="H118" s="27">
        <v>618.12</v>
      </c>
      <c r="I118" s="27">
        <v>26.768000000000001</v>
      </c>
      <c r="J118" s="21">
        <v>1.4</v>
      </c>
      <c r="K118" s="37">
        <v>37.4</v>
      </c>
      <c r="L118" s="37">
        <v>33.549999999999997</v>
      </c>
      <c r="M118" s="37">
        <v>29.05</v>
      </c>
      <c r="N118" s="27">
        <v>8.77</v>
      </c>
      <c r="O118" s="30">
        <v>10.24941995359629</v>
      </c>
      <c r="P118" s="27">
        <v>1.92</v>
      </c>
      <c r="Q118" s="31">
        <f t="shared" si="2"/>
        <v>5.3382395591647347</v>
      </c>
      <c r="R118" s="21">
        <v>225</v>
      </c>
      <c r="S118" s="11">
        <v>140.51</v>
      </c>
      <c r="U118" s="17">
        <f>(S118-S115)/R118*100</f>
        <v>57.973333333333329</v>
      </c>
    </row>
    <row r="119" spans="1:21" ht="14.5" x14ac:dyDescent="0.3">
      <c r="A119" s="27" t="s">
        <v>67</v>
      </c>
      <c r="B119" s="27" t="s">
        <v>68</v>
      </c>
      <c r="C119" s="28">
        <v>2013</v>
      </c>
      <c r="D119" s="30">
        <v>113.1</v>
      </c>
      <c r="E119" s="30">
        <v>28.2</v>
      </c>
      <c r="F119" s="21">
        <v>2011</v>
      </c>
      <c r="G119" s="27">
        <v>562.80000000000007</v>
      </c>
      <c r="H119" s="27">
        <v>618.12</v>
      </c>
      <c r="I119" s="27">
        <v>26.768000000000001</v>
      </c>
      <c r="J119" s="21">
        <v>1.4</v>
      </c>
      <c r="K119" s="37">
        <v>37.4</v>
      </c>
      <c r="L119" s="37">
        <v>33.549999999999997</v>
      </c>
      <c r="M119" s="37">
        <v>29.05</v>
      </c>
      <c r="N119" s="27">
        <v>8.77</v>
      </c>
      <c r="O119" s="30">
        <v>10.24941995359629</v>
      </c>
      <c r="P119" s="27">
        <v>1.92</v>
      </c>
      <c r="Q119" s="31">
        <f t="shared" si="2"/>
        <v>5.3382395591647347</v>
      </c>
      <c r="R119" s="21">
        <v>270</v>
      </c>
      <c r="S119" s="11">
        <v>182.02</v>
      </c>
      <c r="U119" s="17">
        <f>(S119-S115)/R119*100</f>
        <v>63.68518518518519</v>
      </c>
    </row>
    <row r="120" spans="1:21" s="6" customFormat="1" ht="14.5" x14ac:dyDescent="0.3">
      <c r="A120" s="32" t="s">
        <v>67</v>
      </c>
      <c r="B120" s="32" t="s">
        <v>68</v>
      </c>
      <c r="C120" s="33">
        <v>2013</v>
      </c>
      <c r="D120" s="35">
        <v>113.1</v>
      </c>
      <c r="E120" s="35">
        <v>28.2</v>
      </c>
      <c r="F120" s="22">
        <v>2011</v>
      </c>
      <c r="G120" s="32">
        <v>562.80000000000007</v>
      </c>
      <c r="H120" s="32">
        <v>618.12</v>
      </c>
      <c r="I120" s="32">
        <v>26.768000000000001</v>
      </c>
      <c r="J120" s="22">
        <v>1.4</v>
      </c>
      <c r="K120" s="38">
        <v>37.4</v>
      </c>
      <c r="L120" s="38">
        <v>33.549999999999997</v>
      </c>
      <c r="M120" s="38">
        <v>29.05</v>
      </c>
      <c r="N120" s="32">
        <v>8.77</v>
      </c>
      <c r="O120" s="35">
        <v>10.24941995359629</v>
      </c>
      <c r="P120" s="32">
        <v>1.92</v>
      </c>
      <c r="Q120" s="36">
        <f t="shared" si="2"/>
        <v>5.3382395591647347</v>
      </c>
      <c r="R120" s="22">
        <v>360</v>
      </c>
      <c r="S120" s="13">
        <v>239.34</v>
      </c>
      <c r="T120" s="12"/>
      <c r="U120" s="18">
        <f>(S120-S115)/R120*100</f>
        <v>63.68611111111111</v>
      </c>
    </row>
    <row r="121" spans="1:21" x14ac:dyDescent="0.3">
      <c r="A121" s="27" t="s">
        <v>69</v>
      </c>
      <c r="B121" s="27" t="s">
        <v>70</v>
      </c>
      <c r="C121" s="28">
        <v>2015</v>
      </c>
      <c r="D121" s="30">
        <v>120.68</v>
      </c>
      <c r="E121" s="30">
        <v>31.53</v>
      </c>
      <c r="F121" s="21">
        <v>2010</v>
      </c>
      <c r="G121" s="27">
        <v>507.24</v>
      </c>
      <c r="H121" s="27">
        <v>645.6</v>
      </c>
      <c r="I121" s="27">
        <v>26.361999999999998</v>
      </c>
      <c r="J121" s="21">
        <v>1.52</v>
      </c>
      <c r="K121" s="27">
        <v>36</v>
      </c>
      <c r="L121" s="37">
        <v>43</v>
      </c>
      <c r="M121" s="37">
        <v>21</v>
      </c>
      <c r="N121" s="27">
        <v>7.36</v>
      </c>
      <c r="O121" s="30">
        <v>20.301624129930396</v>
      </c>
      <c r="P121" s="27">
        <v>2.09</v>
      </c>
      <c r="Q121" s="31">
        <f t="shared" si="2"/>
        <v>9.7136957559475583</v>
      </c>
      <c r="R121" s="21">
        <v>0</v>
      </c>
      <c r="S121" s="11">
        <v>7.59</v>
      </c>
      <c r="T121" s="46">
        <f>S121</f>
        <v>7.59</v>
      </c>
      <c r="U121" s="17">
        <v>0</v>
      </c>
    </row>
    <row r="122" spans="1:21" x14ac:dyDescent="0.3">
      <c r="A122" s="27" t="s">
        <v>69</v>
      </c>
      <c r="B122" s="27" t="s">
        <v>70</v>
      </c>
      <c r="C122" s="28">
        <v>2015</v>
      </c>
      <c r="D122" s="30">
        <v>120.68</v>
      </c>
      <c r="E122" s="30">
        <v>31.53</v>
      </c>
      <c r="F122" s="21">
        <v>2010</v>
      </c>
      <c r="G122" s="27">
        <v>507.24</v>
      </c>
      <c r="H122" s="27">
        <v>645.6</v>
      </c>
      <c r="I122" s="27">
        <v>26.361999999999998</v>
      </c>
      <c r="J122" s="21">
        <v>1.52</v>
      </c>
      <c r="K122" s="27">
        <v>36</v>
      </c>
      <c r="L122" s="37">
        <v>43</v>
      </c>
      <c r="M122" s="37">
        <v>21</v>
      </c>
      <c r="N122" s="27">
        <v>7.36</v>
      </c>
      <c r="O122" s="30">
        <v>20.301624129930396</v>
      </c>
      <c r="P122" s="27">
        <v>2.09</v>
      </c>
      <c r="Q122" s="31">
        <f t="shared" si="2"/>
        <v>9.7136957559475583</v>
      </c>
      <c r="R122" s="21">
        <v>300</v>
      </c>
      <c r="S122" s="11">
        <v>49.2</v>
      </c>
      <c r="U122" s="17">
        <f>(S122-S121)/R122*100</f>
        <v>13.87</v>
      </c>
    </row>
    <row r="123" spans="1:21" s="6" customFormat="1" x14ac:dyDescent="0.3">
      <c r="A123" s="32" t="s">
        <v>69</v>
      </c>
      <c r="B123" s="32" t="s">
        <v>70</v>
      </c>
      <c r="C123" s="33">
        <v>2015</v>
      </c>
      <c r="D123" s="35">
        <v>120.68</v>
      </c>
      <c r="E123" s="35">
        <v>31.53</v>
      </c>
      <c r="F123" s="22">
        <v>2010</v>
      </c>
      <c r="G123" s="32">
        <v>507.24</v>
      </c>
      <c r="H123" s="32">
        <v>645.6</v>
      </c>
      <c r="I123" s="32">
        <v>26.361999999999998</v>
      </c>
      <c r="J123" s="22">
        <v>1.52</v>
      </c>
      <c r="K123" s="32">
        <v>36</v>
      </c>
      <c r="L123" s="38">
        <v>43</v>
      </c>
      <c r="M123" s="38">
        <v>21</v>
      </c>
      <c r="N123" s="32">
        <v>7.36</v>
      </c>
      <c r="O123" s="35">
        <v>20.301624129930396</v>
      </c>
      <c r="P123" s="32">
        <v>2.09</v>
      </c>
      <c r="Q123" s="36">
        <f t="shared" si="2"/>
        <v>9.7136957559475583</v>
      </c>
      <c r="R123" s="22">
        <v>225</v>
      </c>
      <c r="S123" s="13">
        <v>22.6</v>
      </c>
      <c r="T123" s="12"/>
      <c r="U123" s="18">
        <f>(S123-S121)/R123*100</f>
        <v>6.6711111111111121</v>
      </c>
    </row>
    <row r="124" spans="1:21" x14ac:dyDescent="0.3">
      <c r="A124" s="27" t="s">
        <v>71</v>
      </c>
      <c r="B124" s="27" t="s">
        <v>72</v>
      </c>
      <c r="C124" s="28">
        <v>2015</v>
      </c>
      <c r="D124" s="30">
        <v>115.55</v>
      </c>
      <c r="E124" s="30">
        <v>29.95</v>
      </c>
      <c r="F124" s="21">
        <v>2012</v>
      </c>
      <c r="G124" s="27">
        <v>715.8</v>
      </c>
      <c r="H124" s="27">
        <v>467.88</v>
      </c>
      <c r="I124" s="27">
        <v>27.015000000000001</v>
      </c>
      <c r="J124" s="21">
        <v>1.44</v>
      </c>
      <c r="K124" s="27">
        <v>24</v>
      </c>
      <c r="L124" s="27">
        <v>52</v>
      </c>
      <c r="M124" s="27">
        <v>24</v>
      </c>
      <c r="N124" s="27">
        <v>5.18</v>
      </c>
      <c r="O124" s="30">
        <v>13.839907192575406</v>
      </c>
      <c r="P124" s="27">
        <v>1.63</v>
      </c>
      <c r="Q124" s="31">
        <f t="shared" si="2"/>
        <v>8.4907406089419677</v>
      </c>
      <c r="R124" s="21">
        <v>216</v>
      </c>
      <c r="S124" s="11">
        <v>59.52</v>
      </c>
      <c r="U124" s="17">
        <f>(S124-S128)/R124*100</f>
        <v>25.944444444444446</v>
      </c>
    </row>
    <row r="125" spans="1:21" x14ac:dyDescent="0.3">
      <c r="A125" s="27" t="s">
        <v>71</v>
      </c>
      <c r="B125" s="27" t="s">
        <v>72</v>
      </c>
      <c r="C125" s="28">
        <v>2015</v>
      </c>
      <c r="D125" s="30">
        <v>115.55</v>
      </c>
      <c r="E125" s="30">
        <v>29.95</v>
      </c>
      <c r="F125" s="21">
        <v>2012</v>
      </c>
      <c r="G125" s="27">
        <v>715.8</v>
      </c>
      <c r="H125" s="27">
        <v>467.88</v>
      </c>
      <c r="I125" s="27">
        <v>27.015000000000001</v>
      </c>
      <c r="J125" s="21">
        <v>1.44</v>
      </c>
      <c r="K125" s="27">
        <v>24</v>
      </c>
      <c r="L125" s="27">
        <v>52</v>
      </c>
      <c r="M125" s="27">
        <v>24</v>
      </c>
      <c r="N125" s="27">
        <v>5.18</v>
      </c>
      <c r="O125" s="30">
        <v>13.839907192575406</v>
      </c>
      <c r="P125" s="27">
        <v>1.63</v>
      </c>
      <c r="Q125" s="31">
        <f t="shared" si="2"/>
        <v>8.4907406089419677</v>
      </c>
      <c r="R125" s="21">
        <v>216</v>
      </c>
      <c r="S125" s="11">
        <v>47.55</v>
      </c>
      <c r="U125" s="17">
        <f>(S125-S128)/R125*100</f>
        <v>20.402777777777779</v>
      </c>
    </row>
    <row r="126" spans="1:21" x14ac:dyDescent="0.3">
      <c r="A126" s="27" t="s">
        <v>71</v>
      </c>
      <c r="B126" s="27" t="s">
        <v>72</v>
      </c>
      <c r="C126" s="28">
        <v>2015</v>
      </c>
      <c r="D126" s="30">
        <v>115.55</v>
      </c>
      <c r="E126" s="30">
        <v>29.95</v>
      </c>
      <c r="F126" s="21">
        <v>2012</v>
      </c>
      <c r="G126" s="27">
        <v>715.8</v>
      </c>
      <c r="H126" s="27">
        <v>467.88</v>
      </c>
      <c r="I126" s="27">
        <v>27.015000000000001</v>
      </c>
      <c r="J126" s="21">
        <v>1.44</v>
      </c>
      <c r="K126" s="27">
        <v>24</v>
      </c>
      <c r="L126" s="27">
        <v>52</v>
      </c>
      <c r="M126" s="27">
        <v>24</v>
      </c>
      <c r="N126" s="27">
        <v>5.18</v>
      </c>
      <c r="O126" s="30">
        <v>13.839907192575406</v>
      </c>
      <c r="P126" s="27">
        <v>1.63</v>
      </c>
      <c r="Q126" s="31">
        <f t="shared" si="2"/>
        <v>8.4907406089419677</v>
      </c>
      <c r="R126" s="21">
        <v>216</v>
      </c>
      <c r="S126" s="11">
        <v>39.26</v>
      </c>
      <c r="U126" s="17">
        <f>(S126-S128)/R126*100</f>
        <v>16.564814814814817</v>
      </c>
    </row>
    <row r="127" spans="1:21" x14ac:dyDescent="0.3">
      <c r="A127" s="27" t="s">
        <v>71</v>
      </c>
      <c r="B127" s="27" t="s">
        <v>72</v>
      </c>
      <c r="C127" s="28">
        <v>2015</v>
      </c>
      <c r="D127" s="30">
        <v>115.55</v>
      </c>
      <c r="E127" s="30">
        <v>29.95</v>
      </c>
      <c r="F127" s="21">
        <v>2012</v>
      </c>
      <c r="G127" s="27">
        <v>715.8</v>
      </c>
      <c r="H127" s="27">
        <v>467.88</v>
      </c>
      <c r="I127" s="27">
        <v>27.015000000000001</v>
      </c>
      <c r="J127" s="21">
        <v>1.44</v>
      </c>
      <c r="K127" s="27">
        <v>24</v>
      </c>
      <c r="L127" s="27">
        <v>52</v>
      </c>
      <c r="M127" s="27">
        <v>24</v>
      </c>
      <c r="N127" s="27">
        <v>5.18</v>
      </c>
      <c r="O127" s="30">
        <v>13.839907192575406</v>
      </c>
      <c r="P127" s="27">
        <v>1.63</v>
      </c>
      <c r="Q127" s="31">
        <f t="shared" si="2"/>
        <v>8.4907406089419677</v>
      </c>
      <c r="R127" s="21">
        <v>216</v>
      </c>
      <c r="S127" s="11">
        <v>32.72</v>
      </c>
      <c r="U127" s="17">
        <f>(S127-S128)/R127*100</f>
        <v>13.537037037037036</v>
      </c>
    </row>
    <row r="128" spans="1:21" x14ac:dyDescent="0.3">
      <c r="A128" s="27" t="s">
        <v>71</v>
      </c>
      <c r="B128" s="27" t="s">
        <v>72</v>
      </c>
      <c r="C128" s="28">
        <v>2015</v>
      </c>
      <c r="D128" s="30">
        <v>115.55</v>
      </c>
      <c r="E128" s="30">
        <v>29.95</v>
      </c>
      <c r="F128" s="21">
        <v>2013</v>
      </c>
      <c r="G128" s="27">
        <v>747.36</v>
      </c>
      <c r="H128" s="27">
        <v>634.07999999999993</v>
      </c>
      <c r="I128" s="27">
        <v>27.712</v>
      </c>
      <c r="J128" s="21">
        <v>1.44</v>
      </c>
      <c r="K128" s="27">
        <v>24</v>
      </c>
      <c r="L128" s="27">
        <v>52</v>
      </c>
      <c r="M128" s="27">
        <v>24</v>
      </c>
      <c r="N128" s="27">
        <v>5.18</v>
      </c>
      <c r="O128" s="30">
        <v>13.839907192575406</v>
      </c>
      <c r="P128" s="27">
        <v>1.63</v>
      </c>
      <c r="Q128" s="31">
        <f t="shared" si="2"/>
        <v>8.4907406089419677</v>
      </c>
      <c r="R128" s="21">
        <v>0</v>
      </c>
      <c r="S128" s="11">
        <v>3.48</v>
      </c>
      <c r="T128" s="46">
        <f>S128</f>
        <v>3.48</v>
      </c>
      <c r="U128" s="17">
        <v>0</v>
      </c>
    </row>
    <row r="129" spans="1:21" x14ac:dyDescent="0.3">
      <c r="A129" s="27" t="s">
        <v>71</v>
      </c>
      <c r="B129" s="27" t="s">
        <v>72</v>
      </c>
      <c r="C129" s="28">
        <v>2015</v>
      </c>
      <c r="D129" s="30">
        <v>115.55</v>
      </c>
      <c r="E129" s="30">
        <v>29.95</v>
      </c>
      <c r="F129" s="21">
        <v>2013</v>
      </c>
      <c r="G129" s="27">
        <v>747.36</v>
      </c>
      <c r="H129" s="27">
        <v>634.07999999999993</v>
      </c>
      <c r="I129" s="27">
        <v>27.712</v>
      </c>
      <c r="J129" s="21">
        <v>1.44</v>
      </c>
      <c r="K129" s="27">
        <v>24</v>
      </c>
      <c r="L129" s="27">
        <v>52</v>
      </c>
      <c r="M129" s="27">
        <v>24</v>
      </c>
      <c r="N129" s="27">
        <v>5.18</v>
      </c>
      <c r="O129" s="30">
        <v>13.839907192575406</v>
      </c>
      <c r="P129" s="27">
        <v>1.63</v>
      </c>
      <c r="Q129" s="31">
        <f t="shared" si="2"/>
        <v>8.4907406089419677</v>
      </c>
      <c r="R129" s="21">
        <v>216</v>
      </c>
      <c r="S129" s="11">
        <v>64.77</v>
      </c>
      <c r="U129" s="17">
        <f>(S129-S128)/R129*100</f>
        <v>28.375</v>
      </c>
    </row>
    <row r="130" spans="1:21" x14ac:dyDescent="0.3">
      <c r="A130" s="27" t="s">
        <v>71</v>
      </c>
      <c r="B130" s="27" t="s">
        <v>72</v>
      </c>
      <c r="C130" s="28">
        <v>2015</v>
      </c>
      <c r="D130" s="30">
        <v>115.55</v>
      </c>
      <c r="E130" s="30">
        <v>29.95</v>
      </c>
      <c r="F130" s="21">
        <v>2013</v>
      </c>
      <c r="G130" s="27">
        <v>747.36</v>
      </c>
      <c r="H130" s="27">
        <v>634.07999999999993</v>
      </c>
      <c r="I130" s="27">
        <v>27.712</v>
      </c>
      <c r="J130" s="21">
        <v>1.44</v>
      </c>
      <c r="K130" s="27">
        <v>24</v>
      </c>
      <c r="L130" s="27">
        <v>52</v>
      </c>
      <c r="M130" s="27">
        <v>24</v>
      </c>
      <c r="N130" s="27">
        <v>5.18</v>
      </c>
      <c r="O130" s="30">
        <v>13.839907192575406</v>
      </c>
      <c r="P130" s="27">
        <v>1.63</v>
      </c>
      <c r="Q130" s="31">
        <f t="shared" si="2"/>
        <v>8.4907406089419677</v>
      </c>
      <c r="R130" s="21">
        <v>216</v>
      </c>
      <c r="S130" s="11">
        <v>55.09</v>
      </c>
      <c r="U130" s="17">
        <f>(S130-S128)/R130*100</f>
        <v>23.893518518518523</v>
      </c>
    </row>
    <row r="131" spans="1:21" x14ac:dyDescent="0.3">
      <c r="A131" s="27" t="s">
        <v>71</v>
      </c>
      <c r="B131" s="27" t="s">
        <v>72</v>
      </c>
      <c r="C131" s="28">
        <v>2015</v>
      </c>
      <c r="D131" s="30">
        <v>115.55</v>
      </c>
      <c r="E131" s="30">
        <v>29.95</v>
      </c>
      <c r="F131" s="21">
        <v>2013</v>
      </c>
      <c r="G131" s="27">
        <v>747.36</v>
      </c>
      <c r="H131" s="27">
        <v>634.07999999999993</v>
      </c>
      <c r="I131" s="27">
        <v>27.712</v>
      </c>
      <c r="J131" s="21">
        <v>1.44</v>
      </c>
      <c r="K131" s="27">
        <v>24</v>
      </c>
      <c r="L131" s="27">
        <v>52</v>
      </c>
      <c r="M131" s="27">
        <v>24</v>
      </c>
      <c r="N131" s="27">
        <v>5.18</v>
      </c>
      <c r="O131" s="30">
        <v>13.839907192575406</v>
      </c>
      <c r="P131" s="27">
        <v>1.63</v>
      </c>
      <c r="Q131" s="31">
        <f t="shared" si="2"/>
        <v>8.4907406089419677</v>
      </c>
      <c r="R131" s="21">
        <v>216</v>
      </c>
      <c r="S131" s="11">
        <v>46.97</v>
      </c>
      <c r="U131" s="17">
        <f>(S131-S128)/R131*100</f>
        <v>20.13425925925926</v>
      </c>
    </row>
    <row r="132" spans="1:21" s="6" customFormat="1" x14ac:dyDescent="0.3">
      <c r="A132" s="32" t="s">
        <v>71</v>
      </c>
      <c r="B132" s="32" t="s">
        <v>72</v>
      </c>
      <c r="C132" s="33">
        <v>2015</v>
      </c>
      <c r="D132" s="35">
        <v>115.55</v>
      </c>
      <c r="E132" s="35">
        <v>29.95</v>
      </c>
      <c r="F132" s="22">
        <v>2013</v>
      </c>
      <c r="G132" s="32">
        <v>747.36</v>
      </c>
      <c r="H132" s="32">
        <v>634.07999999999993</v>
      </c>
      <c r="I132" s="32">
        <v>27.712</v>
      </c>
      <c r="J132" s="22">
        <v>1.44</v>
      </c>
      <c r="K132" s="32">
        <v>24</v>
      </c>
      <c r="L132" s="32">
        <v>52</v>
      </c>
      <c r="M132" s="32">
        <v>24</v>
      </c>
      <c r="N132" s="32">
        <v>5.18</v>
      </c>
      <c r="O132" s="35">
        <v>13.839907192575406</v>
      </c>
      <c r="P132" s="32">
        <v>1.63</v>
      </c>
      <c r="Q132" s="36">
        <f t="shared" si="2"/>
        <v>8.4907406089419677</v>
      </c>
      <c r="R132" s="22">
        <v>216</v>
      </c>
      <c r="S132" s="13">
        <v>38.78</v>
      </c>
      <c r="T132" s="12"/>
      <c r="U132" s="18">
        <f>(S132-S128)/R132*100</f>
        <v>16.342592592592595</v>
      </c>
    </row>
    <row r="133" spans="1:21" x14ac:dyDescent="0.3">
      <c r="A133" s="27" t="s">
        <v>73</v>
      </c>
      <c r="B133" s="27" t="s">
        <v>70</v>
      </c>
      <c r="C133" s="28">
        <v>2013</v>
      </c>
      <c r="D133" s="30">
        <v>120.68</v>
      </c>
      <c r="E133" s="30">
        <v>31.53</v>
      </c>
      <c r="F133" s="21">
        <v>2009</v>
      </c>
      <c r="G133" s="27">
        <v>726.96</v>
      </c>
      <c r="H133" s="27">
        <v>779.28</v>
      </c>
      <c r="I133" s="27">
        <v>26.225999999999999</v>
      </c>
      <c r="J133" s="21">
        <v>1.52</v>
      </c>
      <c r="K133" s="27">
        <v>36</v>
      </c>
      <c r="L133" s="27">
        <v>43</v>
      </c>
      <c r="M133" s="27">
        <v>21</v>
      </c>
      <c r="N133" s="27">
        <v>7.36</v>
      </c>
      <c r="O133" s="30">
        <v>16.473317865429234</v>
      </c>
      <c r="P133" s="27">
        <v>2.09</v>
      </c>
      <c r="Q133" s="31">
        <f t="shared" si="2"/>
        <v>7.8819702705403039</v>
      </c>
      <c r="R133" s="21">
        <v>0</v>
      </c>
      <c r="S133" s="11">
        <v>1.29</v>
      </c>
      <c r="T133" s="46">
        <f>AVERAGE(S136,S133)</f>
        <v>4.4399999999999995</v>
      </c>
      <c r="U133" s="17">
        <v>0</v>
      </c>
    </row>
    <row r="134" spans="1:21" x14ac:dyDescent="0.3">
      <c r="A134" s="27" t="s">
        <v>73</v>
      </c>
      <c r="B134" s="27" t="s">
        <v>70</v>
      </c>
      <c r="C134" s="28">
        <v>2013</v>
      </c>
      <c r="D134" s="30">
        <v>120.68</v>
      </c>
      <c r="E134" s="30">
        <v>31.53</v>
      </c>
      <c r="F134" s="21">
        <v>2009</v>
      </c>
      <c r="G134" s="27">
        <v>726.96</v>
      </c>
      <c r="H134" s="27">
        <v>779.28</v>
      </c>
      <c r="I134" s="27">
        <v>26.225999999999999</v>
      </c>
      <c r="J134" s="21">
        <v>1.52</v>
      </c>
      <c r="K134" s="27">
        <v>36</v>
      </c>
      <c r="L134" s="27">
        <v>43</v>
      </c>
      <c r="M134" s="27">
        <v>21</v>
      </c>
      <c r="N134" s="27">
        <v>7.36</v>
      </c>
      <c r="O134" s="30">
        <v>16.473317865429234</v>
      </c>
      <c r="P134" s="27">
        <v>2.09</v>
      </c>
      <c r="Q134" s="31">
        <f t="shared" si="2"/>
        <v>7.8819702705403039</v>
      </c>
      <c r="R134" s="21">
        <v>300</v>
      </c>
      <c r="S134" s="11">
        <v>51.58</v>
      </c>
      <c r="U134" s="17">
        <f>(S134-S133)/R134*100</f>
        <v>16.763333333333332</v>
      </c>
    </row>
    <row r="135" spans="1:21" x14ac:dyDescent="0.3">
      <c r="A135" s="27" t="s">
        <v>73</v>
      </c>
      <c r="B135" s="27" t="s">
        <v>70</v>
      </c>
      <c r="C135" s="28">
        <v>2013</v>
      </c>
      <c r="D135" s="30">
        <v>120.68</v>
      </c>
      <c r="E135" s="30">
        <v>31.53</v>
      </c>
      <c r="F135" s="21">
        <v>2009</v>
      </c>
      <c r="G135" s="27">
        <v>726.96</v>
      </c>
      <c r="H135" s="27">
        <v>779.28</v>
      </c>
      <c r="I135" s="27">
        <v>26.225999999999999</v>
      </c>
      <c r="J135" s="21">
        <v>1.52</v>
      </c>
      <c r="K135" s="27">
        <v>36</v>
      </c>
      <c r="L135" s="27">
        <v>43</v>
      </c>
      <c r="M135" s="27">
        <v>21</v>
      </c>
      <c r="N135" s="27">
        <v>7.36</v>
      </c>
      <c r="O135" s="30">
        <v>16.473317865429234</v>
      </c>
      <c r="P135" s="27">
        <v>2.09</v>
      </c>
      <c r="Q135" s="31">
        <f t="shared" si="2"/>
        <v>7.8819702705403039</v>
      </c>
      <c r="R135" s="21">
        <v>270</v>
      </c>
      <c r="S135" s="11">
        <v>26.9</v>
      </c>
      <c r="U135" s="17">
        <f>(S135-S133)/R135*100</f>
        <v>9.4851851851851858</v>
      </c>
    </row>
    <row r="136" spans="1:21" x14ac:dyDescent="0.3">
      <c r="A136" s="27" t="s">
        <v>73</v>
      </c>
      <c r="B136" s="27" t="s">
        <v>70</v>
      </c>
      <c r="C136" s="28">
        <v>2013</v>
      </c>
      <c r="D136" s="30">
        <v>120.68</v>
      </c>
      <c r="E136" s="30">
        <v>31.53</v>
      </c>
      <c r="F136" s="21">
        <v>2010</v>
      </c>
      <c r="G136" s="27">
        <v>526.19999999999993</v>
      </c>
      <c r="H136" s="27">
        <v>624</v>
      </c>
      <c r="I136" s="27">
        <v>26.213000000000001</v>
      </c>
      <c r="J136" s="21">
        <v>1.52</v>
      </c>
      <c r="K136" s="27">
        <v>36</v>
      </c>
      <c r="L136" s="27">
        <v>43</v>
      </c>
      <c r="M136" s="27">
        <v>21</v>
      </c>
      <c r="N136" s="27">
        <v>7.36</v>
      </c>
      <c r="O136" s="30">
        <v>16.473317865429234</v>
      </c>
      <c r="P136" s="27">
        <v>2.09</v>
      </c>
      <c r="Q136" s="31">
        <f t="shared" si="2"/>
        <v>7.8819702705403039</v>
      </c>
      <c r="R136" s="21">
        <v>0</v>
      </c>
      <c r="S136" s="11">
        <v>7.59</v>
      </c>
      <c r="U136" s="17">
        <v>0</v>
      </c>
    </row>
    <row r="137" spans="1:21" x14ac:dyDescent="0.3">
      <c r="A137" s="27" t="s">
        <v>73</v>
      </c>
      <c r="B137" s="27" t="s">
        <v>70</v>
      </c>
      <c r="C137" s="28">
        <v>2013</v>
      </c>
      <c r="D137" s="30">
        <v>120.68</v>
      </c>
      <c r="E137" s="30">
        <v>31.53</v>
      </c>
      <c r="F137" s="21">
        <v>2010</v>
      </c>
      <c r="G137" s="27">
        <v>526.19999999999993</v>
      </c>
      <c r="H137" s="27">
        <v>624</v>
      </c>
      <c r="I137" s="27">
        <v>26.213000000000001</v>
      </c>
      <c r="J137" s="21">
        <v>1.52</v>
      </c>
      <c r="K137" s="27">
        <v>36</v>
      </c>
      <c r="L137" s="27">
        <v>43</v>
      </c>
      <c r="M137" s="27">
        <v>21</v>
      </c>
      <c r="N137" s="27">
        <v>7.36</v>
      </c>
      <c r="O137" s="30">
        <v>16.473317865429234</v>
      </c>
      <c r="P137" s="27">
        <v>2.09</v>
      </c>
      <c r="Q137" s="31">
        <f t="shared" si="2"/>
        <v>7.8819702705403039</v>
      </c>
      <c r="R137" s="21">
        <v>300</v>
      </c>
      <c r="S137" s="11">
        <v>49.2</v>
      </c>
      <c r="U137" s="17">
        <f>(S137-S136)/R137*100</f>
        <v>13.87</v>
      </c>
    </row>
    <row r="138" spans="1:21" s="6" customFormat="1" x14ac:dyDescent="0.3">
      <c r="A138" s="32" t="s">
        <v>73</v>
      </c>
      <c r="B138" s="32" t="s">
        <v>70</v>
      </c>
      <c r="C138" s="33">
        <v>2013</v>
      </c>
      <c r="D138" s="35">
        <v>120.68</v>
      </c>
      <c r="E138" s="35">
        <v>31.53</v>
      </c>
      <c r="F138" s="22">
        <v>2010</v>
      </c>
      <c r="G138" s="32">
        <v>526.19999999999993</v>
      </c>
      <c r="H138" s="32">
        <v>624</v>
      </c>
      <c r="I138" s="32">
        <v>26.213000000000001</v>
      </c>
      <c r="J138" s="22">
        <v>1.52</v>
      </c>
      <c r="K138" s="32">
        <v>36</v>
      </c>
      <c r="L138" s="32">
        <v>43</v>
      </c>
      <c r="M138" s="32">
        <v>21</v>
      </c>
      <c r="N138" s="32">
        <v>7.36</v>
      </c>
      <c r="O138" s="35">
        <v>16.473317865429234</v>
      </c>
      <c r="P138" s="32">
        <v>2.09</v>
      </c>
      <c r="Q138" s="36">
        <f t="shared" si="2"/>
        <v>7.8819702705403039</v>
      </c>
      <c r="R138" s="22">
        <v>270</v>
      </c>
      <c r="S138" s="13">
        <v>29.69</v>
      </c>
      <c r="T138" s="12"/>
      <c r="U138" s="18">
        <f>(S138-S136)/R138*100</f>
        <v>8.1851851851851851</v>
      </c>
    </row>
    <row r="139" spans="1:21" ht="14.5" x14ac:dyDescent="0.3">
      <c r="A139" s="27" t="s">
        <v>74</v>
      </c>
      <c r="B139" s="27" t="s">
        <v>75</v>
      </c>
      <c r="C139" s="28">
        <v>2011</v>
      </c>
      <c r="D139" s="30">
        <v>106.27</v>
      </c>
      <c r="E139" s="30">
        <v>38.130000000000003</v>
      </c>
      <c r="F139" s="21">
        <v>2010</v>
      </c>
      <c r="G139" s="27">
        <v>118.08</v>
      </c>
      <c r="H139" s="27">
        <v>405.48</v>
      </c>
      <c r="I139" s="27">
        <v>21.526</v>
      </c>
      <c r="J139" s="21">
        <v>1.39</v>
      </c>
      <c r="K139" s="37">
        <v>33.571428570000002</v>
      </c>
      <c r="L139" s="37">
        <v>43.785714290000001</v>
      </c>
      <c r="M139" s="37">
        <v>22.64285714</v>
      </c>
      <c r="N139" s="27">
        <v>8.58</v>
      </c>
      <c r="O139" s="30">
        <v>8.6252900232018561</v>
      </c>
      <c r="P139" s="27">
        <v>1.0900000000000001</v>
      </c>
      <c r="Q139" s="31">
        <f t="shared" si="2"/>
        <v>7.9131101130292256</v>
      </c>
      <c r="R139" s="21">
        <v>300</v>
      </c>
      <c r="S139" s="11">
        <v>94.1</v>
      </c>
      <c r="U139" s="17">
        <f>(S139-S141)/R139*100</f>
        <v>22.166666666666668</v>
      </c>
    </row>
    <row r="140" spans="1:21" ht="14.5" x14ac:dyDescent="0.3">
      <c r="A140" s="27" t="s">
        <v>74</v>
      </c>
      <c r="B140" s="27" t="s">
        <v>75</v>
      </c>
      <c r="C140" s="28">
        <v>2011</v>
      </c>
      <c r="D140" s="30">
        <v>106.27</v>
      </c>
      <c r="E140" s="30">
        <v>38.130000000000003</v>
      </c>
      <c r="F140" s="21">
        <v>2010</v>
      </c>
      <c r="G140" s="27">
        <v>118.08</v>
      </c>
      <c r="H140" s="27">
        <v>405.48</v>
      </c>
      <c r="I140" s="27">
        <v>21.526</v>
      </c>
      <c r="J140" s="21">
        <v>1.39</v>
      </c>
      <c r="K140" s="37">
        <v>33.571428570000002</v>
      </c>
      <c r="L140" s="37">
        <v>43.785714290000001</v>
      </c>
      <c r="M140" s="37">
        <v>22.64285714</v>
      </c>
      <c r="N140" s="27">
        <v>8.58</v>
      </c>
      <c r="O140" s="30">
        <v>8.6252900232018561</v>
      </c>
      <c r="P140" s="27">
        <v>1.0900000000000001</v>
      </c>
      <c r="Q140" s="31">
        <f t="shared" si="2"/>
        <v>7.9131101130292256</v>
      </c>
      <c r="R140" s="21">
        <v>240</v>
      </c>
      <c r="S140" s="11">
        <v>71.400000000000006</v>
      </c>
      <c r="U140" s="17">
        <f>(S140-S141)/R140*100</f>
        <v>18.250000000000004</v>
      </c>
    </row>
    <row r="141" spans="1:21" s="6" customFormat="1" ht="14.5" x14ac:dyDescent="0.3">
      <c r="A141" s="32" t="s">
        <v>74</v>
      </c>
      <c r="B141" s="32" t="s">
        <v>75</v>
      </c>
      <c r="C141" s="33">
        <v>2011</v>
      </c>
      <c r="D141" s="35">
        <v>106.27</v>
      </c>
      <c r="E141" s="35">
        <v>38.130000000000003</v>
      </c>
      <c r="F141" s="22">
        <v>2010</v>
      </c>
      <c r="G141" s="32">
        <v>118.08</v>
      </c>
      <c r="H141" s="32">
        <v>405.48</v>
      </c>
      <c r="I141" s="32">
        <v>21.526</v>
      </c>
      <c r="J141" s="22">
        <v>1.39</v>
      </c>
      <c r="K141" s="38">
        <v>33.571428570000002</v>
      </c>
      <c r="L141" s="38">
        <v>43.785714290000001</v>
      </c>
      <c r="M141" s="38">
        <v>22.64285714</v>
      </c>
      <c r="N141" s="32">
        <v>8.58</v>
      </c>
      <c r="O141" s="35">
        <v>8.6252900232018561</v>
      </c>
      <c r="P141" s="32">
        <v>1.0900000000000001</v>
      </c>
      <c r="Q141" s="36">
        <f t="shared" si="2"/>
        <v>7.9131101130292256</v>
      </c>
      <c r="R141" s="22">
        <v>0</v>
      </c>
      <c r="S141" s="13">
        <v>27.6</v>
      </c>
      <c r="T141" s="12">
        <f>S141</f>
        <v>27.6</v>
      </c>
      <c r="U141" s="18">
        <v>0</v>
      </c>
    </row>
    <row r="142" spans="1:21" ht="14.5" x14ac:dyDescent="0.3">
      <c r="A142" s="27" t="s">
        <v>76</v>
      </c>
      <c r="B142" s="27" t="s">
        <v>77</v>
      </c>
      <c r="C142" s="28">
        <v>2017</v>
      </c>
      <c r="D142" s="30">
        <v>120.68</v>
      </c>
      <c r="E142" s="30">
        <v>31.53</v>
      </c>
      <c r="F142" s="21" t="s">
        <v>78</v>
      </c>
      <c r="G142" s="27">
        <v>470.76</v>
      </c>
      <c r="H142" s="27">
        <v>707.88</v>
      </c>
      <c r="I142" s="27">
        <v>27.26</v>
      </c>
      <c r="J142" s="21">
        <v>1.52</v>
      </c>
      <c r="K142" s="27">
        <v>36</v>
      </c>
      <c r="L142" s="27">
        <v>43</v>
      </c>
      <c r="M142" s="27">
        <v>21</v>
      </c>
      <c r="N142" s="27">
        <v>7.35</v>
      </c>
      <c r="O142" s="30">
        <v>20.301624129930396</v>
      </c>
      <c r="P142" s="27">
        <v>2.0099999999999998</v>
      </c>
      <c r="Q142" s="31">
        <f t="shared" si="2"/>
        <v>10.100310512403183</v>
      </c>
      <c r="R142" s="21">
        <v>0</v>
      </c>
      <c r="S142" s="11">
        <v>2.96</v>
      </c>
      <c r="U142" s="17">
        <v>0</v>
      </c>
    </row>
    <row r="143" spans="1:21" ht="14.5" x14ac:dyDescent="0.3">
      <c r="A143" s="27" t="s">
        <v>76</v>
      </c>
      <c r="B143" s="27" t="s">
        <v>77</v>
      </c>
      <c r="C143" s="28">
        <v>2017</v>
      </c>
      <c r="D143" s="30">
        <v>120.68</v>
      </c>
      <c r="E143" s="30">
        <v>31.53</v>
      </c>
      <c r="F143" s="21" t="s">
        <v>78</v>
      </c>
      <c r="G143" s="27">
        <v>470.76</v>
      </c>
      <c r="H143" s="27">
        <v>707.88</v>
      </c>
      <c r="I143" s="27">
        <v>27.26</v>
      </c>
      <c r="J143" s="21">
        <v>1.52</v>
      </c>
      <c r="K143" s="27">
        <v>36</v>
      </c>
      <c r="L143" s="27">
        <v>43</v>
      </c>
      <c r="M143" s="27">
        <v>21</v>
      </c>
      <c r="N143" s="27">
        <v>7.35</v>
      </c>
      <c r="O143" s="30">
        <v>20.301624129930396</v>
      </c>
      <c r="P143" s="27">
        <v>2.0099999999999998</v>
      </c>
      <c r="Q143" s="31">
        <f t="shared" si="2"/>
        <v>10.100310512403183</v>
      </c>
      <c r="R143" s="21">
        <v>240</v>
      </c>
      <c r="S143" s="11">
        <v>22.51</v>
      </c>
      <c r="U143" s="17">
        <f>(S143-S142)/R143*100</f>
        <v>8.1458333333333339</v>
      </c>
    </row>
    <row r="144" spans="1:21" ht="14.5" x14ac:dyDescent="0.3">
      <c r="A144" s="39" t="s">
        <v>79</v>
      </c>
      <c r="B144" s="27" t="s">
        <v>77</v>
      </c>
      <c r="C144" s="28">
        <v>2017</v>
      </c>
      <c r="D144" s="30">
        <v>120.68</v>
      </c>
      <c r="E144" s="30">
        <v>31.53</v>
      </c>
      <c r="F144" s="21" t="s">
        <v>78</v>
      </c>
      <c r="G144" s="27">
        <v>470.76</v>
      </c>
      <c r="H144" s="27">
        <v>707.88</v>
      </c>
      <c r="I144" s="27">
        <v>27.26</v>
      </c>
      <c r="J144" s="21">
        <v>1.52</v>
      </c>
      <c r="K144" s="27">
        <v>36</v>
      </c>
      <c r="L144" s="27">
        <v>43</v>
      </c>
      <c r="M144" s="27">
        <v>21</v>
      </c>
      <c r="N144" s="27">
        <v>7.35</v>
      </c>
      <c r="O144" s="30">
        <v>20.301624129930396</v>
      </c>
      <c r="P144" s="27">
        <v>2.0099999999999998</v>
      </c>
      <c r="Q144" s="31">
        <f t="shared" si="2"/>
        <v>10.100310512403183</v>
      </c>
      <c r="R144" s="21">
        <v>240</v>
      </c>
      <c r="S144" s="11">
        <v>26.21</v>
      </c>
      <c r="U144" s="17">
        <f>(S144-S142)/R144*100</f>
        <v>9.6875</v>
      </c>
    </row>
    <row r="145" spans="1:21" ht="14.5" x14ac:dyDescent="0.3">
      <c r="A145" s="27" t="s">
        <v>76</v>
      </c>
      <c r="B145" s="27" t="s">
        <v>77</v>
      </c>
      <c r="C145" s="28">
        <v>2017</v>
      </c>
      <c r="D145" s="30">
        <v>120.68</v>
      </c>
      <c r="E145" s="30">
        <v>31.53</v>
      </c>
      <c r="F145" s="21" t="s">
        <v>78</v>
      </c>
      <c r="G145" s="27">
        <v>470.76</v>
      </c>
      <c r="H145" s="27">
        <v>707.88</v>
      </c>
      <c r="I145" s="27">
        <v>27.26</v>
      </c>
      <c r="J145" s="21">
        <v>1.52</v>
      </c>
      <c r="K145" s="27">
        <v>36</v>
      </c>
      <c r="L145" s="27">
        <v>43</v>
      </c>
      <c r="M145" s="27">
        <v>21</v>
      </c>
      <c r="N145" s="27">
        <v>7.35</v>
      </c>
      <c r="O145" s="30">
        <v>20.301624129930396</v>
      </c>
      <c r="P145" s="27">
        <v>2.0099999999999998</v>
      </c>
      <c r="Q145" s="31">
        <f t="shared" si="2"/>
        <v>10.100310512403183</v>
      </c>
      <c r="R145" s="21">
        <v>0</v>
      </c>
      <c r="S145" s="11">
        <v>4.41</v>
      </c>
      <c r="U145" s="17">
        <v>0</v>
      </c>
    </row>
    <row r="146" spans="1:21" ht="14.5" x14ac:dyDescent="0.3">
      <c r="A146" s="27" t="s">
        <v>76</v>
      </c>
      <c r="B146" s="27" t="s">
        <v>77</v>
      </c>
      <c r="C146" s="28">
        <v>2017</v>
      </c>
      <c r="D146" s="30">
        <v>120.68</v>
      </c>
      <c r="E146" s="30">
        <v>31.53</v>
      </c>
      <c r="F146" s="21" t="s">
        <v>78</v>
      </c>
      <c r="G146" s="27">
        <v>470.76</v>
      </c>
      <c r="H146" s="27">
        <v>707.88</v>
      </c>
      <c r="I146" s="27">
        <v>27.26</v>
      </c>
      <c r="J146" s="21">
        <v>1.52</v>
      </c>
      <c r="K146" s="27">
        <v>36</v>
      </c>
      <c r="L146" s="27">
        <v>43</v>
      </c>
      <c r="M146" s="27">
        <v>21</v>
      </c>
      <c r="N146" s="27">
        <v>7.35</v>
      </c>
      <c r="O146" s="30">
        <v>20.301624129930396</v>
      </c>
      <c r="P146" s="27">
        <v>2.0099999999999998</v>
      </c>
      <c r="Q146" s="31">
        <f t="shared" si="2"/>
        <v>10.100310512403183</v>
      </c>
      <c r="R146" s="21">
        <v>240</v>
      </c>
      <c r="S146" s="11">
        <v>28.89</v>
      </c>
      <c r="U146" s="17">
        <f>(S146-S145)/R146*100</f>
        <v>10.200000000000001</v>
      </c>
    </row>
    <row r="147" spans="1:21" s="6" customFormat="1" ht="14.5" x14ac:dyDescent="0.3">
      <c r="A147" s="32" t="s">
        <v>76</v>
      </c>
      <c r="B147" s="32" t="s">
        <v>77</v>
      </c>
      <c r="C147" s="33">
        <v>2017</v>
      </c>
      <c r="D147" s="35">
        <v>120.68</v>
      </c>
      <c r="E147" s="35">
        <v>31.53</v>
      </c>
      <c r="F147" s="22" t="s">
        <v>78</v>
      </c>
      <c r="G147" s="32">
        <v>470.76</v>
      </c>
      <c r="H147" s="32">
        <v>707.88</v>
      </c>
      <c r="I147" s="32">
        <v>27.26</v>
      </c>
      <c r="J147" s="22">
        <v>1.52</v>
      </c>
      <c r="K147" s="32">
        <v>36</v>
      </c>
      <c r="L147" s="32">
        <v>43</v>
      </c>
      <c r="M147" s="32">
        <v>21</v>
      </c>
      <c r="N147" s="32">
        <v>7.35</v>
      </c>
      <c r="O147" s="35">
        <v>20.301624129930396</v>
      </c>
      <c r="P147" s="32">
        <v>2.0099999999999998</v>
      </c>
      <c r="Q147" s="36">
        <f t="shared" si="2"/>
        <v>10.100310512403183</v>
      </c>
      <c r="R147" s="22">
        <v>240</v>
      </c>
      <c r="S147" s="13">
        <v>30.54</v>
      </c>
      <c r="T147" s="12"/>
      <c r="U147" s="18">
        <f>(S147-S145)/R147*100</f>
        <v>10.887499999999999</v>
      </c>
    </row>
    <row r="148" spans="1:21" ht="14.5" x14ac:dyDescent="0.3">
      <c r="A148" s="39" t="s">
        <v>80</v>
      </c>
      <c r="B148" s="27" t="s">
        <v>81</v>
      </c>
      <c r="D148" s="30">
        <v>120.7</v>
      </c>
      <c r="E148" s="30">
        <v>31.55</v>
      </c>
      <c r="F148" s="21">
        <v>2013</v>
      </c>
      <c r="G148" s="27">
        <v>470.76</v>
      </c>
      <c r="H148" s="27">
        <v>707.88</v>
      </c>
      <c r="I148" s="27">
        <v>27.26</v>
      </c>
      <c r="J148" s="21">
        <v>1.48</v>
      </c>
      <c r="K148" s="27">
        <v>36</v>
      </c>
      <c r="L148" s="27">
        <v>43</v>
      </c>
      <c r="M148" s="27">
        <v>21</v>
      </c>
      <c r="N148" s="27">
        <v>7.35</v>
      </c>
      <c r="O148" s="30">
        <v>20.301624129930396</v>
      </c>
      <c r="P148" s="27">
        <v>2.0099999999999998</v>
      </c>
      <c r="Q148" s="31">
        <f t="shared" si="2"/>
        <v>10.100310512403183</v>
      </c>
      <c r="R148" s="21">
        <v>0</v>
      </c>
      <c r="S148" s="11">
        <v>7.9</v>
      </c>
      <c r="T148" s="46">
        <f>AVERAGE(S151,S148,S154)</f>
        <v>4.6366666666666667</v>
      </c>
      <c r="U148" s="17">
        <v>0</v>
      </c>
    </row>
    <row r="149" spans="1:21" ht="14.5" x14ac:dyDescent="0.3">
      <c r="A149" s="27" t="s">
        <v>82</v>
      </c>
      <c r="B149" s="27" t="s">
        <v>81</v>
      </c>
      <c r="D149" s="30">
        <v>120.7</v>
      </c>
      <c r="E149" s="30">
        <v>31.55</v>
      </c>
      <c r="F149" s="21">
        <v>2013</v>
      </c>
      <c r="G149" s="27">
        <v>470.76</v>
      </c>
      <c r="H149" s="27">
        <v>707.88</v>
      </c>
      <c r="I149" s="27">
        <v>27.26</v>
      </c>
      <c r="J149" s="21">
        <v>1.48</v>
      </c>
      <c r="K149" s="27">
        <v>36</v>
      </c>
      <c r="L149" s="27">
        <v>43</v>
      </c>
      <c r="M149" s="27">
        <v>21</v>
      </c>
      <c r="N149" s="27">
        <v>7.35</v>
      </c>
      <c r="O149" s="30">
        <v>20.301624129930396</v>
      </c>
      <c r="P149" s="27">
        <v>2.0099999999999998</v>
      </c>
      <c r="Q149" s="31">
        <f t="shared" si="2"/>
        <v>10.100310512403183</v>
      </c>
      <c r="R149" s="21">
        <v>240</v>
      </c>
      <c r="S149" s="11">
        <v>50.5</v>
      </c>
      <c r="U149" s="17">
        <f>(S149-S148)/R149*100</f>
        <v>17.750000000000004</v>
      </c>
    </row>
    <row r="150" spans="1:21" ht="14.5" x14ac:dyDescent="0.3">
      <c r="A150" s="27" t="s">
        <v>82</v>
      </c>
      <c r="B150" s="27" t="s">
        <v>81</v>
      </c>
      <c r="D150" s="30">
        <v>120.7</v>
      </c>
      <c r="E150" s="30">
        <v>31.55</v>
      </c>
      <c r="F150" s="21">
        <v>2013</v>
      </c>
      <c r="G150" s="27">
        <v>470.76</v>
      </c>
      <c r="H150" s="27">
        <v>707.88</v>
      </c>
      <c r="I150" s="27">
        <v>27.26</v>
      </c>
      <c r="J150" s="21">
        <v>1.48</v>
      </c>
      <c r="K150" s="27">
        <v>36</v>
      </c>
      <c r="L150" s="27">
        <v>43</v>
      </c>
      <c r="M150" s="27">
        <v>21</v>
      </c>
      <c r="N150" s="27">
        <v>7.35</v>
      </c>
      <c r="O150" s="30">
        <v>20.301624129930396</v>
      </c>
      <c r="P150" s="27">
        <v>2.0099999999999998</v>
      </c>
      <c r="Q150" s="31">
        <f t="shared" si="2"/>
        <v>10.100310512403183</v>
      </c>
      <c r="R150" s="21">
        <v>240</v>
      </c>
      <c r="S150" s="11">
        <v>58.9</v>
      </c>
      <c r="U150" s="17">
        <f>(S150-S148)/R150*100</f>
        <v>21.25</v>
      </c>
    </row>
    <row r="151" spans="1:21" ht="14.5" x14ac:dyDescent="0.3">
      <c r="A151" s="27" t="s">
        <v>82</v>
      </c>
      <c r="B151" s="27" t="s">
        <v>81</v>
      </c>
      <c r="D151" s="30">
        <v>120.7</v>
      </c>
      <c r="E151" s="30">
        <v>31.55</v>
      </c>
      <c r="F151" s="21">
        <v>2014</v>
      </c>
      <c r="G151" s="27">
        <v>717.95999999999992</v>
      </c>
      <c r="H151" s="27">
        <v>707.88</v>
      </c>
      <c r="I151" s="27">
        <v>24.995999999999999</v>
      </c>
      <c r="J151" s="21">
        <v>1.48</v>
      </c>
      <c r="K151" s="27">
        <v>36</v>
      </c>
      <c r="L151" s="27">
        <v>43</v>
      </c>
      <c r="M151" s="27">
        <v>21</v>
      </c>
      <c r="N151" s="27">
        <v>7.35</v>
      </c>
      <c r="O151" s="30">
        <v>20.301624129930396</v>
      </c>
      <c r="P151" s="27">
        <v>2.0099999999999998</v>
      </c>
      <c r="Q151" s="31">
        <f t="shared" si="2"/>
        <v>10.100310512403183</v>
      </c>
      <c r="R151" s="21">
        <v>0</v>
      </c>
      <c r="S151" s="11">
        <v>3.52</v>
      </c>
      <c r="U151" s="17">
        <v>0</v>
      </c>
    </row>
    <row r="152" spans="1:21" ht="14.5" x14ac:dyDescent="0.3">
      <c r="A152" s="27" t="s">
        <v>82</v>
      </c>
      <c r="B152" s="27" t="s">
        <v>81</v>
      </c>
      <c r="D152" s="30">
        <v>120.7</v>
      </c>
      <c r="E152" s="30">
        <v>31.55</v>
      </c>
      <c r="F152" s="21">
        <v>2014</v>
      </c>
      <c r="G152" s="27">
        <v>717.95999999999992</v>
      </c>
      <c r="H152" s="27">
        <v>707.88</v>
      </c>
      <c r="I152" s="27">
        <v>24.995999999999999</v>
      </c>
      <c r="J152" s="21">
        <v>1.48</v>
      </c>
      <c r="K152" s="27">
        <v>36</v>
      </c>
      <c r="L152" s="27">
        <v>43</v>
      </c>
      <c r="M152" s="27">
        <v>21</v>
      </c>
      <c r="N152" s="27">
        <v>7.35</v>
      </c>
      <c r="O152" s="30">
        <v>20.301624129930396</v>
      </c>
      <c r="P152" s="27">
        <v>2.0099999999999998</v>
      </c>
      <c r="Q152" s="31">
        <f t="shared" si="2"/>
        <v>10.100310512403183</v>
      </c>
      <c r="R152" s="21">
        <v>240</v>
      </c>
      <c r="S152" s="11">
        <v>21.58</v>
      </c>
      <c r="U152" s="17">
        <f>(S152-S151)/R152*100</f>
        <v>7.5249999999999995</v>
      </c>
    </row>
    <row r="153" spans="1:21" ht="14.5" x14ac:dyDescent="0.3">
      <c r="A153" s="27" t="s">
        <v>82</v>
      </c>
      <c r="B153" s="27" t="s">
        <v>81</v>
      </c>
      <c r="D153" s="30">
        <v>120.7</v>
      </c>
      <c r="E153" s="30">
        <v>31.55</v>
      </c>
      <c r="F153" s="21">
        <v>2014</v>
      </c>
      <c r="G153" s="27">
        <v>717.95999999999992</v>
      </c>
      <c r="H153" s="27">
        <v>707.88</v>
      </c>
      <c r="I153" s="27">
        <v>24.995999999999999</v>
      </c>
      <c r="J153" s="21">
        <v>1.48</v>
      </c>
      <c r="K153" s="27">
        <v>36</v>
      </c>
      <c r="L153" s="27">
        <v>43</v>
      </c>
      <c r="M153" s="27">
        <v>21</v>
      </c>
      <c r="N153" s="27">
        <v>7.35</v>
      </c>
      <c r="O153" s="30">
        <v>20.301624129930396</v>
      </c>
      <c r="P153" s="27">
        <v>2.0099999999999998</v>
      </c>
      <c r="Q153" s="31">
        <f t="shared" si="2"/>
        <v>10.100310512403183</v>
      </c>
      <c r="R153" s="21">
        <v>240</v>
      </c>
      <c r="S153" s="11">
        <v>21.79</v>
      </c>
      <c r="U153" s="17">
        <f>(S153-S151)/R153*100</f>
        <v>7.6124999999999998</v>
      </c>
    </row>
    <row r="154" spans="1:21" ht="14.5" x14ac:dyDescent="0.3">
      <c r="A154" s="27" t="s">
        <v>82</v>
      </c>
      <c r="B154" s="27" t="s">
        <v>81</v>
      </c>
      <c r="D154" s="30">
        <v>120.7</v>
      </c>
      <c r="E154" s="30">
        <v>31.55</v>
      </c>
      <c r="F154" s="21">
        <v>2015</v>
      </c>
      <c r="G154" s="27">
        <v>1026.8400000000001</v>
      </c>
      <c r="H154" s="27">
        <v>707.88</v>
      </c>
      <c r="I154" s="27">
        <v>25.076000000000001</v>
      </c>
      <c r="J154" s="21">
        <v>1.48</v>
      </c>
      <c r="K154" s="27">
        <v>36</v>
      </c>
      <c r="L154" s="27">
        <v>43</v>
      </c>
      <c r="M154" s="27">
        <v>21</v>
      </c>
      <c r="N154" s="27">
        <v>7.35</v>
      </c>
      <c r="O154" s="30">
        <v>20.301624129930396</v>
      </c>
      <c r="P154" s="27">
        <v>2.0099999999999998</v>
      </c>
      <c r="Q154" s="31">
        <f t="shared" si="2"/>
        <v>10.100310512403183</v>
      </c>
      <c r="R154" s="21">
        <v>0</v>
      </c>
      <c r="S154" s="11">
        <v>2.4900000000000002</v>
      </c>
      <c r="U154" s="17">
        <v>0</v>
      </c>
    </row>
    <row r="155" spans="1:21" ht="14.5" x14ac:dyDescent="0.3">
      <c r="A155" s="27" t="s">
        <v>82</v>
      </c>
      <c r="B155" s="27" t="s">
        <v>81</v>
      </c>
      <c r="D155" s="30">
        <v>120.7</v>
      </c>
      <c r="E155" s="30">
        <v>31.55</v>
      </c>
      <c r="F155" s="21">
        <v>2015</v>
      </c>
      <c r="G155" s="27">
        <v>1026.8400000000001</v>
      </c>
      <c r="H155" s="27">
        <v>707.88</v>
      </c>
      <c r="I155" s="27">
        <v>25.076000000000001</v>
      </c>
      <c r="J155" s="21">
        <v>1.48</v>
      </c>
      <c r="K155" s="27">
        <v>36</v>
      </c>
      <c r="L155" s="27">
        <v>43</v>
      </c>
      <c r="M155" s="27">
        <v>21</v>
      </c>
      <c r="N155" s="27">
        <v>7.35</v>
      </c>
      <c r="O155" s="30">
        <v>20.301624129930396</v>
      </c>
      <c r="P155" s="27">
        <v>2.0099999999999998</v>
      </c>
      <c r="Q155" s="31">
        <f t="shared" si="2"/>
        <v>10.100310512403183</v>
      </c>
      <c r="R155" s="21">
        <v>240</v>
      </c>
      <c r="S155" s="11">
        <v>22.53</v>
      </c>
      <c r="U155" s="17">
        <f>(S155-S154)/R155*100</f>
        <v>8.35</v>
      </c>
    </row>
    <row r="156" spans="1:21" s="6" customFormat="1" ht="14.5" x14ac:dyDescent="0.3">
      <c r="A156" s="32" t="s">
        <v>82</v>
      </c>
      <c r="B156" s="32" t="s">
        <v>81</v>
      </c>
      <c r="C156" s="33"/>
      <c r="D156" s="35">
        <v>120.7</v>
      </c>
      <c r="E156" s="35">
        <v>31.55</v>
      </c>
      <c r="F156" s="22">
        <v>2015</v>
      </c>
      <c r="G156" s="32">
        <v>1026.8400000000001</v>
      </c>
      <c r="H156" s="32">
        <v>707.88</v>
      </c>
      <c r="I156" s="32">
        <v>25.076000000000001</v>
      </c>
      <c r="J156" s="22">
        <v>1.48</v>
      </c>
      <c r="K156" s="32">
        <v>36</v>
      </c>
      <c r="L156" s="32">
        <v>43</v>
      </c>
      <c r="M156" s="32">
        <v>21</v>
      </c>
      <c r="N156" s="32">
        <v>7.35</v>
      </c>
      <c r="O156" s="35">
        <v>20.301624129930396</v>
      </c>
      <c r="P156" s="32">
        <v>2.0099999999999998</v>
      </c>
      <c r="Q156" s="36">
        <f t="shared" si="2"/>
        <v>10.100310512403183</v>
      </c>
      <c r="R156" s="22">
        <v>240</v>
      </c>
      <c r="S156" s="13">
        <v>21.99</v>
      </c>
      <c r="T156" s="12"/>
      <c r="U156" s="18">
        <f>(S156-S154)/R156*100</f>
        <v>8.125</v>
      </c>
    </row>
    <row r="157" spans="1:21" ht="14.5" x14ac:dyDescent="0.3">
      <c r="A157" s="27" t="s">
        <v>83</v>
      </c>
      <c r="B157" s="27" t="s">
        <v>84</v>
      </c>
      <c r="D157" s="30">
        <v>117.67</v>
      </c>
      <c r="E157" s="30">
        <v>31.65</v>
      </c>
      <c r="F157" s="21">
        <v>2012</v>
      </c>
      <c r="G157" s="27">
        <v>533.28</v>
      </c>
      <c r="H157" s="27">
        <v>582.95999999999992</v>
      </c>
      <c r="I157" s="27">
        <v>26.811</v>
      </c>
      <c r="J157" s="21">
        <v>1.4</v>
      </c>
      <c r="K157" s="27">
        <v>38</v>
      </c>
      <c r="L157" s="27">
        <v>37</v>
      </c>
      <c r="M157" s="27">
        <v>25</v>
      </c>
      <c r="N157" s="27">
        <v>6.18</v>
      </c>
      <c r="O157" s="30">
        <v>19.930394431554525</v>
      </c>
      <c r="P157" s="27">
        <v>1.3</v>
      </c>
      <c r="Q157" s="31">
        <f t="shared" si="2"/>
        <v>15.331072639657327</v>
      </c>
      <c r="R157" s="21">
        <v>0</v>
      </c>
      <c r="S157" s="11">
        <v>7.04</v>
      </c>
      <c r="T157" s="46">
        <f>AVERAGE(S162,S157,S167)</f>
        <v>6.53</v>
      </c>
      <c r="U157" s="17">
        <v>0</v>
      </c>
    </row>
    <row r="158" spans="1:21" ht="14.5" x14ac:dyDescent="0.3">
      <c r="A158" s="27" t="s">
        <v>83</v>
      </c>
      <c r="B158" s="27" t="s">
        <v>84</v>
      </c>
      <c r="D158" s="30">
        <v>117.67</v>
      </c>
      <c r="E158" s="30">
        <v>31.65</v>
      </c>
      <c r="F158" s="21">
        <v>2012</v>
      </c>
      <c r="G158" s="27">
        <v>533.28</v>
      </c>
      <c r="H158" s="27">
        <v>582.95999999999992</v>
      </c>
      <c r="I158" s="27">
        <v>26.811</v>
      </c>
      <c r="J158" s="21">
        <v>1.4</v>
      </c>
      <c r="K158" s="27">
        <v>38</v>
      </c>
      <c r="L158" s="27">
        <v>37</v>
      </c>
      <c r="M158" s="27">
        <v>25</v>
      </c>
      <c r="N158" s="27">
        <v>6.18</v>
      </c>
      <c r="O158" s="30">
        <v>19.930394431554525</v>
      </c>
      <c r="P158" s="27">
        <v>1.3</v>
      </c>
      <c r="Q158" s="31">
        <f t="shared" si="2"/>
        <v>15.331072639657327</v>
      </c>
      <c r="R158" s="21">
        <v>168.75</v>
      </c>
      <c r="S158" s="11">
        <v>36.69</v>
      </c>
      <c r="U158" s="17">
        <f>(S158-S157)/R158*100</f>
        <v>17.57037037037037</v>
      </c>
    </row>
    <row r="159" spans="1:21" ht="14.5" x14ac:dyDescent="0.3">
      <c r="A159" s="39" t="s">
        <v>85</v>
      </c>
      <c r="B159" s="27" t="s">
        <v>84</v>
      </c>
      <c r="D159" s="30">
        <v>117.67</v>
      </c>
      <c r="E159" s="30">
        <v>31.65</v>
      </c>
      <c r="F159" s="21">
        <v>2012</v>
      </c>
      <c r="G159" s="27">
        <v>533.28</v>
      </c>
      <c r="H159" s="27">
        <v>582.95999999999992</v>
      </c>
      <c r="I159" s="27">
        <v>26.811</v>
      </c>
      <c r="J159" s="21">
        <v>1.4</v>
      </c>
      <c r="K159" s="27">
        <v>38</v>
      </c>
      <c r="L159" s="27">
        <v>37</v>
      </c>
      <c r="M159" s="27">
        <v>25</v>
      </c>
      <c r="N159" s="27">
        <v>6.18</v>
      </c>
      <c r="O159" s="30">
        <v>19.930394431554525</v>
      </c>
      <c r="P159" s="27">
        <v>1.3</v>
      </c>
      <c r="Q159" s="31">
        <f t="shared" si="2"/>
        <v>15.331072639657327</v>
      </c>
      <c r="R159" s="21">
        <v>225</v>
      </c>
      <c r="S159" s="11">
        <v>40.549999999999997</v>
      </c>
      <c r="U159" s="17">
        <f>(S159-S157)/R159*100</f>
        <v>14.893333333333333</v>
      </c>
    </row>
    <row r="160" spans="1:21" ht="14.5" x14ac:dyDescent="0.3">
      <c r="A160" s="27" t="s">
        <v>83</v>
      </c>
      <c r="B160" s="27" t="s">
        <v>84</v>
      </c>
      <c r="D160" s="30">
        <v>117.67</v>
      </c>
      <c r="E160" s="30">
        <v>31.65</v>
      </c>
      <c r="F160" s="21">
        <v>2012</v>
      </c>
      <c r="G160" s="27">
        <v>533.28</v>
      </c>
      <c r="H160" s="27">
        <v>582.95999999999992</v>
      </c>
      <c r="I160" s="27">
        <v>26.811</v>
      </c>
      <c r="J160" s="21">
        <v>1.4</v>
      </c>
      <c r="K160" s="27">
        <v>38</v>
      </c>
      <c r="L160" s="27">
        <v>37</v>
      </c>
      <c r="M160" s="27">
        <v>25</v>
      </c>
      <c r="N160" s="27">
        <v>6.18</v>
      </c>
      <c r="O160" s="30">
        <v>19.930394431554525</v>
      </c>
      <c r="P160" s="27">
        <v>1.3</v>
      </c>
      <c r="Q160" s="31">
        <f t="shared" si="2"/>
        <v>15.331072639657327</v>
      </c>
      <c r="R160" s="21">
        <v>281.25</v>
      </c>
      <c r="S160" s="11">
        <v>52.71</v>
      </c>
      <c r="U160" s="17">
        <f>(S160-S157)/R160*100</f>
        <v>16.238222222222223</v>
      </c>
    </row>
    <row r="161" spans="1:21" ht="14.5" x14ac:dyDescent="0.3">
      <c r="A161" s="27" t="s">
        <v>83</v>
      </c>
      <c r="B161" s="27" t="s">
        <v>84</v>
      </c>
      <c r="D161" s="30">
        <v>117.67</v>
      </c>
      <c r="E161" s="30">
        <v>31.65</v>
      </c>
      <c r="F161" s="21">
        <v>2012</v>
      </c>
      <c r="G161" s="27">
        <v>533.28</v>
      </c>
      <c r="H161" s="27">
        <v>582.95999999999992</v>
      </c>
      <c r="I161" s="27">
        <v>26.811</v>
      </c>
      <c r="J161" s="21">
        <v>1.4</v>
      </c>
      <c r="K161" s="27">
        <v>38</v>
      </c>
      <c r="L161" s="27">
        <v>37</v>
      </c>
      <c r="M161" s="27">
        <v>25</v>
      </c>
      <c r="N161" s="27">
        <v>6.18</v>
      </c>
      <c r="O161" s="30">
        <v>19.930394431554525</v>
      </c>
      <c r="P161" s="27">
        <v>1.3</v>
      </c>
      <c r="Q161" s="31">
        <f t="shared" si="2"/>
        <v>15.331072639657327</v>
      </c>
      <c r="R161" s="21">
        <v>337.5</v>
      </c>
      <c r="S161" s="11">
        <v>72.36</v>
      </c>
      <c r="U161" s="17">
        <f>(S161-S157)/R161*100</f>
        <v>19.35407407407407</v>
      </c>
    </row>
    <row r="162" spans="1:21" ht="14.5" x14ac:dyDescent="0.3">
      <c r="A162" s="27" t="s">
        <v>83</v>
      </c>
      <c r="B162" s="27" t="s">
        <v>84</v>
      </c>
      <c r="D162" s="30">
        <v>117.67</v>
      </c>
      <c r="E162" s="30">
        <v>31.65</v>
      </c>
      <c r="F162" s="21">
        <v>2013</v>
      </c>
      <c r="G162" s="27">
        <v>615.96</v>
      </c>
      <c r="H162" s="27">
        <v>712.31999999999994</v>
      </c>
      <c r="I162" s="27">
        <v>27.451000000000001</v>
      </c>
      <c r="J162" s="21">
        <v>1.4</v>
      </c>
      <c r="K162" s="27">
        <v>38</v>
      </c>
      <c r="L162" s="27">
        <v>37</v>
      </c>
      <c r="M162" s="27">
        <v>25</v>
      </c>
      <c r="N162" s="27">
        <v>6.18</v>
      </c>
      <c r="O162" s="30">
        <v>19.930394431554525</v>
      </c>
      <c r="P162" s="27">
        <v>1.3</v>
      </c>
      <c r="Q162" s="31">
        <f t="shared" si="2"/>
        <v>15.331072639657327</v>
      </c>
      <c r="R162" s="21">
        <v>0</v>
      </c>
      <c r="S162" s="11">
        <v>5.92</v>
      </c>
      <c r="U162" s="17">
        <v>0</v>
      </c>
    </row>
    <row r="163" spans="1:21" ht="14.5" x14ac:dyDescent="0.3">
      <c r="A163" s="27" t="s">
        <v>83</v>
      </c>
      <c r="B163" s="27" t="s">
        <v>84</v>
      </c>
      <c r="D163" s="30">
        <v>117.67</v>
      </c>
      <c r="E163" s="30">
        <v>31.65</v>
      </c>
      <c r="F163" s="21">
        <v>2013</v>
      </c>
      <c r="G163" s="27">
        <v>615.96</v>
      </c>
      <c r="H163" s="27">
        <v>712.31999999999994</v>
      </c>
      <c r="I163" s="27">
        <v>27.451000000000001</v>
      </c>
      <c r="J163" s="21">
        <v>1.4</v>
      </c>
      <c r="K163" s="27">
        <v>38</v>
      </c>
      <c r="L163" s="27">
        <v>37</v>
      </c>
      <c r="M163" s="27">
        <v>25</v>
      </c>
      <c r="N163" s="27">
        <v>6.18</v>
      </c>
      <c r="O163" s="30">
        <v>19.930394431554525</v>
      </c>
      <c r="P163" s="27">
        <v>1.3</v>
      </c>
      <c r="Q163" s="31">
        <f t="shared" si="2"/>
        <v>15.331072639657327</v>
      </c>
      <c r="R163" s="21">
        <v>168.75</v>
      </c>
      <c r="S163" s="11">
        <v>20.6</v>
      </c>
      <c r="U163" s="17">
        <f>(S163-S162)/R163*100</f>
        <v>8.6992592592592608</v>
      </c>
    </row>
    <row r="164" spans="1:21" ht="14.5" x14ac:dyDescent="0.3">
      <c r="A164" s="27" t="s">
        <v>83</v>
      </c>
      <c r="B164" s="27" t="s">
        <v>84</v>
      </c>
      <c r="D164" s="30">
        <v>117.67</v>
      </c>
      <c r="E164" s="30">
        <v>31.65</v>
      </c>
      <c r="F164" s="21">
        <v>2013</v>
      </c>
      <c r="G164" s="27">
        <v>615.96</v>
      </c>
      <c r="H164" s="27">
        <v>712.31999999999994</v>
      </c>
      <c r="I164" s="27">
        <v>27.451000000000001</v>
      </c>
      <c r="J164" s="21">
        <v>1.4</v>
      </c>
      <c r="K164" s="27">
        <v>38</v>
      </c>
      <c r="L164" s="27">
        <v>37</v>
      </c>
      <c r="M164" s="27">
        <v>25</v>
      </c>
      <c r="N164" s="27">
        <v>6.18</v>
      </c>
      <c r="O164" s="30">
        <v>19.930394431554525</v>
      </c>
      <c r="P164" s="27">
        <v>1.3</v>
      </c>
      <c r="Q164" s="31">
        <f t="shared" si="2"/>
        <v>15.331072639657327</v>
      </c>
      <c r="R164" s="21">
        <v>225</v>
      </c>
      <c r="S164" s="11">
        <v>58.36</v>
      </c>
      <c r="U164" s="17">
        <f>(S164-S162)/R164*100</f>
        <v>23.306666666666665</v>
      </c>
    </row>
    <row r="165" spans="1:21" ht="14.5" x14ac:dyDescent="0.3">
      <c r="A165" s="27" t="s">
        <v>83</v>
      </c>
      <c r="B165" s="27" t="s">
        <v>84</v>
      </c>
      <c r="D165" s="30">
        <v>117.67</v>
      </c>
      <c r="E165" s="30">
        <v>31.65</v>
      </c>
      <c r="F165" s="21">
        <v>2013</v>
      </c>
      <c r="G165" s="27">
        <v>615.96</v>
      </c>
      <c r="H165" s="27">
        <v>712.31999999999994</v>
      </c>
      <c r="I165" s="27">
        <v>27.451000000000001</v>
      </c>
      <c r="J165" s="21">
        <v>1.4</v>
      </c>
      <c r="K165" s="27">
        <v>38</v>
      </c>
      <c r="L165" s="27">
        <v>37</v>
      </c>
      <c r="M165" s="27">
        <v>25</v>
      </c>
      <c r="N165" s="27">
        <v>6.18</v>
      </c>
      <c r="O165" s="30">
        <v>19.930394431554525</v>
      </c>
      <c r="P165" s="27">
        <v>1.3</v>
      </c>
      <c r="Q165" s="31">
        <f t="shared" si="2"/>
        <v>15.331072639657327</v>
      </c>
      <c r="R165" s="21">
        <v>281.25</v>
      </c>
      <c r="S165" s="11">
        <v>71.709999999999994</v>
      </c>
      <c r="U165" s="17">
        <f>(S165-S162)/R165*100</f>
        <v>23.391999999999996</v>
      </c>
    </row>
    <row r="166" spans="1:21" ht="14.5" x14ac:dyDescent="0.3">
      <c r="A166" s="27" t="s">
        <v>83</v>
      </c>
      <c r="B166" s="27" t="s">
        <v>84</v>
      </c>
      <c r="D166" s="30">
        <v>117.67</v>
      </c>
      <c r="E166" s="30">
        <v>31.65</v>
      </c>
      <c r="F166" s="21">
        <v>2013</v>
      </c>
      <c r="G166" s="27">
        <v>615.96</v>
      </c>
      <c r="H166" s="27">
        <v>712.31999999999994</v>
      </c>
      <c r="I166" s="27">
        <v>27.451000000000001</v>
      </c>
      <c r="J166" s="21">
        <v>1.4</v>
      </c>
      <c r="K166" s="27">
        <v>38</v>
      </c>
      <c r="L166" s="27">
        <v>37</v>
      </c>
      <c r="M166" s="27">
        <v>25</v>
      </c>
      <c r="N166" s="27">
        <v>6.18</v>
      </c>
      <c r="O166" s="30">
        <v>19.930394431554525</v>
      </c>
      <c r="P166" s="27">
        <v>1.3</v>
      </c>
      <c r="Q166" s="31">
        <f t="shared" si="2"/>
        <v>15.331072639657327</v>
      </c>
      <c r="R166" s="21">
        <v>337.5</v>
      </c>
      <c r="S166" s="11">
        <v>88.64</v>
      </c>
      <c r="U166" s="17">
        <f>(S166-S162)/R166*100</f>
        <v>24.509629629629629</v>
      </c>
    </row>
    <row r="167" spans="1:21" ht="14.5" x14ac:dyDescent="0.3">
      <c r="A167" s="27" t="s">
        <v>83</v>
      </c>
      <c r="B167" s="27" t="s">
        <v>84</v>
      </c>
      <c r="D167" s="30">
        <v>117.67</v>
      </c>
      <c r="E167" s="30">
        <v>31.65</v>
      </c>
      <c r="F167" s="21">
        <v>2014</v>
      </c>
      <c r="G167" s="27">
        <v>668.16</v>
      </c>
      <c r="H167" s="27">
        <v>712.31999999999994</v>
      </c>
      <c r="I167" s="27">
        <v>25.42</v>
      </c>
      <c r="J167" s="21">
        <v>1.4</v>
      </c>
      <c r="K167" s="27">
        <v>38</v>
      </c>
      <c r="L167" s="27">
        <v>37</v>
      </c>
      <c r="M167" s="27">
        <v>25</v>
      </c>
      <c r="N167" s="27">
        <v>6.18</v>
      </c>
      <c r="O167" s="30">
        <v>19.930394431554525</v>
      </c>
      <c r="P167" s="27">
        <v>1.3</v>
      </c>
      <c r="Q167" s="31">
        <f t="shared" si="2"/>
        <v>15.331072639657327</v>
      </c>
      <c r="R167" s="21">
        <v>0</v>
      </c>
      <c r="S167" s="11">
        <v>6.63</v>
      </c>
      <c r="U167" s="17">
        <v>0</v>
      </c>
    </row>
    <row r="168" spans="1:21" ht="14.5" x14ac:dyDescent="0.3">
      <c r="A168" s="27" t="s">
        <v>83</v>
      </c>
      <c r="B168" s="27" t="s">
        <v>84</v>
      </c>
      <c r="D168" s="30">
        <v>117.67</v>
      </c>
      <c r="E168" s="30">
        <v>31.65</v>
      </c>
      <c r="F168" s="21">
        <v>2014</v>
      </c>
      <c r="G168" s="27">
        <v>668.16</v>
      </c>
      <c r="H168" s="27">
        <v>712.31999999999994</v>
      </c>
      <c r="I168" s="27">
        <v>25.42</v>
      </c>
      <c r="J168" s="21">
        <v>1.4</v>
      </c>
      <c r="K168" s="27">
        <v>38</v>
      </c>
      <c r="L168" s="27">
        <v>37</v>
      </c>
      <c r="M168" s="27">
        <v>25</v>
      </c>
      <c r="N168" s="27">
        <v>6.18</v>
      </c>
      <c r="O168" s="30">
        <v>19.930394431554525</v>
      </c>
      <c r="P168" s="27">
        <v>1.3</v>
      </c>
      <c r="Q168" s="31">
        <f t="shared" si="2"/>
        <v>15.331072639657327</v>
      </c>
      <c r="R168" s="21">
        <v>168.75</v>
      </c>
      <c r="S168" s="11">
        <v>29.33</v>
      </c>
      <c r="U168" s="17">
        <f>(S168-S167)/R168*100</f>
        <v>13.451851851851851</v>
      </c>
    </row>
    <row r="169" spans="1:21" ht="14.5" x14ac:dyDescent="0.3">
      <c r="A169" s="27" t="s">
        <v>83</v>
      </c>
      <c r="B169" s="27" t="s">
        <v>84</v>
      </c>
      <c r="D169" s="30">
        <v>117.67</v>
      </c>
      <c r="E169" s="30">
        <v>31.65</v>
      </c>
      <c r="F169" s="21">
        <v>2014</v>
      </c>
      <c r="G169" s="27">
        <v>668.16</v>
      </c>
      <c r="H169" s="27">
        <v>712.31999999999994</v>
      </c>
      <c r="I169" s="27">
        <v>25.42</v>
      </c>
      <c r="J169" s="21">
        <v>1.4</v>
      </c>
      <c r="K169" s="27">
        <v>38</v>
      </c>
      <c r="L169" s="27">
        <v>37</v>
      </c>
      <c r="M169" s="27">
        <v>25</v>
      </c>
      <c r="N169" s="27">
        <v>6.18</v>
      </c>
      <c r="O169" s="30">
        <v>19.930394431554525</v>
      </c>
      <c r="P169" s="27">
        <v>1.3</v>
      </c>
      <c r="Q169" s="31">
        <f t="shared" si="2"/>
        <v>15.331072639657327</v>
      </c>
      <c r="R169" s="21">
        <v>225</v>
      </c>
      <c r="S169" s="11">
        <v>46.22</v>
      </c>
      <c r="U169" s="17">
        <f>(S169-S167)/R169*100</f>
        <v>17.595555555555553</v>
      </c>
    </row>
    <row r="170" spans="1:21" ht="14.5" x14ac:dyDescent="0.3">
      <c r="A170" s="27" t="s">
        <v>83</v>
      </c>
      <c r="B170" s="27" t="s">
        <v>84</v>
      </c>
      <c r="D170" s="30">
        <v>117.67</v>
      </c>
      <c r="E170" s="30">
        <v>31.65</v>
      </c>
      <c r="F170" s="21">
        <v>2014</v>
      </c>
      <c r="G170" s="27">
        <v>668.16</v>
      </c>
      <c r="H170" s="27">
        <v>712.31999999999994</v>
      </c>
      <c r="I170" s="27">
        <v>25.42</v>
      </c>
      <c r="J170" s="21">
        <v>1.4</v>
      </c>
      <c r="K170" s="27">
        <v>38</v>
      </c>
      <c r="L170" s="27">
        <v>37</v>
      </c>
      <c r="M170" s="27">
        <v>25</v>
      </c>
      <c r="N170" s="27">
        <v>6.18</v>
      </c>
      <c r="O170" s="30">
        <v>19.930394431554525</v>
      </c>
      <c r="P170" s="27">
        <v>1.3</v>
      </c>
      <c r="Q170" s="31">
        <f t="shared" si="2"/>
        <v>15.331072639657327</v>
      </c>
      <c r="R170" s="21">
        <v>281.25</v>
      </c>
      <c r="S170" s="11">
        <v>76.92</v>
      </c>
      <c r="U170" s="17">
        <f>(S170-S167)/R170*100</f>
        <v>24.992000000000004</v>
      </c>
    </row>
    <row r="171" spans="1:21" s="6" customFormat="1" ht="14.5" x14ac:dyDescent="0.3">
      <c r="A171" s="32" t="s">
        <v>83</v>
      </c>
      <c r="B171" s="32" t="s">
        <v>84</v>
      </c>
      <c r="C171" s="33"/>
      <c r="D171" s="35">
        <v>117.67</v>
      </c>
      <c r="E171" s="35">
        <v>31.65</v>
      </c>
      <c r="F171" s="22">
        <v>2014</v>
      </c>
      <c r="G171" s="32">
        <v>668.16</v>
      </c>
      <c r="H171" s="32">
        <v>712.31999999999994</v>
      </c>
      <c r="I171" s="32">
        <v>25.42</v>
      </c>
      <c r="J171" s="22">
        <v>1.4</v>
      </c>
      <c r="K171" s="32">
        <v>38</v>
      </c>
      <c r="L171" s="32">
        <v>37</v>
      </c>
      <c r="M171" s="32">
        <v>25</v>
      </c>
      <c r="N171" s="32">
        <v>6.18</v>
      </c>
      <c r="O171" s="35">
        <v>19.930394431554525</v>
      </c>
      <c r="P171" s="32">
        <v>1.3</v>
      </c>
      <c r="Q171" s="36">
        <f t="shared" si="2"/>
        <v>15.331072639657327</v>
      </c>
      <c r="R171" s="22">
        <v>337.5</v>
      </c>
      <c r="S171" s="13">
        <v>99.77</v>
      </c>
      <c r="T171" s="12"/>
      <c r="U171" s="18">
        <f>(S171-S167)/R171*100</f>
        <v>27.597037037037037</v>
      </c>
    </row>
    <row r="172" spans="1:21" ht="14.5" x14ac:dyDescent="0.3">
      <c r="A172" s="27" t="s">
        <v>86</v>
      </c>
      <c r="B172" s="27" t="s">
        <v>87</v>
      </c>
      <c r="C172" s="28">
        <v>2016</v>
      </c>
      <c r="D172" s="30">
        <v>120.68</v>
      </c>
      <c r="E172" s="30">
        <v>31.53</v>
      </c>
      <c r="F172" s="21">
        <v>2014</v>
      </c>
      <c r="G172" s="27">
        <v>717.95999999999992</v>
      </c>
      <c r="H172" s="27">
        <v>707.88</v>
      </c>
      <c r="I172" s="27">
        <v>24.995999999999999</v>
      </c>
      <c r="J172" s="21">
        <v>1.52</v>
      </c>
      <c r="K172" s="27">
        <v>36</v>
      </c>
      <c r="L172" s="27">
        <v>43</v>
      </c>
      <c r="M172" s="27">
        <v>21</v>
      </c>
      <c r="N172" s="27">
        <v>7.36</v>
      </c>
      <c r="O172" s="30">
        <v>20.301624129930396</v>
      </c>
      <c r="P172" s="27">
        <v>2.09</v>
      </c>
      <c r="Q172" s="31">
        <f t="shared" si="2"/>
        <v>9.7136957559475583</v>
      </c>
      <c r="R172" s="21">
        <v>0</v>
      </c>
      <c r="S172" s="11">
        <v>2.96</v>
      </c>
      <c r="T172" s="46">
        <f>S172</f>
        <v>2.96</v>
      </c>
      <c r="U172" s="17">
        <v>0</v>
      </c>
    </row>
    <row r="173" spans="1:21" ht="14.5" x14ac:dyDescent="0.3">
      <c r="A173" s="39" t="s">
        <v>88</v>
      </c>
      <c r="B173" s="27" t="s">
        <v>87</v>
      </c>
      <c r="C173" s="28">
        <v>2016</v>
      </c>
      <c r="D173" s="30">
        <v>120.68</v>
      </c>
      <c r="E173" s="30">
        <v>31.53</v>
      </c>
      <c r="F173" s="21">
        <v>2014</v>
      </c>
      <c r="G173" s="27">
        <v>717.95999999999992</v>
      </c>
      <c r="H173" s="27">
        <v>707.88</v>
      </c>
      <c r="I173" s="27">
        <v>24.995999999999999</v>
      </c>
      <c r="J173" s="21">
        <v>1.52</v>
      </c>
      <c r="K173" s="27">
        <v>36</v>
      </c>
      <c r="L173" s="27">
        <v>43</v>
      </c>
      <c r="M173" s="27">
        <v>21</v>
      </c>
      <c r="N173" s="27">
        <v>7.36</v>
      </c>
      <c r="O173" s="30">
        <v>20.301624129930396</v>
      </c>
      <c r="P173" s="27">
        <v>2.09</v>
      </c>
      <c r="Q173" s="31">
        <f t="shared" si="2"/>
        <v>9.7136957559475583</v>
      </c>
      <c r="R173" s="21">
        <v>240</v>
      </c>
      <c r="S173" s="11">
        <v>22.51</v>
      </c>
      <c r="U173" s="17">
        <f>(S173-S172)/R173*100</f>
        <v>8.1458333333333339</v>
      </c>
    </row>
    <row r="174" spans="1:21" s="6" customFormat="1" ht="14.5" x14ac:dyDescent="0.3">
      <c r="A174" s="32" t="s">
        <v>86</v>
      </c>
      <c r="B174" s="32" t="s">
        <v>87</v>
      </c>
      <c r="C174" s="33">
        <v>2016</v>
      </c>
      <c r="D174" s="35">
        <v>120.68</v>
      </c>
      <c r="E174" s="35">
        <v>31.53</v>
      </c>
      <c r="F174" s="22">
        <v>2014</v>
      </c>
      <c r="G174" s="32">
        <v>717.95999999999992</v>
      </c>
      <c r="H174" s="32">
        <v>707.88</v>
      </c>
      <c r="I174" s="32">
        <v>24.995999999999999</v>
      </c>
      <c r="J174" s="22">
        <v>1.52</v>
      </c>
      <c r="K174" s="32">
        <v>36</v>
      </c>
      <c r="L174" s="32">
        <v>43</v>
      </c>
      <c r="M174" s="32">
        <v>21</v>
      </c>
      <c r="N174" s="32">
        <v>7.36</v>
      </c>
      <c r="O174" s="35">
        <v>20.301624129930396</v>
      </c>
      <c r="P174" s="32">
        <v>2.09</v>
      </c>
      <c r="Q174" s="36">
        <f t="shared" si="2"/>
        <v>9.7136957559475583</v>
      </c>
      <c r="R174" s="22">
        <v>240</v>
      </c>
      <c r="S174" s="13">
        <v>26.21</v>
      </c>
      <c r="T174" s="12"/>
      <c r="U174" s="18">
        <f>(S174-S172)/R174*100</f>
        <v>9.6875</v>
      </c>
    </row>
    <row r="175" spans="1:21" ht="14.5" x14ac:dyDescent="0.3">
      <c r="A175" s="39" t="s">
        <v>89</v>
      </c>
      <c r="B175" s="27" t="s">
        <v>90</v>
      </c>
      <c r="D175" s="30">
        <v>124.25</v>
      </c>
      <c r="E175" s="30">
        <v>43.73</v>
      </c>
      <c r="F175" s="21">
        <v>2015</v>
      </c>
      <c r="G175" s="27">
        <v>380.16</v>
      </c>
      <c r="H175" s="27">
        <v>668.64</v>
      </c>
      <c r="I175" s="27">
        <v>21.535</v>
      </c>
      <c r="J175" s="21">
        <v>1.48</v>
      </c>
      <c r="K175" s="41">
        <v>36.25</v>
      </c>
      <c r="L175" s="41">
        <v>43</v>
      </c>
      <c r="M175" s="41">
        <v>20.75</v>
      </c>
      <c r="N175" s="27">
        <v>6.9</v>
      </c>
      <c r="O175" s="30">
        <v>13.0046403712297</v>
      </c>
      <c r="P175" s="27">
        <v>1.821</v>
      </c>
      <c r="Q175" s="31">
        <f t="shared" si="2"/>
        <v>7.1414829056725422</v>
      </c>
      <c r="R175" s="21">
        <v>180</v>
      </c>
      <c r="S175" s="11">
        <v>2.4826600000000001</v>
      </c>
      <c r="U175" s="17">
        <f>(S175-S176)/R175*100</f>
        <v>0.93846555555555555</v>
      </c>
    </row>
    <row r="176" spans="1:21" s="6" customFormat="1" ht="14.5" x14ac:dyDescent="0.3">
      <c r="A176" s="32" t="s">
        <v>91</v>
      </c>
      <c r="B176" s="32" t="s">
        <v>90</v>
      </c>
      <c r="C176" s="33"/>
      <c r="D176" s="35">
        <v>124.25</v>
      </c>
      <c r="E176" s="35">
        <v>43.73</v>
      </c>
      <c r="F176" s="22">
        <v>2015</v>
      </c>
      <c r="G176" s="32">
        <v>380.16</v>
      </c>
      <c r="H176" s="32">
        <v>668.64</v>
      </c>
      <c r="I176" s="32">
        <v>21.535</v>
      </c>
      <c r="J176" s="22">
        <v>1.48</v>
      </c>
      <c r="K176" s="42">
        <v>36.25</v>
      </c>
      <c r="L176" s="42">
        <v>43</v>
      </c>
      <c r="M176" s="42">
        <v>20.75</v>
      </c>
      <c r="N176" s="32">
        <v>6.9</v>
      </c>
      <c r="O176" s="35">
        <v>13.0046403712297</v>
      </c>
      <c r="P176" s="32">
        <v>1.821</v>
      </c>
      <c r="Q176" s="36">
        <f t="shared" ref="Q176:Q230" si="3">O176/P176</f>
        <v>7.1414829056725422</v>
      </c>
      <c r="R176" s="22">
        <v>0</v>
      </c>
      <c r="S176" s="13">
        <v>0.79342199999999996</v>
      </c>
      <c r="T176" s="12">
        <f>S176</f>
        <v>0.79342199999999996</v>
      </c>
      <c r="U176" s="18">
        <v>0</v>
      </c>
    </row>
    <row r="177" spans="1:21" ht="14.5" x14ac:dyDescent="0.3">
      <c r="A177" s="27" t="s">
        <v>92</v>
      </c>
      <c r="B177" s="27" t="s">
        <v>93</v>
      </c>
      <c r="D177" s="30">
        <v>103.65</v>
      </c>
      <c r="E177" s="30">
        <v>30.55</v>
      </c>
      <c r="F177" s="21">
        <v>2014</v>
      </c>
      <c r="G177" s="27">
        <v>894.48</v>
      </c>
      <c r="H177" s="27">
        <v>471.24</v>
      </c>
      <c r="I177" s="27">
        <v>21.805</v>
      </c>
      <c r="J177" s="21">
        <v>1.4</v>
      </c>
      <c r="K177" s="27">
        <v>47.7</v>
      </c>
      <c r="L177" s="27">
        <v>33.9</v>
      </c>
      <c r="M177" s="27">
        <v>18.399999999999999</v>
      </c>
      <c r="N177" s="27">
        <v>6.97</v>
      </c>
      <c r="O177" s="30">
        <v>15.951276102088167</v>
      </c>
      <c r="P177" s="27">
        <v>2.11</v>
      </c>
      <c r="Q177" s="31">
        <f t="shared" si="3"/>
        <v>7.5598464938806487</v>
      </c>
      <c r="R177" s="21">
        <v>0</v>
      </c>
      <c r="S177" s="11">
        <v>2.88</v>
      </c>
      <c r="U177" s="17">
        <v>0</v>
      </c>
    </row>
    <row r="178" spans="1:21" s="6" customFormat="1" ht="14.5" x14ac:dyDescent="0.3">
      <c r="A178" s="32" t="s">
        <v>94</v>
      </c>
      <c r="B178" s="32" t="s">
        <v>93</v>
      </c>
      <c r="C178" s="33"/>
      <c r="D178" s="35">
        <v>103.65</v>
      </c>
      <c r="E178" s="35">
        <v>30.55</v>
      </c>
      <c r="F178" s="22">
        <v>2014</v>
      </c>
      <c r="G178" s="32">
        <v>894.48</v>
      </c>
      <c r="H178" s="32">
        <v>471.24</v>
      </c>
      <c r="I178" s="32">
        <v>21.805</v>
      </c>
      <c r="J178" s="22">
        <v>1.4</v>
      </c>
      <c r="K178" s="32">
        <v>47.7</v>
      </c>
      <c r="L178" s="32">
        <v>33.9</v>
      </c>
      <c r="M178" s="32">
        <v>18.399999999999999</v>
      </c>
      <c r="N178" s="32">
        <v>6.97</v>
      </c>
      <c r="O178" s="35">
        <v>15.951276102088167</v>
      </c>
      <c r="P178" s="32">
        <v>2.11</v>
      </c>
      <c r="Q178" s="36">
        <f t="shared" si="3"/>
        <v>7.5598464938806487</v>
      </c>
      <c r="R178" s="22">
        <v>150</v>
      </c>
      <c r="S178" s="13">
        <v>24.41</v>
      </c>
      <c r="T178" s="12"/>
      <c r="U178" s="18">
        <f>(S178-S177)/R178*100</f>
        <v>14.353333333333335</v>
      </c>
    </row>
    <row r="179" spans="1:21" x14ac:dyDescent="0.3">
      <c r="A179" s="27" t="s">
        <v>95</v>
      </c>
      <c r="B179" s="27" t="s">
        <v>96</v>
      </c>
      <c r="D179" s="30">
        <v>120.47</v>
      </c>
      <c r="E179" s="30">
        <v>31.62</v>
      </c>
      <c r="F179" s="21">
        <v>2014</v>
      </c>
      <c r="G179" s="27">
        <v>754.56000000000006</v>
      </c>
      <c r="H179" s="27">
        <v>708.6</v>
      </c>
      <c r="I179" s="27">
        <v>25.161999999999999</v>
      </c>
      <c r="J179" s="21">
        <v>1.52</v>
      </c>
      <c r="K179" s="27">
        <v>38</v>
      </c>
      <c r="L179" s="27">
        <v>37</v>
      </c>
      <c r="M179" s="27">
        <v>25</v>
      </c>
      <c r="N179" s="27">
        <v>6.8</v>
      </c>
      <c r="O179" s="30">
        <v>16.583526682134572</v>
      </c>
      <c r="P179" s="27">
        <v>0.85</v>
      </c>
      <c r="Q179" s="31">
        <f t="shared" si="3"/>
        <v>19.510031390746555</v>
      </c>
      <c r="R179" s="21">
        <v>0</v>
      </c>
      <c r="S179" s="11">
        <v>5.21</v>
      </c>
      <c r="T179" s="46">
        <f>AVERAGE(S179,S181)</f>
        <v>4.3100000000000005</v>
      </c>
      <c r="U179" s="17">
        <v>0</v>
      </c>
    </row>
    <row r="180" spans="1:21" x14ac:dyDescent="0.3">
      <c r="A180" s="27" t="s">
        <v>97</v>
      </c>
      <c r="B180" s="27" t="s">
        <v>96</v>
      </c>
      <c r="D180" s="30">
        <v>120.47</v>
      </c>
      <c r="E180" s="30">
        <v>31.62</v>
      </c>
      <c r="F180" s="21">
        <v>2014</v>
      </c>
      <c r="G180" s="27">
        <v>754.56000000000006</v>
      </c>
      <c r="H180" s="27">
        <v>708.6</v>
      </c>
      <c r="I180" s="27">
        <v>25.161999999999999</v>
      </c>
      <c r="J180" s="21">
        <v>1.52</v>
      </c>
      <c r="K180" s="27">
        <v>38</v>
      </c>
      <c r="L180" s="27">
        <v>37</v>
      </c>
      <c r="M180" s="27">
        <v>25</v>
      </c>
      <c r="N180" s="27">
        <v>6.8</v>
      </c>
      <c r="O180" s="30">
        <v>16.583526682134572</v>
      </c>
      <c r="P180" s="27">
        <v>0.85</v>
      </c>
      <c r="Q180" s="31">
        <f t="shared" si="3"/>
        <v>19.510031390746555</v>
      </c>
      <c r="R180" s="21">
        <v>255</v>
      </c>
      <c r="S180" s="11">
        <v>8.7200000000000006</v>
      </c>
      <c r="U180" s="17">
        <f>(S180-S179)/R180*100</f>
        <v>1.3764705882352946</v>
      </c>
    </row>
    <row r="181" spans="1:21" x14ac:dyDescent="0.3">
      <c r="A181" s="27" t="s">
        <v>97</v>
      </c>
      <c r="B181" s="27" t="s">
        <v>96</v>
      </c>
      <c r="D181" s="30">
        <v>120.47</v>
      </c>
      <c r="E181" s="30">
        <v>31.62</v>
      </c>
      <c r="F181" s="21">
        <v>2014</v>
      </c>
      <c r="G181" s="27">
        <v>754.56000000000006</v>
      </c>
      <c r="H181" s="27">
        <v>708.6</v>
      </c>
      <c r="I181" s="27">
        <v>25.161999999999999</v>
      </c>
      <c r="J181" s="21">
        <v>1.52</v>
      </c>
      <c r="K181" s="27">
        <v>38</v>
      </c>
      <c r="L181" s="27">
        <v>37</v>
      </c>
      <c r="M181" s="27">
        <v>25</v>
      </c>
      <c r="N181" s="27">
        <v>6.8</v>
      </c>
      <c r="O181" s="30">
        <v>16.583526682134572</v>
      </c>
      <c r="P181" s="27">
        <v>0.85</v>
      </c>
      <c r="Q181" s="31">
        <f t="shared" si="3"/>
        <v>19.510031390746555</v>
      </c>
      <c r="R181" s="21">
        <v>0</v>
      </c>
      <c r="S181" s="11">
        <v>3.41</v>
      </c>
      <c r="U181" s="17">
        <v>0</v>
      </c>
    </row>
    <row r="182" spans="1:21" s="6" customFormat="1" x14ac:dyDescent="0.3">
      <c r="A182" s="32" t="s">
        <v>97</v>
      </c>
      <c r="B182" s="32" t="s">
        <v>96</v>
      </c>
      <c r="C182" s="33"/>
      <c r="D182" s="35">
        <v>120.47</v>
      </c>
      <c r="E182" s="35">
        <v>31.62</v>
      </c>
      <c r="F182" s="22">
        <v>2014</v>
      </c>
      <c r="G182" s="32">
        <v>754.56000000000006</v>
      </c>
      <c r="H182" s="32">
        <v>708.6</v>
      </c>
      <c r="I182" s="32">
        <v>25.161999999999999</v>
      </c>
      <c r="J182" s="22">
        <v>1.52</v>
      </c>
      <c r="K182" s="32">
        <v>38</v>
      </c>
      <c r="L182" s="32">
        <v>37</v>
      </c>
      <c r="M182" s="32">
        <v>25</v>
      </c>
      <c r="N182" s="32">
        <v>6.8</v>
      </c>
      <c r="O182" s="35">
        <v>16.583526682134572</v>
      </c>
      <c r="P182" s="32">
        <v>0.85</v>
      </c>
      <c r="Q182" s="36">
        <f t="shared" si="3"/>
        <v>19.510031390746555</v>
      </c>
      <c r="R182" s="22">
        <v>255</v>
      </c>
      <c r="S182" s="13">
        <v>8.89</v>
      </c>
      <c r="T182" s="12"/>
      <c r="U182" s="18">
        <f>(S182-S181)/R182*100</f>
        <v>2.1490196078431376</v>
      </c>
    </row>
    <row r="183" spans="1:21" x14ac:dyDescent="0.3">
      <c r="A183" s="27" t="s">
        <v>98</v>
      </c>
      <c r="B183" s="27" t="s">
        <v>99</v>
      </c>
      <c r="C183" s="28">
        <v>2016</v>
      </c>
      <c r="D183" s="30">
        <v>115.62</v>
      </c>
      <c r="E183" s="30">
        <v>29.98</v>
      </c>
      <c r="F183" s="21">
        <v>2013</v>
      </c>
      <c r="G183" s="27">
        <v>747.36</v>
      </c>
      <c r="H183" s="27">
        <v>634.07999999999993</v>
      </c>
      <c r="I183" s="27">
        <v>24.3</v>
      </c>
      <c r="J183" s="21">
        <v>1.4</v>
      </c>
      <c r="K183" s="27">
        <v>38</v>
      </c>
      <c r="L183" s="27">
        <v>37</v>
      </c>
      <c r="M183" s="27">
        <v>25</v>
      </c>
      <c r="N183" s="27">
        <v>4.9000000000000004</v>
      </c>
      <c r="O183" s="30">
        <v>12.296983758700696</v>
      </c>
      <c r="P183" s="27">
        <v>2</v>
      </c>
      <c r="Q183" s="31">
        <f t="shared" si="3"/>
        <v>6.148491879350348</v>
      </c>
      <c r="R183" s="21">
        <v>0</v>
      </c>
      <c r="S183" s="11">
        <v>8.08</v>
      </c>
      <c r="T183" s="97">
        <f>AVERAGE(S183,S186)</f>
        <v>5.62</v>
      </c>
      <c r="U183" s="17">
        <v>0</v>
      </c>
    </row>
    <row r="184" spans="1:21" x14ac:dyDescent="0.3">
      <c r="A184" s="27" t="s">
        <v>100</v>
      </c>
      <c r="B184" s="27" t="s">
        <v>99</v>
      </c>
      <c r="C184" s="28">
        <v>2016</v>
      </c>
      <c r="D184" s="30">
        <v>115.62</v>
      </c>
      <c r="E184" s="30">
        <v>29.98</v>
      </c>
      <c r="F184" s="21">
        <v>2013</v>
      </c>
      <c r="G184" s="27">
        <v>747.36</v>
      </c>
      <c r="H184" s="27">
        <v>634.07999999999993</v>
      </c>
      <c r="I184" s="27">
        <v>24.3</v>
      </c>
      <c r="J184" s="21">
        <v>1.4</v>
      </c>
      <c r="K184" s="27">
        <v>38</v>
      </c>
      <c r="L184" s="27">
        <v>37</v>
      </c>
      <c r="M184" s="27">
        <v>25</v>
      </c>
      <c r="N184" s="27">
        <v>4.9000000000000004</v>
      </c>
      <c r="O184" s="30">
        <v>12.296983758700696</v>
      </c>
      <c r="P184" s="27">
        <v>2</v>
      </c>
      <c r="Q184" s="31">
        <f t="shared" si="3"/>
        <v>6.148491879350348</v>
      </c>
      <c r="R184" s="21">
        <v>165</v>
      </c>
      <c r="S184" s="11">
        <v>25.03</v>
      </c>
      <c r="U184" s="17">
        <f>(S184-S183)/R184*100</f>
        <v>10.272727272727275</v>
      </c>
    </row>
    <row r="185" spans="1:21" x14ac:dyDescent="0.3">
      <c r="A185" s="27" t="s">
        <v>248</v>
      </c>
      <c r="B185" s="27" t="s">
        <v>99</v>
      </c>
      <c r="C185" s="28">
        <v>2016</v>
      </c>
      <c r="D185" s="30">
        <v>115.62</v>
      </c>
      <c r="E185" s="30">
        <v>29.98</v>
      </c>
      <c r="F185" s="21">
        <v>2013</v>
      </c>
      <c r="G185" s="27">
        <v>747.36</v>
      </c>
      <c r="H185" s="27">
        <v>634.07999999999993</v>
      </c>
      <c r="I185" s="27">
        <v>24.3</v>
      </c>
      <c r="J185" s="21">
        <v>1.4</v>
      </c>
      <c r="K185" s="27">
        <v>38</v>
      </c>
      <c r="L185" s="27">
        <v>37</v>
      </c>
      <c r="M185" s="27">
        <v>25</v>
      </c>
      <c r="N185" s="27">
        <v>4.9000000000000004</v>
      </c>
      <c r="O185" s="30">
        <v>12.296983758700696</v>
      </c>
      <c r="P185" s="27">
        <v>2</v>
      </c>
      <c r="Q185" s="31">
        <f t="shared" si="3"/>
        <v>6.148491879350348</v>
      </c>
      <c r="R185" s="21">
        <v>165</v>
      </c>
      <c r="S185" s="11">
        <v>20.05</v>
      </c>
      <c r="U185" s="17">
        <f>(S185-S183)/R185*100</f>
        <v>7.2545454545454549</v>
      </c>
    </row>
    <row r="186" spans="1:21" x14ac:dyDescent="0.3">
      <c r="A186" s="27" t="s">
        <v>98</v>
      </c>
      <c r="B186" s="27" t="s">
        <v>99</v>
      </c>
      <c r="C186" s="28">
        <v>2016</v>
      </c>
      <c r="D186" s="30">
        <v>115.58</v>
      </c>
      <c r="E186" s="30">
        <v>30.12</v>
      </c>
      <c r="F186" s="21">
        <v>2014</v>
      </c>
      <c r="G186" s="27">
        <v>942.24</v>
      </c>
      <c r="H186" s="27">
        <v>634.07999999999993</v>
      </c>
      <c r="I186" s="27">
        <v>25.837</v>
      </c>
      <c r="J186" s="21">
        <v>1.4</v>
      </c>
      <c r="K186" s="27">
        <v>38</v>
      </c>
      <c r="L186" s="27">
        <v>37</v>
      </c>
      <c r="M186" s="27">
        <v>25</v>
      </c>
      <c r="N186" s="27">
        <v>6.3</v>
      </c>
      <c r="O186" s="30">
        <v>23.317865429234342</v>
      </c>
      <c r="P186" s="27">
        <v>2.2000000000000002</v>
      </c>
      <c r="Q186" s="31">
        <f t="shared" si="3"/>
        <v>10.599029740561063</v>
      </c>
      <c r="R186" s="21">
        <v>0</v>
      </c>
      <c r="S186" s="11">
        <v>3.16</v>
      </c>
      <c r="U186" s="17">
        <v>0</v>
      </c>
    </row>
    <row r="187" spans="1:21" x14ac:dyDescent="0.3">
      <c r="A187" s="27" t="s">
        <v>98</v>
      </c>
      <c r="B187" s="27" t="s">
        <v>99</v>
      </c>
      <c r="C187" s="28">
        <v>2016</v>
      </c>
      <c r="D187" s="30">
        <v>115.58</v>
      </c>
      <c r="E187" s="30">
        <v>30.12</v>
      </c>
      <c r="F187" s="21">
        <v>2014</v>
      </c>
      <c r="G187" s="27">
        <v>942.24</v>
      </c>
      <c r="H187" s="27">
        <v>634.07999999999993</v>
      </c>
      <c r="I187" s="27">
        <v>25.837</v>
      </c>
      <c r="J187" s="21">
        <v>1.4</v>
      </c>
      <c r="K187" s="27">
        <v>38</v>
      </c>
      <c r="L187" s="27">
        <v>37</v>
      </c>
      <c r="M187" s="27">
        <v>25</v>
      </c>
      <c r="N187" s="27">
        <v>6.3</v>
      </c>
      <c r="O187" s="30">
        <v>23.317865429234342</v>
      </c>
      <c r="P187" s="27">
        <v>2.2000000000000002</v>
      </c>
      <c r="Q187" s="31">
        <f t="shared" si="3"/>
        <v>10.599029740561063</v>
      </c>
      <c r="R187" s="21">
        <v>165</v>
      </c>
      <c r="S187" s="11">
        <v>13.73</v>
      </c>
      <c r="U187" s="17">
        <f>(S187-S186)/R187*100</f>
        <v>6.4060606060606071</v>
      </c>
    </row>
    <row r="188" spans="1:21" s="6" customFormat="1" x14ac:dyDescent="0.3">
      <c r="A188" s="32" t="s">
        <v>98</v>
      </c>
      <c r="B188" s="32" t="s">
        <v>99</v>
      </c>
      <c r="C188" s="33">
        <v>2016</v>
      </c>
      <c r="D188" s="35">
        <v>115.58</v>
      </c>
      <c r="E188" s="35">
        <v>30.12</v>
      </c>
      <c r="F188" s="22">
        <v>2014</v>
      </c>
      <c r="G188" s="32">
        <v>942.24</v>
      </c>
      <c r="H188" s="32">
        <v>634.07999999999993</v>
      </c>
      <c r="I188" s="32">
        <v>25.837</v>
      </c>
      <c r="J188" s="22">
        <v>1.4</v>
      </c>
      <c r="K188" s="32">
        <v>38</v>
      </c>
      <c r="L188" s="32">
        <v>37</v>
      </c>
      <c r="M188" s="32">
        <v>25</v>
      </c>
      <c r="N188" s="32">
        <v>6.3</v>
      </c>
      <c r="O188" s="35">
        <v>23.317865429234342</v>
      </c>
      <c r="P188" s="32">
        <v>2.2000000000000002</v>
      </c>
      <c r="Q188" s="36">
        <f t="shared" si="3"/>
        <v>10.599029740561063</v>
      </c>
      <c r="R188" s="22">
        <v>165</v>
      </c>
      <c r="S188" s="13">
        <v>11.82</v>
      </c>
      <c r="T188" s="12"/>
      <c r="U188" s="18">
        <f>(S188-S186)/R188*100</f>
        <v>5.248484848484849</v>
      </c>
    </row>
    <row r="189" spans="1:21" ht="14.5" x14ac:dyDescent="0.3">
      <c r="A189" s="39" t="s">
        <v>101</v>
      </c>
      <c r="B189" s="27" t="s">
        <v>102</v>
      </c>
      <c r="C189" s="28">
        <v>2018</v>
      </c>
      <c r="D189" s="30">
        <v>109.6</v>
      </c>
      <c r="E189" s="30">
        <v>19.5</v>
      </c>
      <c r="F189" s="21">
        <v>2016</v>
      </c>
      <c r="G189" s="27">
        <v>399.71999999999997</v>
      </c>
      <c r="H189" s="27">
        <v>696.48</v>
      </c>
      <c r="I189" s="27">
        <v>29.856000000000002</v>
      </c>
      <c r="J189" s="21">
        <v>1.3</v>
      </c>
      <c r="K189" s="27">
        <v>40</v>
      </c>
      <c r="L189" s="27">
        <v>17</v>
      </c>
      <c r="M189" s="27">
        <v>43</v>
      </c>
      <c r="N189" s="27">
        <v>4.9800000000000004</v>
      </c>
      <c r="O189" s="30">
        <v>17.633410672853827</v>
      </c>
      <c r="P189" s="27">
        <v>1.39</v>
      </c>
      <c r="Q189" s="31">
        <f t="shared" si="3"/>
        <v>12.685906958887646</v>
      </c>
      <c r="R189" s="21">
        <v>0</v>
      </c>
      <c r="S189" s="11">
        <v>1.23</v>
      </c>
      <c r="T189" s="46">
        <f>S189</f>
        <v>1.23</v>
      </c>
      <c r="U189" s="17">
        <v>0</v>
      </c>
    </row>
    <row r="190" spans="1:21" s="6" customFormat="1" ht="14.5" x14ac:dyDescent="0.3">
      <c r="A190" s="32" t="s">
        <v>103</v>
      </c>
      <c r="B190" s="32" t="s">
        <v>102</v>
      </c>
      <c r="C190" s="33">
        <v>2018</v>
      </c>
      <c r="D190" s="35">
        <v>109.6</v>
      </c>
      <c r="E190" s="35">
        <v>19.5</v>
      </c>
      <c r="F190" s="22">
        <v>2016</v>
      </c>
      <c r="G190" s="32">
        <v>399.71999999999997</v>
      </c>
      <c r="H190" s="32">
        <v>696.48</v>
      </c>
      <c r="I190" s="32">
        <v>29.856000000000002</v>
      </c>
      <c r="J190" s="22">
        <v>1.3</v>
      </c>
      <c r="K190" s="32">
        <v>40</v>
      </c>
      <c r="L190" s="32">
        <v>17</v>
      </c>
      <c r="M190" s="32">
        <v>43</v>
      </c>
      <c r="N190" s="32">
        <v>4.9800000000000004</v>
      </c>
      <c r="O190" s="35">
        <v>17.633410672853827</v>
      </c>
      <c r="P190" s="32">
        <v>1.39</v>
      </c>
      <c r="Q190" s="36">
        <f t="shared" si="3"/>
        <v>12.685906958887646</v>
      </c>
      <c r="R190" s="22">
        <v>185</v>
      </c>
      <c r="S190" s="13">
        <v>28.560000000000002</v>
      </c>
      <c r="T190" s="12"/>
      <c r="U190" s="18">
        <f>(S190-S189)/R190*100</f>
        <v>14.772972972972976</v>
      </c>
    </row>
    <row r="191" spans="1:21" ht="14.5" x14ac:dyDescent="0.3">
      <c r="A191" s="27" t="s">
        <v>104</v>
      </c>
      <c r="B191" s="27" t="s">
        <v>105</v>
      </c>
      <c r="C191" s="28">
        <v>2018</v>
      </c>
      <c r="D191" s="30">
        <v>113.82</v>
      </c>
      <c r="E191" s="30">
        <v>28.32</v>
      </c>
      <c r="F191" s="21">
        <v>2016</v>
      </c>
      <c r="G191" s="27">
        <v>965.15999999999985</v>
      </c>
      <c r="H191" s="27">
        <v>510.23999999999995</v>
      </c>
      <c r="I191" s="27">
        <v>25.792999999999999</v>
      </c>
      <c r="J191" s="21">
        <v>1.07</v>
      </c>
      <c r="K191" s="37">
        <v>36.6122449</v>
      </c>
      <c r="L191" s="37">
        <v>31.673469390000001</v>
      </c>
      <c r="M191" s="37">
        <v>31.714285709999999</v>
      </c>
      <c r="N191" s="27">
        <v>5.61</v>
      </c>
      <c r="O191" s="30">
        <v>9.6287703016241313</v>
      </c>
      <c r="P191" s="27">
        <v>1.21</v>
      </c>
      <c r="Q191" s="31">
        <f t="shared" si="3"/>
        <v>7.957661406300935</v>
      </c>
      <c r="R191" s="21">
        <v>0</v>
      </c>
      <c r="S191" s="11">
        <v>7.6</v>
      </c>
      <c r="T191" s="46">
        <f>AVERAGE(S191,S193)</f>
        <v>8.9499999999999993</v>
      </c>
      <c r="U191" s="17">
        <v>0</v>
      </c>
    </row>
    <row r="192" spans="1:21" ht="14.5" x14ac:dyDescent="0.3">
      <c r="A192" s="39" t="s">
        <v>106</v>
      </c>
      <c r="B192" s="27" t="s">
        <v>105</v>
      </c>
      <c r="C192" s="28">
        <v>2018</v>
      </c>
      <c r="D192" s="30">
        <v>113.82</v>
      </c>
      <c r="E192" s="30">
        <v>28.32</v>
      </c>
      <c r="F192" s="21">
        <v>2016</v>
      </c>
      <c r="G192" s="27">
        <v>965.15999999999985</v>
      </c>
      <c r="H192" s="27">
        <v>510.23999999999995</v>
      </c>
      <c r="I192" s="27">
        <v>25.792999999999999</v>
      </c>
      <c r="J192" s="21">
        <v>1.07</v>
      </c>
      <c r="K192" s="37">
        <v>36.6122449</v>
      </c>
      <c r="L192" s="37">
        <v>31.673469390000001</v>
      </c>
      <c r="M192" s="37">
        <v>31.714285709999999</v>
      </c>
      <c r="N192" s="27">
        <v>5.61</v>
      </c>
      <c r="O192" s="30">
        <v>9.6287703016241313</v>
      </c>
      <c r="P192" s="27">
        <v>1.21</v>
      </c>
      <c r="Q192" s="31">
        <f t="shared" si="3"/>
        <v>7.957661406300935</v>
      </c>
      <c r="R192" s="21">
        <v>150</v>
      </c>
      <c r="S192" s="11">
        <v>47.2</v>
      </c>
      <c r="U192" s="17">
        <f>(S192-S191)/R192*100</f>
        <v>26.400000000000002</v>
      </c>
    </row>
    <row r="193" spans="1:21" ht="14.5" x14ac:dyDescent="0.3">
      <c r="A193" s="27" t="s">
        <v>104</v>
      </c>
      <c r="B193" s="27" t="s">
        <v>105</v>
      </c>
      <c r="C193" s="28">
        <v>2018</v>
      </c>
      <c r="D193" s="30">
        <v>113.82</v>
      </c>
      <c r="E193" s="30">
        <v>28.32</v>
      </c>
      <c r="F193" s="21">
        <v>2016</v>
      </c>
      <c r="G193" s="27">
        <v>965.15999999999985</v>
      </c>
      <c r="H193" s="27">
        <v>510.23999999999995</v>
      </c>
      <c r="I193" s="27">
        <v>25.792999999999999</v>
      </c>
      <c r="J193" s="21">
        <v>1.07</v>
      </c>
      <c r="K193" s="37">
        <v>36.6122449</v>
      </c>
      <c r="L193" s="37">
        <v>31.673469390000001</v>
      </c>
      <c r="M193" s="37">
        <v>31.714285709999999</v>
      </c>
      <c r="N193" s="27">
        <v>5.61</v>
      </c>
      <c r="O193" s="30">
        <v>9.6287703016241313</v>
      </c>
      <c r="P193" s="27">
        <v>1.21</v>
      </c>
      <c r="Q193" s="31">
        <f t="shared" si="3"/>
        <v>7.957661406300935</v>
      </c>
      <c r="R193" s="21">
        <v>0</v>
      </c>
      <c r="S193" s="11">
        <v>10.3</v>
      </c>
      <c r="U193" s="17">
        <v>0</v>
      </c>
    </row>
    <row r="194" spans="1:21" s="6" customFormat="1" ht="14.5" x14ac:dyDescent="0.3">
      <c r="A194" s="32" t="s">
        <v>104</v>
      </c>
      <c r="B194" s="32" t="s">
        <v>105</v>
      </c>
      <c r="C194" s="33">
        <v>2018</v>
      </c>
      <c r="D194" s="35">
        <v>113.82</v>
      </c>
      <c r="E194" s="35">
        <v>28.32</v>
      </c>
      <c r="F194" s="22">
        <v>2016</v>
      </c>
      <c r="G194" s="32">
        <v>965.15999999999985</v>
      </c>
      <c r="H194" s="32">
        <v>510.23999999999995</v>
      </c>
      <c r="I194" s="32">
        <v>25.792999999999999</v>
      </c>
      <c r="J194" s="22">
        <v>1.07</v>
      </c>
      <c r="K194" s="38">
        <v>36.6122449</v>
      </c>
      <c r="L194" s="38">
        <v>31.673469390000001</v>
      </c>
      <c r="M194" s="38">
        <v>31.714285709999999</v>
      </c>
      <c r="N194" s="32">
        <v>5.61</v>
      </c>
      <c r="O194" s="35">
        <v>9.6287703016241313</v>
      </c>
      <c r="P194" s="32">
        <v>1.21</v>
      </c>
      <c r="Q194" s="36">
        <f t="shared" si="3"/>
        <v>7.957661406300935</v>
      </c>
      <c r="R194" s="22">
        <v>180</v>
      </c>
      <c r="S194" s="13">
        <v>61.9</v>
      </c>
      <c r="T194" s="12"/>
      <c r="U194" s="18">
        <f>(S194-S193)/R194*100</f>
        <v>28.666666666666664</v>
      </c>
    </row>
    <row r="195" spans="1:21" ht="14.5" x14ac:dyDescent="0.3">
      <c r="A195" s="39" t="s">
        <v>107</v>
      </c>
      <c r="B195" s="27" t="s">
        <v>108</v>
      </c>
      <c r="C195" s="28">
        <v>2017</v>
      </c>
      <c r="D195" s="30">
        <v>119.87</v>
      </c>
      <c r="E195" s="30">
        <v>31.25</v>
      </c>
      <c r="F195" s="21">
        <v>2015</v>
      </c>
      <c r="G195" s="27">
        <v>1100</v>
      </c>
      <c r="H195" s="27">
        <v>660.6</v>
      </c>
      <c r="I195" s="27">
        <v>25.1</v>
      </c>
      <c r="J195" s="21">
        <v>1.4</v>
      </c>
      <c r="K195" s="27">
        <v>38</v>
      </c>
      <c r="L195" s="27">
        <v>37</v>
      </c>
      <c r="M195" s="27">
        <v>25</v>
      </c>
      <c r="N195" s="27">
        <v>6.3</v>
      </c>
      <c r="O195" s="30">
        <v>18.851508120649651</v>
      </c>
      <c r="P195" s="27">
        <v>2.27</v>
      </c>
      <c r="Q195" s="31">
        <f t="shared" si="3"/>
        <v>8.3046291280394939</v>
      </c>
      <c r="R195" s="21">
        <v>0</v>
      </c>
      <c r="S195" s="11">
        <v>27.67</v>
      </c>
      <c r="T195" s="46">
        <f>S195</f>
        <v>27.67</v>
      </c>
      <c r="U195" s="17">
        <v>0</v>
      </c>
    </row>
    <row r="196" spans="1:21" s="6" customFormat="1" ht="14.5" x14ac:dyDescent="0.3">
      <c r="A196" s="32" t="s">
        <v>109</v>
      </c>
      <c r="B196" s="32" t="s">
        <v>108</v>
      </c>
      <c r="C196" s="33">
        <v>2017</v>
      </c>
      <c r="D196" s="35">
        <v>119.87</v>
      </c>
      <c r="E196" s="35">
        <v>31.25</v>
      </c>
      <c r="F196" s="22">
        <v>2015</v>
      </c>
      <c r="G196" s="32">
        <v>1100</v>
      </c>
      <c r="H196" s="32">
        <v>660.6</v>
      </c>
      <c r="I196" s="32">
        <v>25.1</v>
      </c>
      <c r="J196" s="22">
        <v>1.4</v>
      </c>
      <c r="K196" s="32">
        <v>38</v>
      </c>
      <c r="L196" s="32">
        <v>37</v>
      </c>
      <c r="M196" s="32">
        <v>25</v>
      </c>
      <c r="N196" s="32">
        <v>6.3</v>
      </c>
      <c r="O196" s="35">
        <v>18.851508120649651</v>
      </c>
      <c r="P196" s="32">
        <v>2.27</v>
      </c>
      <c r="Q196" s="36">
        <f t="shared" si="3"/>
        <v>8.3046291280394939</v>
      </c>
      <c r="R196" s="22">
        <v>225</v>
      </c>
      <c r="S196" s="13">
        <v>70.92</v>
      </c>
      <c r="T196" s="12"/>
      <c r="U196" s="18">
        <f>(S196-S195)/R196*100</f>
        <v>19.222222222222221</v>
      </c>
    </row>
    <row r="197" spans="1:21" ht="14.5" x14ac:dyDescent="0.3">
      <c r="A197" s="39" t="s">
        <v>110</v>
      </c>
      <c r="B197" s="27" t="s">
        <v>111</v>
      </c>
      <c r="D197" s="30">
        <v>115.93</v>
      </c>
      <c r="E197" s="30">
        <v>28.12</v>
      </c>
      <c r="F197" s="21" t="s">
        <v>112</v>
      </c>
      <c r="G197" s="27">
        <v>1083</v>
      </c>
      <c r="H197" s="27">
        <v>669.6</v>
      </c>
      <c r="I197" s="27">
        <v>27.216999999999999</v>
      </c>
      <c r="J197" s="21">
        <v>1.4</v>
      </c>
      <c r="K197" s="37">
        <v>35.241379309999999</v>
      </c>
      <c r="L197" s="37">
        <v>36.862068970000003</v>
      </c>
      <c r="M197" s="37">
        <v>27.896551720000001</v>
      </c>
      <c r="N197" s="27">
        <v>5.0199999999999996</v>
      </c>
      <c r="O197" s="30">
        <v>17.053364269141532</v>
      </c>
      <c r="P197" s="27">
        <v>3.06</v>
      </c>
      <c r="Q197" s="31">
        <f t="shared" si="3"/>
        <v>5.5729948591965792</v>
      </c>
      <c r="R197" s="21">
        <v>0</v>
      </c>
      <c r="S197" s="11">
        <v>1.64</v>
      </c>
      <c r="T197" s="46">
        <f>S197</f>
        <v>1.64</v>
      </c>
      <c r="U197" s="17">
        <v>0</v>
      </c>
    </row>
    <row r="198" spans="1:21" s="6" customFormat="1" ht="14.5" x14ac:dyDescent="0.3">
      <c r="A198" s="32" t="s">
        <v>113</v>
      </c>
      <c r="B198" s="32" t="s">
        <v>111</v>
      </c>
      <c r="C198" s="33"/>
      <c r="D198" s="35">
        <v>115.93</v>
      </c>
      <c r="E198" s="35">
        <v>28.12</v>
      </c>
      <c r="F198" s="22" t="s">
        <v>112</v>
      </c>
      <c r="G198" s="32">
        <v>1083</v>
      </c>
      <c r="H198" s="32">
        <v>669.6</v>
      </c>
      <c r="I198" s="32">
        <v>27.216999999999999</v>
      </c>
      <c r="J198" s="22">
        <v>1.4</v>
      </c>
      <c r="K198" s="38">
        <v>35.241379309999999</v>
      </c>
      <c r="L198" s="38">
        <v>36.862068970000003</v>
      </c>
      <c r="M198" s="38">
        <v>27.896551720000001</v>
      </c>
      <c r="N198" s="32">
        <v>5.0199999999999996</v>
      </c>
      <c r="O198" s="35">
        <v>17.053364269141532</v>
      </c>
      <c r="P198" s="32">
        <v>3.06</v>
      </c>
      <c r="Q198" s="36">
        <f t="shared" si="3"/>
        <v>5.5729948591965792</v>
      </c>
      <c r="R198" s="22">
        <v>150</v>
      </c>
      <c r="S198" s="13">
        <v>93.4</v>
      </c>
      <c r="T198" s="12"/>
      <c r="U198" s="18">
        <f>(S198-S197)/R198*100</f>
        <v>61.173333333333332</v>
      </c>
    </row>
    <row r="199" spans="1:21" ht="14.5" x14ac:dyDescent="0.3">
      <c r="A199" s="39" t="s">
        <v>114</v>
      </c>
      <c r="B199" s="27" t="s">
        <v>115</v>
      </c>
      <c r="C199" s="28">
        <v>2015</v>
      </c>
      <c r="D199" s="30">
        <v>120.4</v>
      </c>
      <c r="E199" s="30">
        <v>30.47</v>
      </c>
      <c r="F199" s="21">
        <v>2013</v>
      </c>
      <c r="G199" s="27">
        <v>753.12</v>
      </c>
      <c r="H199" s="27">
        <v>570.6</v>
      </c>
      <c r="I199" s="27">
        <v>26.501999999999999</v>
      </c>
      <c r="J199" s="21">
        <v>1.4</v>
      </c>
      <c r="K199" s="37">
        <v>64</v>
      </c>
      <c r="L199" s="37">
        <v>24.266666669999999</v>
      </c>
      <c r="M199" s="37">
        <v>11.733333330000001</v>
      </c>
      <c r="N199" s="27">
        <v>6.79</v>
      </c>
      <c r="O199" s="30">
        <v>4.5997679814385153</v>
      </c>
      <c r="P199" s="27">
        <v>0.51</v>
      </c>
      <c r="Q199" s="31">
        <f t="shared" si="3"/>
        <v>9.0191529047814019</v>
      </c>
      <c r="R199" s="21">
        <v>0</v>
      </c>
      <c r="S199" s="11">
        <v>3.14</v>
      </c>
      <c r="T199" s="46">
        <f>AVERAGE(S199,S200)</f>
        <v>5.0200000000000005</v>
      </c>
      <c r="U199" s="17">
        <v>0</v>
      </c>
    </row>
    <row r="200" spans="1:21" ht="14.5" x14ac:dyDescent="0.3">
      <c r="A200" s="27" t="s">
        <v>116</v>
      </c>
      <c r="B200" s="27" t="s">
        <v>115</v>
      </c>
      <c r="C200" s="28">
        <v>2015</v>
      </c>
      <c r="D200" s="30">
        <v>120.4</v>
      </c>
      <c r="E200" s="30">
        <v>30.47</v>
      </c>
      <c r="F200" s="21">
        <v>2013</v>
      </c>
      <c r="G200" s="27">
        <v>753.12</v>
      </c>
      <c r="H200" s="27">
        <v>570.6</v>
      </c>
      <c r="I200" s="27">
        <v>26.501999999999999</v>
      </c>
      <c r="J200" s="21">
        <v>1.4</v>
      </c>
      <c r="K200" s="37">
        <v>64</v>
      </c>
      <c r="L200" s="37">
        <v>24.266666669999999</v>
      </c>
      <c r="M200" s="37">
        <v>11.733333330000001</v>
      </c>
      <c r="N200" s="27">
        <v>6.79</v>
      </c>
      <c r="O200" s="30">
        <v>4.5997679814385153</v>
      </c>
      <c r="P200" s="27">
        <v>0.51</v>
      </c>
      <c r="Q200" s="31">
        <f t="shared" si="3"/>
        <v>9.0191529047814019</v>
      </c>
      <c r="R200" s="21">
        <v>0</v>
      </c>
      <c r="S200" s="11">
        <v>6.9</v>
      </c>
      <c r="U200" s="17">
        <v>0</v>
      </c>
    </row>
    <row r="201" spans="1:21" s="6" customFormat="1" ht="14.5" x14ac:dyDescent="0.3">
      <c r="A201" s="32" t="s">
        <v>116</v>
      </c>
      <c r="B201" s="32" t="s">
        <v>115</v>
      </c>
      <c r="C201" s="33">
        <v>2015</v>
      </c>
      <c r="D201" s="35">
        <v>120.4</v>
      </c>
      <c r="E201" s="35">
        <v>30.47</v>
      </c>
      <c r="F201" s="22">
        <v>2013</v>
      </c>
      <c r="G201" s="32">
        <v>753.12</v>
      </c>
      <c r="H201" s="32">
        <v>570.6</v>
      </c>
      <c r="I201" s="32">
        <v>26.501999999999999</v>
      </c>
      <c r="J201" s="22">
        <v>1.4</v>
      </c>
      <c r="K201" s="38">
        <v>64</v>
      </c>
      <c r="L201" s="38">
        <v>24.266666669999999</v>
      </c>
      <c r="M201" s="38">
        <v>11.733333330000001</v>
      </c>
      <c r="N201" s="32">
        <v>6.79</v>
      </c>
      <c r="O201" s="35">
        <v>4.5997679814385153</v>
      </c>
      <c r="P201" s="32">
        <v>0.51</v>
      </c>
      <c r="Q201" s="36">
        <f t="shared" si="3"/>
        <v>9.0191529047814019</v>
      </c>
      <c r="R201" s="22">
        <v>180</v>
      </c>
      <c r="S201" s="13">
        <v>43.49</v>
      </c>
      <c r="T201" s="12"/>
      <c r="U201" s="98">
        <f>(S201-S200)/R201*100</f>
        <v>20.327777777777779</v>
      </c>
    </row>
    <row r="202" spans="1:21" x14ac:dyDescent="0.3">
      <c r="A202" s="27" t="s">
        <v>117</v>
      </c>
      <c r="B202" s="27" t="s">
        <v>118</v>
      </c>
      <c r="D202" s="30">
        <v>119.98609999999999</v>
      </c>
      <c r="E202" s="30">
        <v>31.476500000000001</v>
      </c>
      <c r="F202" s="21">
        <v>2013</v>
      </c>
      <c r="G202" s="27">
        <v>1006.1999999999999</v>
      </c>
      <c r="H202" s="27">
        <v>708.6</v>
      </c>
      <c r="I202" s="27">
        <v>25.271999999999998</v>
      </c>
      <c r="J202" s="21">
        <v>1.4</v>
      </c>
      <c r="K202" s="27">
        <v>38</v>
      </c>
      <c r="L202" s="27">
        <v>37</v>
      </c>
      <c r="M202" s="27">
        <v>25</v>
      </c>
      <c r="N202" s="27">
        <v>6.38</v>
      </c>
      <c r="O202" s="30">
        <v>13.225058004640372</v>
      </c>
      <c r="P202" s="27">
        <v>1.56</v>
      </c>
      <c r="Q202" s="31">
        <f t="shared" si="3"/>
        <v>8.4776012850258802</v>
      </c>
      <c r="R202" s="21">
        <v>0</v>
      </c>
      <c r="S202" s="11">
        <v>2.4500000000000002</v>
      </c>
      <c r="T202" s="46">
        <f>S202</f>
        <v>2.4500000000000002</v>
      </c>
      <c r="U202" s="17">
        <v>0</v>
      </c>
    </row>
    <row r="203" spans="1:21" s="6" customFormat="1" x14ac:dyDescent="0.3">
      <c r="A203" s="32" t="s">
        <v>119</v>
      </c>
      <c r="B203" s="32" t="s">
        <v>118</v>
      </c>
      <c r="C203" s="33"/>
      <c r="D203" s="35">
        <v>119.98609999999999</v>
      </c>
      <c r="E203" s="35">
        <v>31.476500000000001</v>
      </c>
      <c r="F203" s="22">
        <v>2013</v>
      </c>
      <c r="G203" s="32">
        <v>1006.1999999999999</v>
      </c>
      <c r="H203" s="32">
        <v>708.6</v>
      </c>
      <c r="I203" s="32">
        <v>25.271999999999998</v>
      </c>
      <c r="J203" s="22">
        <v>1.4</v>
      </c>
      <c r="K203" s="32">
        <v>38</v>
      </c>
      <c r="L203" s="32">
        <v>37</v>
      </c>
      <c r="M203" s="32">
        <v>25</v>
      </c>
      <c r="N203" s="32">
        <v>6.38</v>
      </c>
      <c r="O203" s="35">
        <v>13.225058004640372</v>
      </c>
      <c r="P203" s="32">
        <v>1.56</v>
      </c>
      <c r="Q203" s="36">
        <f t="shared" si="3"/>
        <v>8.4776012850258802</v>
      </c>
      <c r="R203" s="22">
        <v>240</v>
      </c>
      <c r="S203" s="13">
        <v>15.85</v>
      </c>
      <c r="T203" s="12"/>
      <c r="U203" s="18">
        <f>(S203-S202)/R203*100</f>
        <v>5.5833333333333321</v>
      </c>
    </row>
    <row r="204" spans="1:21" x14ac:dyDescent="0.3">
      <c r="A204" s="27" t="s">
        <v>120</v>
      </c>
      <c r="B204" s="27" t="s">
        <v>121</v>
      </c>
      <c r="D204" s="30">
        <v>118.72</v>
      </c>
      <c r="E204" s="30">
        <v>31.66</v>
      </c>
      <c r="F204" s="21">
        <v>2014</v>
      </c>
      <c r="G204" s="27">
        <v>635.88</v>
      </c>
      <c r="H204" s="27">
        <v>633.3599999999999</v>
      </c>
      <c r="I204" s="27">
        <v>23.974</v>
      </c>
      <c r="J204" s="21">
        <v>1.4</v>
      </c>
      <c r="K204" s="27">
        <v>38</v>
      </c>
      <c r="L204" s="27">
        <v>37</v>
      </c>
      <c r="M204" s="27">
        <v>25</v>
      </c>
      <c r="N204" s="27">
        <v>6.1</v>
      </c>
      <c r="O204" s="30">
        <v>10.771461716937356</v>
      </c>
      <c r="P204" s="27">
        <v>2.11</v>
      </c>
      <c r="Q204" s="31">
        <f t="shared" si="3"/>
        <v>5.1049581596859515</v>
      </c>
      <c r="R204" s="21">
        <v>0</v>
      </c>
      <c r="S204" s="11">
        <v>7.7</v>
      </c>
      <c r="T204" s="46">
        <f>S204</f>
        <v>7.7</v>
      </c>
      <c r="U204" s="17">
        <v>0</v>
      </c>
    </row>
    <row r="205" spans="1:21" x14ac:dyDescent="0.3">
      <c r="A205" s="27" t="s">
        <v>122</v>
      </c>
      <c r="B205" s="27" t="s">
        <v>121</v>
      </c>
      <c r="D205" s="30">
        <v>118.72</v>
      </c>
      <c r="E205" s="30">
        <v>31.66</v>
      </c>
      <c r="F205" s="21">
        <v>2014</v>
      </c>
      <c r="G205" s="27">
        <v>635.88</v>
      </c>
      <c r="H205" s="27">
        <v>633.3599999999999</v>
      </c>
      <c r="I205" s="27">
        <v>23.974</v>
      </c>
      <c r="J205" s="21">
        <v>1.4</v>
      </c>
      <c r="K205" s="27">
        <v>38</v>
      </c>
      <c r="L205" s="27">
        <v>37</v>
      </c>
      <c r="M205" s="27">
        <v>25</v>
      </c>
      <c r="N205" s="27">
        <v>6.1</v>
      </c>
      <c r="O205" s="30">
        <v>10.771461716937356</v>
      </c>
      <c r="P205" s="27">
        <v>2.11</v>
      </c>
      <c r="Q205" s="31">
        <f t="shared" si="3"/>
        <v>5.1049581596859515</v>
      </c>
      <c r="R205" s="21">
        <v>270</v>
      </c>
      <c r="S205" s="11">
        <v>26.12</v>
      </c>
      <c r="U205" s="17">
        <f>(S205-S204)/R205*100</f>
        <v>6.8222222222222229</v>
      </c>
    </row>
    <row r="206" spans="1:21" x14ac:dyDescent="0.3">
      <c r="A206" s="27" t="s">
        <v>122</v>
      </c>
      <c r="B206" s="27" t="s">
        <v>121</v>
      </c>
      <c r="D206" s="30">
        <v>118.72</v>
      </c>
      <c r="E206" s="30">
        <v>31.66</v>
      </c>
      <c r="F206" s="21">
        <v>2014</v>
      </c>
      <c r="G206" s="27">
        <v>635.88</v>
      </c>
      <c r="H206" s="27">
        <v>633.3599999999999</v>
      </c>
      <c r="I206" s="27">
        <v>23.974</v>
      </c>
      <c r="J206" s="21">
        <v>1.4</v>
      </c>
      <c r="K206" s="27">
        <v>38</v>
      </c>
      <c r="L206" s="27">
        <v>37</v>
      </c>
      <c r="M206" s="27">
        <v>25</v>
      </c>
      <c r="N206" s="27">
        <v>6.1</v>
      </c>
      <c r="O206" s="30">
        <v>10.771461716937356</v>
      </c>
      <c r="P206" s="27">
        <v>2.11</v>
      </c>
      <c r="Q206" s="31">
        <f t="shared" si="3"/>
        <v>5.1049581596859515</v>
      </c>
      <c r="R206" s="21">
        <v>270</v>
      </c>
      <c r="S206" s="11">
        <v>30.26</v>
      </c>
      <c r="U206" s="17">
        <f>(S206-S204)/R206*100</f>
        <v>8.3555555555555561</v>
      </c>
    </row>
    <row r="207" spans="1:21" x14ac:dyDescent="0.3">
      <c r="A207" s="43" t="s">
        <v>122</v>
      </c>
      <c r="B207" s="43" t="s">
        <v>121</v>
      </c>
      <c r="D207" s="45">
        <v>118.72</v>
      </c>
      <c r="E207" s="45">
        <v>31.66</v>
      </c>
      <c r="F207" s="21">
        <v>2014</v>
      </c>
      <c r="G207" s="43">
        <v>635.88</v>
      </c>
      <c r="H207" s="43">
        <v>633.3599999999999</v>
      </c>
      <c r="I207" s="43">
        <v>23.974</v>
      </c>
      <c r="J207" s="21">
        <v>1.4</v>
      </c>
      <c r="K207" s="27">
        <v>38</v>
      </c>
      <c r="L207" s="27">
        <v>37</v>
      </c>
      <c r="M207" s="27">
        <v>25</v>
      </c>
      <c r="N207" s="43">
        <v>6.1</v>
      </c>
      <c r="O207" s="45">
        <v>10.771461716937356</v>
      </c>
      <c r="P207" s="43">
        <v>2.11</v>
      </c>
      <c r="Q207" s="31">
        <f t="shared" si="3"/>
        <v>5.1049581596859515</v>
      </c>
      <c r="R207" s="21">
        <v>270</v>
      </c>
      <c r="S207" s="11">
        <v>19.32</v>
      </c>
      <c r="T207" s="12"/>
      <c r="U207" s="17">
        <f>(S207-S204)/R207*100</f>
        <v>4.3037037037037038</v>
      </c>
    </row>
    <row r="208" spans="1:21" s="56" customFormat="1" x14ac:dyDescent="0.3">
      <c r="A208" s="49" t="s">
        <v>123</v>
      </c>
      <c r="B208" s="49"/>
      <c r="C208" s="50">
        <v>2018</v>
      </c>
      <c r="D208" s="52">
        <v>115.5</v>
      </c>
      <c r="E208" s="52">
        <v>29.8</v>
      </c>
      <c r="F208" s="48">
        <v>2013</v>
      </c>
      <c r="G208" s="49">
        <v>386.20000000000005</v>
      </c>
      <c r="H208" s="49">
        <v>634.08000000000004</v>
      </c>
      <c r="I208" s="49">
        <v>26.094999999999999</v>
      </c>
      <c r="J208" s="48">
        <v>1.5</v>
      </c>
      <c r="K208" s="49">
        <v>41</v>
      </c>
      <c r="L208" s="49">
        <v>42</v>
      </c>
      <c r="M208" s="49">
        <v>17</v>
      </c>
      <c r="N208" s="49">
        <v>5.18</v>
      </c>
      <c r="O208" s="52">
        <v>13.839907192575406</v>
      </c>
      <c r="P208" s="49">
        <v>2.39</v>
      </c>
      <c r="Q208" s="53">
        <f t="shared" si="3"/>
        <v>5.7907561475210905</v>
      </c>
      <c r="R208" s="48">
        <v>0</v>
      </c>
      <c r="S208" s="54">
        <v>9.9</v>
      </c>
      <c r="T208" s="46">
        <f>AVERAGE(S208,S210)</f>
        <v>15.350000000000001</v>
      </c>
      <c r="U208" s="55">
        <v>0</v>
      </c>
    </row>
    <row r="209" spans="1:21" s="47" customFormat="1" x14ac:dyDescent="0.3">
      <c r="A209" s="43" t="s">
        <v>124</v>
      </c>
      <c r="B209" s="43"/>
      <c r="C209" s="28">
        <v>2018</v>
      </c>
      <c r="D209" s="45">
        <v>115.5</v>
      </c>
      <c r="E209" s="45">
        <v>29.8</v>
      </c>
      <c r="F209" s="21">
        <v>2013</v>
      </c>
      <c r="G209" s="43">
        <v>386.20000000000005</v>
      </c>
      <c r="H209" s="43">
        <v>634.07999999999993</v>
      </c>
      <c r="I209" s="43">
        <v>26.094999999999999</v>
      </c>
      <c r="J209" s="21">
        <v>1.5</v>
      </c>
      <c r="K209" s="43">
        <v>41</v>
      </c>
      <c r="L209" s="43">
        <v>42</v>
      </c>
      <c r="M209" s="43">
        <v>17</v>
      </c>
      <c r="N209" s="43">
        <v>5.18</v>
      </c>
      <c r="O209" s="45">
        <v>13.839907192575406</v>
      </c>
      <c r="P209" s="43">
        <v>2.39</v>
      </c>
      <c r="Q209" s="31">
        <f t="shared" si="3"/>
        <v>5.7907561475210905</v>
      </c>
      <c r="R209" s="21">
        <v>180</v>
      </c>
      <c r="S209" s="11">
        <v>41.4</v>
      </c>
      <c r="T209" s="46"/>
      <c r="U209" s="17">
        <f>(S209-S208)/R209*100</f>
        <v>17.5</v>
      </c>
    </row>
    <row r="210" spans="1:21" s="47" customFormat="1" x14ac:dyDescent="0.3">
      <c r="A210" s="43" t="s">
        <v>123</v>
      </c>
      <c r="B210" s="43"/>
      <c r="C210" s="28">
        <v>2018</v>
      </c>
      <c r="D210" s="45">
        <v>115.5</v>
      </c>
      <c r="E210" s="45">
        <v>29.8</v>
      </c>
      <c r="F210" s="21">
        <v>2014</v>
      </c>
      <c r="G210" s="43">
        <v>417.6</v>
      </c>
      <c r="H210" s="43">
        <v>634.07999999999993</v>
      </c>
      <c r="I210" s="43">
        <v>26.094999999999999</v>
      </c>
      <c r="J210" s="21">
        <v>1.5</v>
      </c>
      <c r="K210" s="43">
        <v>41</v>
      </c>
      <c r="L210" s="43">
        <v>42</v>
      </c>
      <c r="M210" s="43">
        <v>17</v>
      </c>
      <c r="N210" s="43">
        <v>5.18</v>
      </c>
      <c r="O210" s="45">
        <v>13.839907192575406</v>
      </c>
      <c r="P210" s="43">
        <v>2.39</v>
      </c>
      <c r="Q210" s="31">
        <f t="shared" si="3"/>
        <v>5.7907561475210905</v>
      </c>
      <c r="R210" s="21">
        <v>0</v>
      </c>
      <c r="S210" s="11">
        <v>20.8</v>
      </c>
      <c r="T210" s="46"/>
      <c r="U210" s="17">
        <v>0</v>
      </c>
    </row>
    <row r="211" spans="1:21" s="6" customFormat="1" x14ac:dyDescent="0.3">
      <c r="A211" s="32" t="s">
        <v>123</v>
      </c>
      <c r="B211" s="32"/>
      <c r="C211" s="33">
        <v>2018</v>
      </c>
      <c r="D211" s="35">
        <v>115.5</v>
      </c>
      <c r="E211" s="35">
        <v>29.8</v>
      </c>
      <c r="F211" s="22">
        <v>2014</v>
      </c>
      <c r="G211" s="32">
        <v>417.6</v>
      </c>
      <c r="H211" s="32">
        <v>634.07999999999993</v>
      </c>
      <c r="I211" s="32">
        <v>26.094999999999999</v>
      </c>
      <c r="J211" s="22">
        <v>1.5</v>
      </c>
      <c r="K211" s="32">
        <v>41</v>
      </c>
      <c r="L211" s="32">
        <v>42</v>
      </c>
      <c r="M211" s="32">
        <v>17</v>
      </c>
      <c r="N211" s="32">
        <v>5.18</v>
      </c>
      <c r="O211" s="35">
        <v>13.839907192575406</v>
      </c>
      <c r="P211" s="32">
        <v>2.39</v>
      </c>
      <c r="Q211" s="36">
        <f t="shared" si="3"/>
        <v>5.7907561475210905</v>
      </c>
      <c r="R211" s="22">
        <v>180</v>
      </c>
      <c r="S211" s="13">
        <v>51.6</v>
      </c>
      <c r="T211" s="12"/>
      <c r="U211" s="18">
        <f>(S211-S210)/R211*100</f>
        <v>17.111111111111111</v>
      </c>
    </row>
    <row r="212" spans="1:21" x14ac:dyDescent="0.3">
      <c r="A212" s="27" t="s">
        <v>125</v>
      </c>
      <c r="B212" s="27" t="s">
        <v>126</v>
      </c>
      <c r="C212" s="28">
        <v>2018</v>
      </c>
      <c r="D212" s="30">
        <v>119.8</v>
      </c>
      <c r="E212" s="30">
        <v>31.3</v>
      </c>
      <c r="F212" s="21">
        <v>2014</v>
      </c>
      <c r="G212" s="27">
        <v>517.55999999999995</v>
      </c>
      <c r="H212" s="27">
        <v>640.79999999999995</v>
      </c>
      <c r="I212" s="27">
        <v>24.219000000000001</v>
      </c>
      <c r="J212" s="21">
        <v>1.4</v>
      </c>
      <c r="K212" s="27">
        <v>38</v>
      </c>
      <c r="L212" s="27">
        <v>37</v>
      </c>
      <c r="M212" s="27">
        <v>25</v>
      </c>
      <c r="N212" s="27">
        <v>6.25</v>
      </c>
      <c r="O212" s="30">
        <v>15.574245939675174</v>
      </c>
      <c r="P212" s="27">
        <v>1.56</v>
      </c>
      <c r="Q212" s="31">
        <f t="shared" si="3"/>
        <v>9.9834909869712654</v>
      </c>
      <c r="R212" s="21">
        <v>0</v>
      </c>
      <c r="S212" s="11">
        <v>1.38</v>
      </c>
      <c r="T212" s="46">
        <f>S212</f>
        <v>1.38</v>
      </c>
      <c r="U212" s="17">
        <v>0</v>
      </c>
    </row>
    <row r="213" spans="1:21" x14ac:dyDescent="0.3">
      <c r="A213" s="43" t="s">
        <v>127</v>
      </c>
      <c r="B213" s="43" t="s">
        <v>126</v>
      </c>
      <c r="C213" s="28">
        <v>2018</v>
      </c>
      <c r="D213" s="45">
        <v>119.8</v>
      </c>
      <c r="E213" s="45">
        <v>31.3</v>
      </c>
      <c r="F213" s="21">
        <v>2014</v>
      </c>
      <c r="G213" s="43">
        <v>517.55999999999995</v>
      </c>
      <c r="H213" s="43">
        <v>640.79999999999995</v>
      </c>
      <c r="I213" s="43">
        <v>24.219000000000001</v>
      </c>
      <c r="J213" s="21">
        <v>1.4</v>
      </c>
      <c r="K213" s="27">
        <v>38</v>
      </c>
      <c r="L213" s="27">
        <v>37</v>
      </c>
      <c r="M213" s="27">
        <v>25</v>
      </c>
      <c r="N213" s="43">
        <v>6.25</v>
      </c>
      <c r="O213" s="45">
        <v>15.574245939675174</v>
      </c>
      <c r="P213" s="43">
        <v>1.56</v>
      </c>
      <c r="Q213" s="31">
        <f t="shared" si="3"/>
        <v>9.9834909869712654</v>
      </c>
      <c r="R213" s="21">
        <v>225</v>
      </c>
      <c r="S213" s="11">
        <v>15.5</v>
      </c>
      <c r="T213" s="12"/>
      <c r="U213" s="17">
        <v>6.275555555555556</v>
      </c>
    </row>
    <row r="214" spans="1:21" s="56" customFormat="1" ht="14.5" x14ac:dyDescent="0.3">
      <c r="A214" s="49" t="s">
        <v>128</v>
      </c>
      <c r="B214" s="49" t="s">
        <v>129</v>
      </c>
      <c r="C214" s="50">
        <v>2019</v>
      </c>
      <c r="D214" s="52">
        <v>117.86</v>
      </c>
      <c r="E214" s="52">
        <v>32.549999999999997</v>
      </c>
      <c r="F214" s="48">
        <v>2016</v>
      </c>
      <c r="G214" s="49">
        <v>937.44</v>
      </c>
      <c r="H214" s="49">
        <v>694.07999999999993</v>
      </c>
      <c r="I214" s="49">
        <v>24.948</v>
      </c>
      <c r="J214" s="48">
        <v>1.4</v>
      </c>
      <c r="K214" s="57">
        <v>40.967741940000003</v>
      </c>
      <c r="L214" s="57">
        <v>36.806451610000003</v>
      </c>
      <c r="M214" s="57">
        <v>22.22580645</v>
      </c>
      <c r="N214" s="49">
        <v>6.6</v>
      </c>
      <c r="O214" s="52">
        <v>13.51508120649652</v>
      </c>
      <c r="P214" s="49">
        <v>1.27</v>
      </c>
      <c r="Q214" s="53">
        <f t="shared" si="3"/>
        <v>10.641796225587811</v>
      </c>
      <c r="R214" s="48">
        <v>0</v>
      </c>
      <c r="S214" s="54">
        <v>4.33</v>
      </c>
      <c r="T214" s="46">
        <f>AVERAGE(S214,S217)</f>
        <v>4.29</v>
      </c>
      <c r="U214" s="55">
        <v>0</v>
      </c>
    </row>
    <row r="215" spans="1:21" s="47" customFormat="1" ht="14.5" x14ac:dyDescent="0.3">
      <c r="A215" s="58" t="s">
        <v>130</v>
      </c>
      <c r="B215" s="43" t="s">
        <v>129</v>
      </c>
      <c r="C215" s="28">
        <v>2019</v>
      </c>
      <c r="D215" s="45">
        <v>117.86</v>
      </c>
      <c r="E215" s="45">
        <v>32.549999999999997</v>
      </c>
      <c r="F215" s="21">
        <v>2016</v>
      </c>
      <c r="G215" s="43">
        <v>937.44</v>
      </c>
      <c r="H215" s="43">
        <v>694.07999999999993</v>
      </c>
      <c r="I215" s="43">
        <v>24.948</v>
      </c>
      <c r="J215" s="21">
        <v>1.4</v>
      </c>
      <c r="K215" s="59">
        <v>40.967741940000003</v>
      </c>
      <c r="L215" s="59">
        <v>36.806451610000003</v>
      </c>
      <c r="M215" s="59">
        <v>22.22580645</v>
      </c>
      <c r="N215" s="43">
        <v>6.6</v>
      </c>
      <c r="O215" s="45">
        <v>13.51508120649652</v>
      </c>
      <c r="P215" s="43">
        <v>1.27</v>
      </c>
      <c r="Q215" s="31">
        <f t="shared" si="3"/>
        <v>10.641796225587811</v>
      </c>
      <c r="R215" s="21">
        <v>195</v>
      </c>
      <c r="S215" s="11">
        <v>69.53</v>
      </c>
      <c r="T215" s="46"/>
      <c r="U215" s="17">
        <f>(S215-S214)/R215*100</f>
        <v>33.435897435897438</v>
      </c>
    </row>
    <row r="216" spans="1:21" s="47" customFormat="1" ht="14.5" x14ac:dyDescent="0.3">
      <c r="A216" s="43" t="s">
        <v>128</v>
      </c>
      <c r="B216" s="43" t="s">
        <v>129</v>
      </c>
      <c r="C216" s="28">
        <v>2019</v>
      </c>
      <c r="D216" s="45">
        <v>117.86</v>
      </c>
      <c r="E216" s="45">
        <v>32.549999999999997</v>
      </c>
      <c r="F216" s="21">
        <v>2016</v>
      </c>
      <c r="G216" s="43">
        <v>937.44</v>
      </c>
      <c r="H216" s="43">
        <v>694.07999999999993</v>
      </c>
      <c r="I216" s="43">
        <v>24.948</v>
      </c>
      <c r="J216" s="21">
        <v>1.4</v>
      </c>
      <c r="K216" s="59">
        <v>40.967741940000003</v>
      </c>
      <c r="L216" s="59">
        <v>36.806451610000003</v>
      </c>
      <c r="M216" s="59">
        <v>22.22580645</v>
      </c>
      <c r="N216" s="43">
        <v>6.6</v>
      </c>
      <c r="O216" s="45">
        <v>13.51508120649652</v>
      </c>
      <c r="P216" s="43">
        <v>1.27</v>
      </c>
      <c r="Q216" s="31">
        <f t="shared" si="3"/>
        <v>10.641796225587811</v>
      </c>
      <c r="R216" s="21">
        <v>195</v>
      </c>
      <c r="S216" s="11">
        <v>59.64</v>
      </c>
      <c r="T216" s="46"/>
      <c r="U216" s="17">
        <f>(S216-S214)/R216*100</f>
        <v>28.364102564102566</v>
      </c>
    </row>
    <row r="217" spans="1:21" s="47" customFormat="1" ht="14.5" x14ac:dyDescent="0.3">
      <c r="A217" s="43" t="s">
        <v>128</v>
      </c>
      <c r="B217" s="43" t="s">
        <v>129</v>
      </c>
      <c r="C217" s="28">
        <v>2019</v>
      </c>
      <c r="D217" s="45">
        <v>117.86</v>
      </c>
      <c r="E217" s="45">
        <v>32.549999999999997</v>
      </c>
      <c r="F217" s="21">
        <v>2016</v>
      </c>
      <c r="G217" s="43">
        <v>937.44</v>
      </c>
      <c r="H217" s="43">
        <v>694.07999999999993</v>
      </c>
      <c r="I217" s="43">
        <v>24.948</v>
      </c>
      <c r="J217" s="21">
        <v>1.4</v>
      </c>
      <c r="K217" s="59">
        <v>40.967741940000003</v>
      </c>
      <c r="L217" s="59">
        <v>36.806451610000003</v>
      </c>
      <c r="M217" s="59">
        <v>22.22580645</v>
      </c>
      <c r="N217" s="43">
        <v>6.6</v>
      </c>
      <c r="O217" s="45">
        <v>13.51508120649652</v>
      </c>
      <c r="P217" s="43">
        <v>1.27</v>
      </c>
      <c r="Q217" s="31">
        <f t="shared" si="3"/>
        <v>10.641796225587811</v>
      </c>
      <c r="R217" s="21">
        <v>0</v>
      </c>
      <c r="S217" s="11">
        <v>4.25</v>
      </c>
      <c r="T217" s="46"/>
      <c r="U217" s="17">
        <v>0</v>
      </c>
    </row>
    <row r="218" spans="1:21" s="47" customFormat="1" ht="14.5" x14ac:dyDescent="0.3">
      <c r="A218" s="43" t="s">
        <v>128</v>
      </c>
      <c r="B218" s="43" t="s">
        <v>129</v>
      </c>
      <c r="C218" s="28">
        <v>2019</v>
      </c>
      <c r="D218" s="45">
        <v>117.86</v>
      </c>
      <c r="E218" s="45">
        <v>32.549999999999997</v>
      </c>
      <c r="F218" s="21">
        <v>2016</v>
      </c>
      <c r="G218" s="43">
        <v>937.44</v>
      </c>
      <c r="H218" s="43">
        <v>694.07999999999993</v>
      </c>
      <c r="I218" s="43">
        <v>24.948</v>
      </c>
      <c r="J218" s="21">
        <v>1.4</v>
      </c>
      <c r="K218" s="59">
        <v>40.967741940000003</v>
      </c>
      <c r="L218" s="59">
        <v>36.806451610000003</v>
      </c>
      <c r="M218" s="59">
        <v>22.22580645</v>
      </c>
      <c r="N218" s="43">
        <v>6.6</v>
      </c>
      <c r="O218" s="45">
        <v>13.51508120649652</v>
      </c>
      <c r="P218" s="43">
        <v>1.27</v>
      </c>
      <c r="Q218" s="31">
        <f t="shared" si="3"/>
        <v>10.641796225587811</v>
      </c>
      <c r="R218" s="21">
        <v>195</v>
      </c>
      <c r="S218" s="11">
        <v>62.55</v>
      </c>
      <c r="T218" s="46"/>
      <c r="U218" s="17">
        <f>(S218-S217)/R218*100</f>
        <v>29.897435897435898</v>
      </c>
    </row>
    <row r="219" spans="1:21" s="6" customFormat="1" ht="14.5" x14ac:dyDescent="0.3">
      <c r="A219" s="32" t="s">
        <v>128</v>
      </c>
      <c r="B219" s="32" t="s">
        <v>129</v>
      </c>
      <c r="C219" s="33">
        <v>2019</v>
      </c>
      <c r="D219" s="35">
        <v>117.86</v>
      </c>
      <c r="E219" s="35">
        <v>32.549999999999997</v>
      </c>
      <c r="F219" s="22">
        <v>2016</v>
      </c>
      <c r="G219" s="32">
        <v>937.44</v>
      </c>
      <c r="H219" s="32">
        <v>694.07999999999993</v>
      </c>
      <c r="I219" s="32">
        <v>24.948</v>
      </c>
      <c r="J219" s="22">
        <v>1.4</v>
      </c>
      <c r="K219" s="38">
        <v>40.967741940000003</v>
      </c>
      <c r="L219" s="38">
        <v>36.806451610000003</v>
      </c>
      <c r="M219" s="38">
        <v>22.22580645</v>
      </c>
      <c r="N219" s="32">
        <v>6.6</v>
      </c>
      <c r="O219" s="35">
        <v>13.51508120649652</v>
      </c>
      <c r="P219" s="32">
        <v>1.27</v>
      </c>
      <c r="Q219" s="36">
        <f t="shared" si="3"/>
        <v>10.641796225587811</v>
      </c>
      <c r="R219" s="22">
        <v>195</v>
      </c>
      <c r="S219" s="13">
        <v>57.38</v>
      </c>
      <c r="T219" s="12"/>
      <c r="U219" s="18">
        <f>(S219-S217)/R219*100</f>
        <v>27.246153846153849</v>
      </c>
    </row>
    <row r="220" spans="1:21" x14ac:dyDescent="0.3">
      <c r="A220" s="27" t="s">
        <v>131</v>
      </c>
      <c r="B220" s="27" t="s">
        <v>132</v>
      </c>
      <c r="C220" s="28">
        <v>2017</v>
      </c>
      <c r="D220" s="30">
        <v>120.16</v>
      </c>
      <c r="E220" s="30">
        <v>30.13</v>
      </c>
      <c r="F220" s="21">
        <v>2014</v>
      </c>
      <c r="G220" s="27">
        <v>656.04</v>
      </c>
      <c r="H220" s="27">
        <v>641.88</v>
      </c>
      <c r="I220" s="27">
        <v>25.486999999999998</v>
      </c>
      <c r="J220" s="21">
        <v>1.4</v>
      </c>
      <c r="K220" s="27">
        <v>35.799999999999997</v>
      </c>
      <c r="L220" s="27">
        <v>34.6</v>
      </c>
      <c r="M220" s="27">
        <v>29.6</v>
      </c>
      <c r="N220" s="27">
        <v>5.57</v>
      </c>
      <c r="O220" s="30">
        <v>16.386310904872389</v>
      </c>
      <c r="P220" s="27">
        <v>2.0499999999999998</v>
      </c>
      <c r="Q220" s="31">
        <f t="shared" si="3"/>
        <v>7.9933223926206782</v>
      </c>
      <c r="R220" s="21">
        <v>0</v>
      </c>
      <c r="S220" s="11">
        <v>11.538500000000001</v>
      </c>
      <c r="T220" s="46">
        <f>S220</f>
        <v>11.538500000000001</v>
      </c>
      <c r="U220" s="17">
        <v>0</v>
      </c>
    </row>
    <row r="221" spans="1:21" x14ac:dyDescent="0.3">
      <c r="A221" s="27" t="s">
        <v>133</v>
      </c>
      <c r="B221" s="27" t="s">
        <v>132</v>
      </c>
      <c r="C221" s="28">
        <v>2017</v>
      </c>
      <c r="D221" s="30">
        <v>120.16</v>
      </c>
      <c r="E221" s="30">
        <v>30.13</v>
      </c>
      <c r="F221" s="21">
        <v>2014</v>
      </c>
      <c r="G221" s="27">
        <v>656.04</v>
      </c>
      <c r="H221" s="27">
        <v>641.88</v>
      </c>
      <c r="I221" s="27">
        <v>25.486999999999998</v>
      </c>
      <c r="J221" s="21">
        <v>1.4</v>
      </c>
      <c r="K221" s="27">
        <v>35.799999999999997</v>
      </c>
      <c r="L221" s="27">
        <v>34.6</v>
      </c>
      <c r="M221" s="27">
        <v>29.6</v>
      </c>
      <c r="N221" s="27">
        <v>5.57</v>
      </c>
      <c r="O221" s="30">
        <v>16.386310904872389</v>
      </c>
      <c r="P221" s="27">
        <v>2.0499999999999998</v>
      </c>
      <c r="Q221" s="31">
        <f t="shared" si="3"/>
        <v>7.9933223926206782</v>
      </c>
      <c r="R221" s="21">
        <v>75</v>
      </c>
      <c r="S221" s="11">
        <v>30.769200000000001</v>
      </c>
      <c r="U221" s="17">
        <f>(S221-S220)/R221*100</f>
        <v>25.640933333333333</v>
      </c>
    </row>
    <row r="222" spans="1:21" x14ac:dyDescent="0.3">
      <c r="A222" s="43" t="s">
        <v>131</v>
      </c>
      <c r="B222" s="43" t="s">
        <v>132</v>
      </c>
      <c r="C222" s="28">
        <v>2017</v>
      </c>
      <c r="D222" s="45">
        <v>120.16</v>
      </c>
      <c r="E222" s="45">
        <v>30.13</v>
      </c>
      <c r="F222" s="21">
        <v>2014</v>
      </c>
      <c r="G222" s="43">
        <v>656.04</v>
      </c>
      <c r="H222" s="43">
        <v>641.88</v>
      </c>
      <c r="I222" s="43">
        <v>25.486999999999998</v>
      </c>
      <c r="J222" s="21">
        <v>1.4</v>
      </c>
      <c r="K222" s="43">
        <v>35.799999999999997</v>
      </c>
      <c r="L222" s="43">
        <v>34.6</v>
      </c>
      <c r="M222" s="43">
        <v>29.6</v>
      </c>
      <c r="N222" s="43">
        <v>5.57</v>
      </c>
      <c r="O222" s="45">
        <v>16.386310904872389</v>
      </c>
      <c r="P222" s="43">
        <v>2.0499999999999998</v>
      </c>
      <c r="Q222" s="31">
        <f t="shared" si="3"/>
        <v>7.9933223926206782</v>
      </c>
      <c r="R222" s="21">
        <v>225</v>
      </c>
      <c r="S222" s="11">
        <v>112.30800000000001</v>
      </c>
      <c r="T222" s="12"/>
      <c r="U222" s="17">
        <f>(S222-S220)/R222*100</f>
        <v>44.786444444444449</v>
      </c>
    </row>
    <row r="223" spans="1:21" s="56" customFormat="1" ht="14.5" x14ac:dyDescent="0.3">
      <c r="A223" s="49" t="s">
        <v>134</v>
      </c>
      <c r="B223" s="49" t="s">
        <v>135</v>
      </c>
      <c r="C223" s="50"/>
      <c r="D223" s="52">
        <v>120.6</v>
      </c>
      <c r="E223" s="52">
        <v>31.5</v>
      </c>
      <c r="F223" s="48">
        <v>2015</v>
      </c>
      <c r="G223" s="49">
        <v>1026.8400000000001</v>
      </c>
      <c r="H223" s="49">
        <v>707.88</v>
      </c>
      <c r="I223" s="49">
        <v>25.076000000000001</v>
      </c>
      <c r="J223" s="48">
        <v>1.48</v>
      </c>
      <c r="K223" s="49">
        <v>13.3</v>
      </c>
      <c r="L223" s="49">
        <v>54.8</v>
      </c>
      <c r="M223" s="49">
        <v>31.9</v>
      </c>
      <c r="N223" s="49">
        <v>7</v>
      </c>
      <c r="O223" s="52">
        <v>15.429234338747101</v>
      </c>
      <c r="P223" s="49">
        <v>2.83</v>
      </c>
      <c r="Q223" s="53">
        <f t="shared" si="3"/>
        <v>5.4520262681085159</v>
      </c>
      <c r="R223" s="48">
        <v>0</v>
      </c>
      <c r="S223" s="54">
        <v>11.88</v>
      </c>
      <c r="T223" s="46">
        <f>AVERAGE(S223,S227)</f>
        <v>14.07</v>
      </c>
      <c r="U223" s="55">
        <v>0</v>
      </c>
    </row>
    <row r="224" spans="1:21" s="47" customFormat="1" ht="14.5" x14ac:dyDescent="0.3">
      <c r="A224" s="58" t="s">
        <v>136</v>
      </c>
      <c r="B224" s="43" t="s">
        <v>135</v>
      </c>
      <c r="C224" s="28"/>
      <c r="D224" s="45">
        <v>120.6</v>
      </c>
      <c r="E224" s="45">
        <v>31.5</v>
      </c>
      <c r="F224" s="21">
        <v>2015</v>
      </c>
      <c r="G224" s="43">
        <v>1026.8400000000001</v>
      </c>
      <c r="H224" s="43">
        <v>707.88</v>
      </c>
      <c r="I224" s="43">
        <v>25.076000000000001</v>
      </c>
      <c r="J224" s="21">
        <v>1.48</v>
      </c>
      <c r="K224" s="43">
        <v>13.3</v>
      </c>
      <c r="L224" s="43">
        <v>54.8</v>
      </c>
      <c r="M224" s="43">
        <v>31.9</v>
      </c>
      <c r="N224" s="43">
        <v>7</v>
      </c>
      <c r="O224" s="45">
        <v>15.429234338747101</v>
      </c>
      <c r="P224" s="43">
        <v>2.83</v>
      </c>
      <c r="Q224" s="31">
        <f t="shared" si="3"/>
        <v>5.4520262681085159</v>
      </c>
      <c r="R224" s="21">
        <v>270</v>
      </c>
      <c r="S224" s="11">
        <v>30.94</v>
      </c>
      <c r="T224" s="46"/>
      <c r="U224" s="17">
        <f>(S224-S223)/R224*100</f>
        <v>7.0592592592592593</v>
      </c>
    </row>
    <row r="225" spans="1:21" s="47" customFormat="1" ht="14.5" x14ac:dyDescent="0.3">
      <c r="A225" s="43" t="s">
        <v>134</v>
      </c>
      <c r="B225" s="43" t="s">
        <v>135</v>
      </c>
      <c r="C225" s="28"/>
      <c r="D225" s="45">
        <v>120.6</v>
      </c>
      <c r="E225" s="45">
        <v>31.5</v>
      </c>
      <c r="F225" s="21">
        <v>2015</v>
      </c>
      <c r="G225" s="43">
        <v>1026.8400000000001</v>
      </c>
      <c r="H225" s="43">
        <v>707.88</v>
      </c>
      <c r="I225" s="43">
        <v>25.076000000000001</v>
      </c>
      <c r="J225" s="21">
        <v>1.48</v>
      </c>
      <c r="K225" s="43">
        <v>13.3</v>
      </c>
      <c r="L225" s="43">
        <v>54.8</v>
      </c>
      <c r="M225" s="43">
        <v>31.9</v>
      </c>
      <c r="N225" s="43">
        <v>7</v>
      </c>
      <c r="O225" s="45">
        <v>15.429234338747101</v>
      </c>
      <c r="P225" s="43">
        <v>2.83</v>
      </c>
      <c r="Q225" s="31">
        <f t="shared" si="3"/>
        <v>5.4520262681085159</v>
      </c>
      <c r="R225" s="21">
        <v>300</v>
      </c>
      <c r="S225" s="11">
        <v>37.68</v>
      </c>
      <c r="T225" s="46"/>
      <c r="U225" s="17">
        <f>(S225-S223)/R225*100</f>
        <v>8.6</v>
      </c>
    </row>
    <row r="226" spans="1:21" s="47" customFormat="1" ht="14.5" x14ac:dyDescent="0.3">
      <c r="A226" s="43" t="s">
        <v>134</v>
      </c>
      <c r="B226" s="43" t="s">
        <v>135</v>
      </c>
      <c r="C226" s="28"/>
      <c r="D226" s="45">
        <v>120.6</v>
      </c>
      <c r="E226" s="45">
        <v>31.5</v>
      </c>
      <c r="F226" s="21">
        <v>2015</v>
      </c>
      <c r="G226" s="43">
        <v>1026.8400000000001</v>
      </c>
      <c r="H226" s="43">
        <v>707.88</v>
      </c>
      <c r="I226" s="43">
        <v>25.076000000000001</v>
      </c>
      <c r="J226" s="21">
        <v>1.48</v>
      </c>
      <c r="K226" s="43">
        <v>13.3</v>
      </c>
      <c r="L226" s="43">
        <v>54.8</v>
      </c>
      <c r="M226" s="43">
        <v>31.9</v>
      </c>
      <c r="N226" s="43">
        <v>7</v>
      </c>
      <c r="O226" s="45">
        <v>15.429234338747101</v>
      </c>
      <c r="P226" s="43">
        <v>2.83</v>
      </c>
      <c r="Q226" s="31">
        <f t="shared" si="3"/>
        <v>5.4520262681085159</v>
      </c>
      <c r="R226" s="21">
        <v>375</v>
      </c>
      <c r="S226" s="11">
        <v>44.57</v>
      </c>
      <c r="T226" s="46"/>
      <c r="U226" s="17">
        <f>(S226-S223)/R226*100</f>
        <v>8.7173333333333325</v>
      </c>
    </row>
    <row r="227" spans="1:21" s="47" customFormat="1" ht="14.5" x14ac:dyDescent="0.3">
      <c r="A227" s="43" t="s">
        <v>134</v>
      </c>
      <c r="B227" s="43" t="s">
        <v>135</v>
      </c>
      <c r="C227" s="28"/>
      <c r="D227" s="45">
        <v>120.6</v>
      </c>
      <c r="E227" s="45">
        <v>31.5</v>
      </c>
      <c r="F227" s="21">
        <v>2016</v>
      </c>
      <c r="G227" s="43">
        <v>1026.8400000000001</v>
      </c>
      <c r="H227" s="43">
        <v>707.88</v>
      </c>
      <c r="I227" s="43">
        <v>25.076000000000001</v>
      </c>
      <c r="J227" s="21">
        <v>1.48</v>
      </c>
      <c r="K227" s="43">
        <v>13.3</v>
      </c>
      <c r="L227" s="43">
        <v>54.8</v>
      </c>
      <c r="M227" s="43">
        <v>31.9</v>
      </c>
      <c r="N227" s="43">
        <v>7</v>
      </c>
      <c r="O227" s="45">
        <v>15.429234338747101</v>
      </c>
      <c r="P227" s="43">
        <v>2.83</v>
      </c>
      <c r="Q227" s="31">
        <f t="shared" si="3"/>
        <v>5.4520262681085159</v>
      </c>
      <c r="R227" s="21">
        <v>0</v>
      </c>
      <c r="S227" s="11">
        <v>16.260000000000002</v>
      </c>
      <c r="T227" s="46"/>
      <c r="U227" s="17">
        <v>0</v>
      </c>
    </row>
    <row r="228" spans="1:21" s="47" customFormat="1" ht="14.5" x14ac:dyDescent="0.3">
      <c r="A228" s="43" t="s">
        <v>134</v>
      </c>
      <c r="B228" s="43" t="s">
        <v>135</v>
      </c>
      <c r="C228" s="28"/>
      <c r="D228" s="45">
        <v>120.6</v>
      </c>
      <c r="E228" s="45">
        <v>31.5</v>
      </c>
      <c r="F228" s="21">
        <v>2016</v>
      </c>
      <c r="G228" s="43">
        <v>1026.8400000000001</v>
      </c>
      <c r="H228" s="43">
        <v>707.88</v>
      </c>
      <c r="I228" s="43">
        <v>25.076000000000001</v>
      </c>
      <c r="J228" s="21">
        <v>1.48</v>
      </c>
      <c r="K228" s="43">
        <v>13.3</v>
      </c>
      <c r="L228" s="43">
        <v>54.8</v>
      </c>
      <c r="M228" s="43">
        <v>31.9</v>
      </c>
      <c r="N228" s="43">
        <v>7</v>
      </c>
      <c r="O228" s="45">
        <v>15.429234338747101</v>
      </c>
      <c r="P228" s="43">
        <v>2.83</v>
      </c>
      <c r="Q228" s="31">
        <f t="shared" si="3"/>
        <v>5.4520262681085159</v>
      </c>
      <c r="R228" s="21">
        <v>270</v>
      </c>
      <c r="S228" s="11">
        <v>48.79</v>
      </c>
      <c r="T228" s="46"/>
      <c r="U228" s="17">
        <f>(S228-S227)/R228*100</f>
        <v>12.048148148148147</v>
      </c>
    </row>
    <row r="229" spans="1:21" s="47" customFormat="1" ht="14.5" x14ac:dyDescent="0.3">
      <c r="A229" s="43" t="s">
        <v>134</v>
      </c>
      <c r="B229" s="43" t="s">
        <v>135</v>
      </c>
      <c r="C229" s="28"/>
      <c r="D229" s="45">
        <v>120.6</v>
      </c>
      <c r="E229" s="45">
        <v>31.5</v>
      </c>
      <c r="F229" s="21">
        <v>2016</v>
      </c>
      <c r="G229" s="43">
        <v>1026.8400000000001</v>
      </c>
      <c r="H229" s="43">
        <v>707.88</v>
      </c>
      <c r="I229" s="43">
        <v>25.076000000000001</v>
      </c>
      <c r="J229" s="21">
        <v>1.48</v>
      </c>
      <c r="K229" s="43">
        <v>13.3</v>
      </c>
      <c r="L229" s="43">
        <v>54.8</v>
      </c>
      <c r="M229" s="43">
        <v>31.9</v>
      </c>
      <c r="N229" s="43">
        <v>7</v>
      </c>
      <c r="O229" s="45">
        <v>15.429234338747101</v>
      </c>
      <c r="P229" s="43">
        <v>2.83</v>
      </c>
      <c r="Q229" s="31">
        <f t="shared" si="3"/>
        <v>5.4520262681085159</v>
      </c>
      <c r="R229" s="21">
        <v>300</v>
      </c>
      <c r="S229" s="11">
        <v>69.81</v>
      </c>
      <c r="T229" s="46"/>
      <c r="U229" s="17">
        <f>(S229-S227)/R229*100</f>
        <v>17.849999999999998</v>
      </c>
    </row>
    <row r="230" spans="1:21" s="6" customFormat="1" ht="14.5" x14ac:dyDescent="0.3">
      <c r="A230" s="32" t="s">
        <v>134</v>
      </c>
      <c r="B230" s="32" t="s">
        <v>135</v>
      </c>
      <c r="C230" s="33"/>
      <c r="D230" s="35">
        <v>120.6</v>
      </c>
      <c r="E230" s="35">
        <v>31.5</v>
      </c>
      <c r="F230" s="22">
        <v>2016</v>
      </c>
      <c r="G230" s="32">
        <v>1026.8400000000001</v>
      </c>
      <c r="H230" s="32">
        <v>707.88</v>
      </c>
      <c r="I230" s="32">
        <v>25.076000000000001</v>
      </c>
      <c r="J230" s="22">
        <v>1.48</v>
      </c>
      <c r="K230" s="32">
        <v>13.3</v>
      </c>
      <c r="L230" s="32">
        <v>54.8</v>
      </c>
      <c r="M230" s="32">
        <v>31.9</v>
      </c>
      <c r="N230" s="32">
        <v>7</v>
      </c>
      <c r="O230" s="35">
        <v>15.429234338747101</v>
      </c>
      <c r="P230" s="32">
        <v>2.83</v>
      </c>
      <c r="Q230" s="36">
        <f t="shared" si="3"/>
        <v>5.4520262681085159</v>
      </c>
      <c r="R230" s="22">
        <v>375</v>
      </c>
      <c r="S230" s="13">
        <v>81.59</v>
      </c>
      <c r="T230" s="12"/>
      <c r="U230" s="18">
        <f>(S230-S227)/R230*100</f>
        <v>17.421333333333333</v>
      </c>
    </row>
    <row r="231" spans="1:21" s="56" customFormat="1" ht="14.5" x14ac:dyDescent="0.3">
      <c r="A231" s="49" t="s">
        <v>137</v>
      </c>
      <c r="B231" s="49" t="s">
        <v>138</v>
      </c>
      <c r="C231" s="50">
        <v>2019</v>
      </c>
      <c r="D231" s="52">
        <v>119.5</v>
      </c>
      <c r="E231" s="52">
        <v>32</v>
      </c>
      <c r="F231" s="48">
        <v>2013</v>
      </c>
      <c r="G231" s="49">
        <v>562.44000000000005</v>
      </c>
      <c r="H231" s="49">
        <v>698.76</v>
      </c>
      <c r="I231" s="49">
        <v>27.175000000000001</v>
      </c>
      <c r="J231" s="48">
        <v>1.52</v>
      </c>
      <c r="K231" s="49">
        <v>29</v>
      </c>
      <c r="L231" s="49">
        <v>50</v>
      </c>
      <c r="M231" s="49">
        <v>21</v>
      </c>
      <c r="N231" s="49">
        <v>6.62</v>
      </c>
      <c r="O231" s="52">
        <v>13.219257540603248</v>
      </c>
      <c r="P231" s="49">
        <v>1.41</v>
      </c>
      <c r="Q231" s="53">
        <f t="shared" ref="Q231:Q234" si="4">O231/P231</f>
        <v>9.3753599578746449</v>
      </c>
      <c r="R231" s="48">
        <v>0</v>
      </c>
      <c r="S231" s="54">
        <v>10.3</v>
      </c>
      <c r="T231" s="46">
        <f>AVERAGE(S231,S233)</f>
        <v>6.95</v>
      </c>
      <c r="U231" s="55">
        <v>0</v>
      </c>
    </row>
    <row r="232" spans="1:21" s="47" customFormat="1" ht="14.5" x14ac:dyDescent="0.3">
      <c r="A232" s="58" t="s">
        <v>139</v>
      </c>
      <c r="B232" s="43" t="s">
        <v>138</v>
      </c>
      <c r="C232" s="28">
        <v>2019</v>
      </c>
      <c r="D232" s="45">
        <v>119.5</v>
      </c>
      <c r="E232" s="45">
        <v>32</v>
      </c>
      <c r="F232" s="21">
        <v>2013</v>
      </c>
      <c r="G232" s="43">
        <v>562.44000000000005</v>
      </c>
      <c r="H232" s="43">
        <v>698.76</v>
      </c>
      <c r="I232" s="43">
        <v>27.175000000000001</v>
      </c>
      <c r="J232" s="21">
        <v>1.52</v>
      </c>
      <c r="K232" s="43">
        <v>29</v>
      </c>
      <c r="L232" s="43">
        <v>50</v>
      </c>
      <c r="M232" s="43">
        <v>21</v>
      </c>
      <c r="N232" s="43">
        <v>6.62</v>
      </c>
      <c r="O232" s="45">
        <v>13.219257540603248</v>
      </c>
      <c r="P232" s="43">
        <v>1.41</v>
      </c>
      <c r="Q232" s="31">
        <f t="shared" si="4"/>
        <v>9.3753599578746449</v>
      </c>
      <c r="R232" s="21">
        <v>225</v>
      </c>
      <c r="S232" s="11">
        <v>107</v>
      </c>
      <c r="T232" s="46"/>
      <c r="U232" s="17">
        <f>(S232-S231)/R232*100</f>
        <v>42.977777777777781</v>
      </c>
    </row>
    <row r="233" spans="1:21" s="47" customFormat="1" ht="14.5" x14ac:dyDescent="0.3">
      <c r="A233" s="43" t="s">
        <v>137</v>
      </c>
      <c r="B233" s="43" t="s">
        <v>138</v>
      </c>
      <c r="C233" s="28">
        <v>2019</v>
      </c>
      <c r="D233" s="45">
        <v>119.5</v>
      </c>
      <c r="E233" s="45">
        <v>32</v>
      </c>
      <c r="F233" s="21">
        <v>2014</v>
      </c>
      <c r="G233" s="43">
        <v>562.44000000000005</v>
      </c>
      <c r="H233" s="43">
        <v>698.76</v>
      </c>
      <c r="I233" s="43">
        <v>27.175000000000001</v>
      </c>
      <c r="J233" s="21">
        <v>1.52</v>
      </c>
      <c r="K233" s="43">
        <v>29</v>
      </c>
      <c r="L233" s="43">
        <v>50</v>
      </c>
      <c r="M233" s="43">
        <v>21</v>
      </c>
      <c r="N233" s="43">
        <v>6.62</v>
      </c>
      <c r="O233" s="45">
        <v>13.219257540603248</v>
      </c>
      <c r="P233" s="43">
        <v>1.41</v>
      </c>
      <c r="Q233" s="31">
        <f t="shared" si="4"/>
        <v>9.3753599578746449</v>
      </c>
      <c r="R233" s="21">
        <v>0</v>
      </c>
      <c r="S233" s="11">
        <v>3.6</v>
      </c>
      <c r="T233" s="46"/>
      <c r="U233" s="17">
        <v>0</v>
      </c>
    </row>
    <row r="234" spans="1:21" s="6" customFormat="1" ht="14.5" x14ac:dyDescent="0.3">
      <c r="A234" s="32" t="s">
        <v>137</v>
      </c>
      <c r="B234" s="32" t="s">
        <v>138</v>
      </c>
      <c r="C234" s="33">
        <v>2019</v>
      </c>
      <c r="D234" s="35">
        <v>119.5</v>
      </c>
      <c r="E234" s="35">
        <v>32</v>
      </c>
      <c r="F234" s="22">
        <v>2014</v>
      </c>
      <c r="G234" s="32">
        <v>562.44000000000005</v>
      </c>
      <c r="H234" s="32">
        <v>698.76</v>
      </c>
      <c r="I234" s="32">
        <v>27.175000000000001</v>
      </c>
      <c r="J234" s="22">
        <v>1.52</v>
      </c>
      <c r="K234" s="32">
        <v>29</v>
      </c>
      <c r="L234" s="32">
        <v>50</v>
      </c>
      <c r="M234" s="32">
        <v>21</v>
      </c>
      <c r="N234" s="32">
        <v>6.62</v>
      </c>
      <c r="O234" s="35">
        <v>13.219257540603248</v>
      </c>
      <c r="P234" s="32">
        <v>1.41</v>
      </c>
      <c r="Q234" s="36">
        <f t="shared" si="4"/>
        <v>9.3753599578746449</v>
      </c>
      <c r="R234" s="22">
        <v>225</v>
      </c>
      <c r="S234" s="13">
        <v>28.3</v>
      </c>
      <c r="T234" s="12"/>
      <c r="U234" s="18">
        <f>(S234-S233)/R234*100</f>
        <v>10.977777777777778</v>
      </c>
    </row>
  </sheetData>
  <mergeCells count="5">
    <mergeCell ref="G1:I1"/>
    <mergeCell ref="J1:Q1"/>
    <mergeCell ref="A1:C1"/>
    <mergeCell ref="D1:E1"/>
    <mergeCell ref="S1:U1"/>
  </mergeCells>
  <phoneticPr fontId="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1BB7A-D67B-4EE7-B6C8-529A9D137B02}">
  <dimension ref="A1:W490"/>
  <sheetViews>
    <sheetView workbookViewId="0">
      <selection activeCell="A41" sqref="A41"/>
    </sheetView>
  </sheetViews>
  <sheetFormatPr defaultRowHeight="14" x14ac:dyDescent="0.3"/>
  <cols>
    <col min="1" max="1" width="10.9140625" style="5" customWidth="1"/>
    <col min="2" max="5" width="8.6640625" style="5"/>
    <col min="6" max="6" width="8.1640625" style="5" customWidth="1"/>
    <col min="7" max="17" width="8.1640625" style="29" customWidth="1"/>
    <col min="18" max="18" width="8.6640625" style="29"/>
    <col min="19" max="19" width="8.6640625" style="79"/>
    <col min="20" max="20" width="8.6640625" style="44"/>
    <col min="21" max="21" width="10.4140625" style="80" hidden="1" customWidth="1"/>
    <col min="22" max="22" width="10.4140625" style="80" customWidth="1"/>
    <col min="23" max="23" width="8.6640625" style="5"/>
  </cols>
  <sheetData>
    <row r="1" spans="1:22" x14ac:dyDescent="0.3">
      <c r="A1" s="76" t="s">
        <v>0</v>
      </c>
      <c r="B1" s="76"/>
      <c r="C1" s="76"/>
      <c r="D1" s="71" t="s">
        <v>1</v>
      </c>
      <c r="E1" s="77"/>
      <c r="F1" s="67" t="s">
        <v>2</v>
      </c>
      <c r="G1" s="73" t="s">
        <v>3</v>
      </c>
      <c r="H1" s="74"/>
      <c r="I1" s="75"/>
      <c r="J1" s="73" t="s">
        <v>4</v>
      </c>
      <c r="K1" s="74"/>
      <c r="L1" s="74"/>
      <c r="M1" s="74"/>
      <c r="N1" s="74"/>
      <c r="O1" s="74"/>
      <c r="P1" s="74"/>
      <c r="Q1" s="75"/>
      <c r="R1" s="67" t="s">
        <v>257</v>
      </c>
      <c r="S1" s="73" t="s">
        <v>252</v>
      </c>
      <c r="T1" s="74"/>
      <c r="U1" s="74"/>
      <c r="V1" s="75"/>
    </row>
    <row r="2" spans="1:22" ht="14.5" x14ac:dyDescent="0.3">
      <c r="A2" s="68" t="s">
        <v>5</v>
      </c>
      <c r="B2" s="68" t="s">
        <v>6</v>
      </c>
      <c r="C2" s="68" t="s">
        <v>7</v>
      </c>
      <c r="D2" s="68" t="s">
        <v>244</v>
      </c>
      <c r="E2" s="68" t="s">
        <v>243</v>
      </c>
      <c r="F2" s="68" t="s">
        <v>7</v>
      </c>
      <c r="G2" s="61" t="s">
        <v>11</v>
      </c>
      <c r="H2" s="61" t="s">
        <v>12</v>
      </c>
      <c r="I2" s="61" t="s">
        <v>13</v>
      </c>
      <c r="J2" s="61" t="s">
        <v>14</v>
      </c>
      <c r="K2" s="61" t="s">
        <v>15</v>
      </c>
      <c r="L2" s="61" t="s">
        <v>16</v>
      </c>
      <c r="M2" s="61" t="s">
        <v>17</v>
      </c>
      <c r="N2" s="61" t="s">
        <v>18</v>
      </c>
      <c r="O2" s="61" t="s">
        <v>255</v>
      </c>
      <c r="P2" s="61" t="s">
        <v>254</v>
      </c>
      <c r="Q2" s="61" t="s">
        <v>20</v>
      </c>
      <c r="R2" s="61" t="s">
        <v>245</v>
      </c>
      <c r="S2" s="61" t="s">
        <v>140</v>
      </c>
      <c r="T2" s="61" t="s">
        <v>247</v>
      </c>
      <c r="U2" s="61"/>
      <c r="V2" s="15" t="s">
        <v>321</v>
      </c>
    </row>
    <row r="3" spans="1:22" ht="14.5" thickBot="1" x14ac:dyDescent="0.35">
      <c r="A3" s="24"/>
      <c r="B3" s="24"/>
      <c r="C3" s="25"/>
      <c r="D3" s="26"/>
      <c r="E3" s="26"/>
      <c r="F3" s="20"/>
      <c r="G3" s="62" t="s">
        <v>22</v>
      </c>
      <c r="H3" s="62" t="s">
        <v>23</v>
      </c>
      <c r="I3" s="62" t="s">
        <v>24</v>
      </c>
      <c r="J3" s="63" t="s">
        <v>25</v>
      </c>
      <c r="K3" s="62" t="s">
        <v>26</v>
      </c>
      <c r="L3" s="62" t="s">
        <v>27</v>
      </c>
      <c r="M3" s="62" t="s">
        <v>28</v>
      </c>
      <c r="N3" s="62" t="s">
        <v>29</v>
      </c>
      <c r="O3" s="62" t="s">
        <v>19</v>
      </c>
      <c r="P3" s="62" t="s">
        <v>30</v>
      </c>
      <c r="Q3" s="64" t="s">
        <v>31</v>
      </c>
      <c r="R3" s="63" t="s">
        <v>250</v>
      </c>
      <c r="S3" s="20" t="s">
        <v>246</v>
      </c>
      <c r="T3" s="60" t="s">
        <v>246</v>
      </c>
      <c r="U3" s="62"/>
      <c r="V3" s="16" t="s">
        <v>320</v>
      </c>
    </row>
    <row r="4" spans="1:22" x14ac:dyDescent="0.3">
      <c r="A4" s="5" t="s">
        <v>258</v>
      </c>
      <c r="B4" s="5" t="s">
        <v>259</v>
      </c>
      <c r="C4" s="5">
        <v>2015</v>
      </c>
      <c r="D4" s="5">
        <v>118.07</v>
      </c>
      <c r="E4" s="5">
        <v>31.97</v>
      </c>
      <c r="F4" s="5">
        <v>2012</v>
      </c>
      <c r="G4" s="29">
        <v>564</v>
      </c>
      <c r="H4" s="29">
        <v>718.5</v>
      </c>
      <c r="I4" s="29">
        <v>25.6</v>
      </c>
      <c r="J4" s="29">
        <v>1.2255555499999999</v>
      </c>
      <c r="K4" s="29">
        <v>49</v>
      </c>
      <c r="L4" s="29">
        <v>31</v>
      </c>
      <c r="M4" s="29">
        <v>20</v>
      </c>
      <c r="N4" s="29">
        <v>5.7</v>
      </c>
      <c r="O4" s="29">
        <v>26.771461716937399</v>
      </c>
      <c r="P4" s="29">
        <v>1.32</v>
      </c>
      <c r="Q4" s="29">
        <f t="shared" ref="Q4:Q35" si="0">O4/P4</f>
        <v>20.281410391619239</v>
      </c>
      <c r="R4" s="29">
        <v>0</v>
      </c>
      <c r="S4" s="79">
        <v>0.66</v>
      </c>
      <c r="T4" s="44">
        <f>S4</f>
        <v>0.66</v>
      </c>
      <c r="V4" s="80">
        <f>U4*100</f>
        <v>0</v>
      </c>
    </row>
    <row r="5" spans="1:22" x14ac:dyDescent="0.3">
      <c r="A5" s="81" t="s">
        <v>258</v>
      </c>
      <c r="B5" s="81" t="s">
        <v>259</v>
      </c>
      <c r="C5" s="81">
        <v>2015</v>
      </c>
      <c r="D5" s="81">
        <v>118.07</v>
      </c>
      <c r="E5" s="81">
        <v>31.97</v>
      </c>
      <c r="F5" s="81">
        <v>2012</v>
      </c>
      <c r="G5" s="34">
        <v>564</v>
      </c>
      <c r="H5" s="34">
        <v>718.5</v>
      </c>
      <c r="I5" s="34">
        <v>25.6</v>
      </c>
      <c r="J5" s="34">
        <v>1.3</v>
      </c>
      <c r="K5" s="29">
        <v>49</v>
      </c>
      <c r="L5" s="29">
        <v>31</v>
      </c>
      <c r="M5" s="29">
        <v>20</v>
      </c>
      <c r="N5" s="34">
        <v>5.7</v>
      </c>
      <c r="O5" s="34">
        <v>14.7</v>
      </c>
      <c r="P5" s="34">
        <v>1.32</v>
      </c>
      <c r="Q5" s="34">
        <f t="shared" si="0"/>
        <v>11.136363636363635</v>
      </c>
      <c r="R5" s="34">
        <v>250</v>
      </c>
      <c r="S5" s="82">
        <v>3.91</v>
      </c>
      <c r="T5" s="34"/>
      <c r="U5" s="83">
        <f>(S5-0.66)/R5</f>
        <v>1.2999999999999999E-2</v>
      </c>
      <c r="V5" s="83">
        <f t="shared" ref="V5:V36" si="1">U5*100</f>
        <v>1.3</v>
      </c>
    </row>
    <row r="6" spans="1:22" x14ac:dyDescent="0.3">
      <c r="A6" s="5" t="s">
        <v>142</v>
      </c>
      <c r="B6" s="5" t="s">
        <v>143</v>
      </c>
      <c r="C6" s="5">
        <v>2015</v>
      </c>
      <c r="D6" s="5">
        <v>120.92</v>
      </c>
      <c r="E6" s="5">
        <v>31.53</v>
      </c>
      <c r="F6" s="5">
        <v>2011</v>
      </c>
      <c r="G6" s="29">
        <v>745.5</v>
      </c>
      <c r="H6" s="29">
        <v>922.5</v>
      </c>
      <c r="I6" s="29">
        <v>25.59</v>
      </c>
      <c r="J6" s="29">
        <v>0.44559999</v>
      </c>
      <c r="K6" s="29">
        <v>68</v>
      </c>
      <c r="L6" s="29">
        <v>20</v>
      </c>
      <c r="M6" s="29">
        <v>12</v>
      </c>
      <c r="N6" s="29">
        <v>7.6</v>
      </c>
      <c r="O6" s="29">
        <v>11.653828306264503</v>
      </c>
      <c r="P6" s="29">
        <v>2.2999999999999998</v>
      </c>
      <c r="Q6" s="29">
        <f t="shared" si="0"/>
        <v>5.0668818722889144</v>
      </c>
      <c r="R6" s="29">
        <v>0</v>
      </c>
      <c r="S6" s="79">
        <v>0.26</v>
      </c>
      <c r="T6" s="44">
        <f>S6</f>
        <v>0.26</v>
      </c>
      <c r="V6" s="80">
        <f t="shared" si="1"/>
        <v>0</v>
      </c>
    </row>
    <row r="7" spans="1:22" x14ac:dyDescent="0.3">
      <c r="A7" s="5" t="s">
        <v>142</v>
      </c>
      <c r="B7" s="5" t="s">
        <v>143</v>
      </c>
      <c r="C7" s="5">
        <v>2015</v>
      </c>
      <c r="D7" s="5">
        <v>120.92</v>
      </c>
      <c r="E7" s="5">
        <v>31.53</v>
      </c>
      <c r="F7" s="5">
        <v>2011</v>
      </c>
      <c r="G7" s="29">
        <v>745.5</v>
      </c>
      <c r="H7" s="29">
        <v>922.5</v>
      </c>
      <c r="I7" s="29">
        <v>25.59</v>
      </c>
      <c r="J7" s="29">
        <v>1.48</v>
      </c>
      <c r="K7" s="29">
        <v>68</v>
      </c>
      <c r="L7" s="29">
        <v>20</v>
      </c>
      <c r="M7" s="29">
        <v>12</v>
      </c>
      <c r="N7" s="29">
        <v>7.6</v>
      </c>
      <c r="O7" s="29">
        <v>11.6</v>
      </c>
      <c r="P7" s="29">
        <v>2.2999999999999998</v>
      </c>
      <c r="Q7" s="29">
        <f t="shared" si="0"/>
        <v>5.0434782608695654</v>
      </c>
      <c r="R7" s="29">
        <v>240</v>
      </c>
      <c r="S7" s="79">
        <v>0.55000000000000004</v>
      </c>
      <c r="U7" s="80">
        <f>(S7-0.26)/R7</f>
        <v>1.2083333333333334E-3</v>
      </c>
      <c r="V7" s="80">
        <f t="shared" si="1"/>
        <v>0.12083333333333333</v>
      </c>
    </row>
    <row r="8" spans="1:22" x14ac:dyDescent="0.3">
      <c r="A8" s="5" t="s">
        <v>142</v>
      </c>
      <c r="B8" s="5" t="s">
        <v>143</v>
      </c>
      <c r="C8" s="5">
        <v>2015</v>
      </c>
      <c r="D8" s="5">
        <v>120.92</v>
      </c>
      <c r="E8" s="5">
        <v>31.53</v>
      </c>
      <c r="F8" s="5" t="s">
        <v>144</v>
      </c>
      <c r="G8" s="29">
        <v>745.5</v>
      </c>
      <c r="H8" s="29">
        <v>922.5</v>
      </c>
      <c r="I8" s="29">
        <v>25.59</v>
      </c>
      <c r="J8" s="29">
        <v>1.48</v>
      </c>
      <c r="K8" s="29">
        <v>68</v>
      </c>
      <c r="L8" s="29">
        <v>20</v>
      </c>
      <c r="M8" s="29">
        <v>12</v>
      </c>
      <c r="N8" s="29">
        <v>7.6</v>
      </c>
      <c r="O8" s="29">
        <v>11.6</v>
      </c>
      <c r="P8" s="29">
        <v>2.2999999999999998</v>
      </c>
      <c r="Q8" s="29">
        <f t="shared" si="0"/>
        <v>5.0434782608695654</v>
      </c>
      <c r="R8" s="29">
        <v>219.6</v>
      </c>
      <c r="S8" s="79">
        <v>0.74</v>
      </c>
      <c r="U8" s="80">
        <f>(S8-0.26)/R8</f>
        <v>2.185792349726776E-3</v>
      </c>
      <c r="V8" s="80">
        <f t="shared" si="1"/>
        <v>0.21857923497267759</v>
      </c>
    </row>
    <row r="9" spans="1:22" x14ac:dyDescent="0.3">
      <c r="A9" s="81" t="s">
        <v>142</v>
      </c>
      <c r="B9" s="81" t="s">
        <v>143</v>
      </c>
      <c r="C9" s="81">
        <v>2015</v>
      </c>
      <c r="D9" s="81">
        <v>120.92</v>
      </c>
      <c r="E9" s="81">
        <v>31.53</v>
      </c>
      <c r="F9" s="81" t="s">
        <v>144</v>
      </c>
      <c r="G9" s="34">
        <v>745.5</v>
      </c>
      <c r="H9" s="34">
        <v>922.5</v>
      </c>
      <c r="I9" s="34">
        <v>25.59</v>
      </c>
      <c r="J9" s="29">
        <v>1.48</v>
      </c>
      <c r="K9" s="29">
        <v>68</v>
      </c>
      <c r="L9" s="29">
        <v>20</v>
      </c>
      <c r="M9" s="29">
        <v>12</v>
      </c>
      <c r="N9" s="34">
        <v>7.6</v>
      </c>
      <c r="O9" s="29">
        <v>11.6</v>
      </c>
      <c r="P9" s="34">
        <v>2.2999999999999998</v>
      </c>
      <c r="Q9" s="34">
        <f t="shared" si="0"/>
        <v>5.0434782608695654</v>
      </c>
      <c r="R9" s="34">
        <v>219.6</v>
      </c>
      <c r="S9" s="82">
        <v>0.87</v>
      </c>
      <c r="T9" s="34"/>
      <c r="U9" s="83">
        <f>(S9-0.26)/R9</f>
        <v>2.7777777777777779E-3</v>
      </c>
      <c r="V9" s="83">
        <f t="shared" si="1"/>
        <v>0.27777777777777779</v>
      </c>
    </row>
    <row r="10" spans="1:22" x14ac:dyDescent="0.3">
      <c r="A10" s="5" t="s">
        <v>145</v>
      </c>
      <c r="B10" s="5" t="s">
        <v>146</v>
      </c>
      <c r="C10" s="5">
        <v>2014</v>
      </c>
      <c r="D10" s="5">
        <v>120.7</v>
      </c>
      <c r="E10" s="5">
        <v>31.53</v>
      </c>
      <c r="F10" s="5">
        <v>2009</v>
      </c>
      <c r="G10" s="29">
        <v>822.00000000000011</v>
      </c>
      <c r="H10" s="29">
        <v>952.5</v>
      </c>
      <c r="I10" s="29">
        <v>25.9</v>
      </c>
      <c r="J10" s="29">
        <v>1.12181818</v>
      </c>
      <c r="K10" s="29">
        <v>68</v>
      </c>
      <c r="L10" s="29">
        <v>20</v>
      </c>
      <c r="M10" s="29">
        <v>12</v>
      </c>
      <c r="N10" s="29">
        <v>5.09</v>
      </c>
      <c r="O10" s="29">
        <v>19.721577726218097</v>
      </c>
      <c r="P10" s="29">
        <v>1.98</v>
      </c>
      <c r="Q10" s="29">
        <f t="shared" si="0"/>
        <v>9.9603927910192418</v>
      </c>
      <c r="R10" s="29">
        <v>0</v>
      </c>
      <c r="S10" s="79">
        <v>0.78</v>
      </c>
      <c r="T10" s="44">
        <f>AVERAGE(S10,S12)</f>
        <v>0.45</v>
      </c>
      <c r="V10" s="80">
        <f t="shared" si="1"/>
        <v>0</v>
      </c>
    </row>
    <row r="11" spans="1:22" x14ac:dyDescent="0.3">
      <c r="A11" s="5" t="s">
        <v>145</v>
      </c>
      <c r="B11" s="5" t="s">
        <v>146</v>
      </c>
      <c r="C11" s="5">
        <v>2014</v>
      </c>
      <c r="D11" s="5">
        <v>120.7</v>
      </c>
      <c r="E11" s="5">
        <v>31.53</v>
      </c>
      <c r="F11" s="5">
        <v>2009</v>
      </c>
      <c r="G11" s="29">
        <v>822.00000000000011</v>
      </c>
      <c r="H11" s="29">
        <v>952.5</v>
      </c>
      <c r="I11" s="29">
        <v>25.9</v>
      </c>
      <c r="J11" s="29">
        <v>1.52</v>
      </c>
      <c r="K11" s="29">
        <v>68</v>
      </c>
      <c r="L11" s="29">
        <v>20</v>
      </c>
      <c r="M11" s="29">
        <v>12</v>
      </c>
      <c r="N11" s="29">
        <v>8.09</v>
      </c>
      <c r="O11" s="29">
        <v>19.7</v>
      </c>
      <c r="P11" s="29">
        <v>1.98</v>
      </c>
      <c r="Q11" s="29">
        <f t="shared" si="0"/>
        <v>9.9494949494949498</v>
      </c>
      <c r="R11" s="29">
        <v>180</v>
      </c>
      <c r="S11" s="79">
        <v>8.69</v>
      </c>
      <c r="U11" s="80">
        <f>(S11-0.78)/R11</f>
        <v>4.3944444444444439E-2</v>
      </c>
      <c r="V11" s="80">
        <f t="shared" si="1"/>
        <v>4.3944444444444439</v>
      </c>
    </row>
    <row r="12" spans="1:22" x14ac:dyDescent="0.3">
      <c r="A12" s="5" t="s">
        <v>145</v>
      </c>
      <c r="B12" s="5" t="s">
        <v>146</v>
      </c>
      <c r="C12" s="5">
        <v>2014</v>
      </c>
      <c r="D12" s="5">
        <v>120.7</v>
      </c>
      <c r="E12" s="5">
        <v>31.53</v>
      </c>
      <c r="F12" s="5">
        <v>2010</v>
      </c>
      <c r="G12" s="29">
        <v>651</v>
      </c>
      <c r="H12" s="29">
        <v>774</v>
      </c>
      <c r="I12" s="29">
        <v>26.15</v>
      </c>
      <c r="J12" s="29">
        <v>1.12181818</v>
      </c>
      <c r="K12" s="29">
        <v>68</v>
      </c>
      <c r="L12" s="29">
        <v>20</v>
      </c>
      <c r="M12" s="29">
        <v>12</v>
      </c>
      <c r="N12" s="29">
        <v>5.09</v>
      </c>
      <c r="O12" s="29">
        <v>19.721577726218097</v>
      </c>
      <c r="P12" s="29">
        <v>1.98</v>
      </c>
      <c r="Q12" s="29">
        <f t="shared" si="0"/>
        <v>9.9603927910192418</v>
      </c>
      <c r="R12" s="29">
        <v>0</v>
      </c>
      <c r="S12" s="79">
        <v>0.12</v>
      </c>
      <c r="V12" s="80">
        <f t="shared" si="1"/>
        <v>0</v>
      </c>
    </row>
    <row r="13" spans="1:22" x14ac:dyDescent="0.3">
      <c r="A13" s="81" t="s">
        <v>145</v>
      </c>
      <c r="B13" s="81" t="s">
        <v>146</v>
      </c>
      <c r="C13" s="81">
        <v>2014</v>
      </c>
      <c r="D13" s="81">
        <v>120.7</v>
      </c>
      <c r="E13" s="81">
        <v>31.53</v>
      </c>
      <c r="F13" s="81">
        <v>2010</v>
      </c>
      <c r="G13" s="34">
        <v>651</v>
      </c>
      <c r="H13" s="34">
        <v>774</v>
      </c>
      <c r="I13" s="34">
        <v>26.15</v>
      </c>
      <c r="J13" s="29">
        <v>1.52</v>
      </c>
      <c r="K13" s="29">
        <v>68</v>
      </c>
      <c r="L13" s="29">
        <v>20</v>
      </c>
      <c r="M13" s="29">
        <v>12</v>
      </c>
      <c r="N13" s="29">
        <v>8.09</v>
      </c>
      <c r="O13" s="29">
        <v>19.7</v>
      </c>
      <c r="P13" s="34">
        <v>1.98</v>
      </c>
      <c r="Q13" s="34">
        <f t="shared" si="0"/>
        <v>9.9494949494949498</v>
      </c>
      <c r="R13" s="34">
        <v>180</v>
      </c>
      <c r="S13" s="82">
        <v>9.8000000000000007</v>
      </c>
      <c r="T13" s="34"/>
      <c r="U13" s="83">
        <f>(S13-0.12)/R13</f>
        <v>5.3777777777777785E-2</v>
      </c>
      <c r="V13" s="83">
        <f t="shared" si="1"/>
        <v>5.3777777777777782</v>
      </c>
    </row>
    <row r="14" spans="1:22" x14ac:dyDescent="0.3">
      <c r="A14" s="5" t="s">
        <v>33</v>
      </c>
      <c r="B14" s="5" t="s">
        <v>147</v>
      </c>
      <c r="C14" s="5">
        <v>2011</v>
      </c>
      <c r="D14" s="5">
        <v>115.5</v>
      </c>
      <c r="E14" s="5">
        <v>29.92</v>
      </c>
      <c r="F14" s="5">
        <v>2008</v>
      </c>
      <c r="G14" s="29">
        <v>691.5</v>
      </c>
      <c r="H14" s="29">
        <v>792</v>
      </c>
      <c r="I14" s="29">
        <v>26.6</v>
      </c>
      <c r="J14" s="29">
        <v>1.2914285700000001</v>
      </c>
      <c r="K14" s="29">
        <v>38</v>
      </c>
      <c r="L14" s="29">
        <v>37</v>
      </c>
      <c r="M14" s="29">
        <v>25</v>
      </c>
      <c r="N14" s="29">
        <v>5.39</v>
      </c>
      <c r="O14" s="29">
        <v>19.373549883990719</v>
      </c>
      <c r="P14" s="29">
        <v>2.54</v>
      </c>
      <c r="Q14" s="29">
        <f t="shared" si="0"/>
        <v>7.6273818440908343</v>
      </c>
      <c r="R14" s="29">
        <v>0</v>
      </c>
      <c r="S14" s="79">
        <v>0.44</v>
      </c>
      <c r="T14" s="44">
        <f>AVERAGE(S14,S15,S18,S19)</f>
        <v>5.9999999999999984E-2</v>
      </c>
      <c r="V14" s="80">
        <f t="shared" si="1"/>
        <v>0</v>
      </c>
    </row>
    <row r="15" spans="1:22" x14ac:dyDescent="0.3">
      <c r="A15" s="5" t="s">
        <v>33</v>
      </c>
      <c r="B15" s="5" t="s">
        <v>147</v>
      </c>
      <c r="C15" s="5">
        <v>2011</v>
      </c>
      <c r="D15" s="5">
        <v>115.5</v>
      </c>
      <c r="E15" s="5">
        <v>29.92</v>
      </c>
      <c r="F15" s="5">
        <v>2008</v>
      </c>
      <c r="G15" s="29">
        <v>691.5</v>
      </c>
      <c r="H15" s="29">
        <v>792</v>
      </c>
      <c r="I15" s="29">
        <v>26.6</v>
      </c>
      <c r="J15" s="29">
        <v>1.2914285700000001</v>
      </c>
      <c r="K15" s="29">
        <v>38</v>
      </c>
      <c r="L15" s="29">
        <v>37</v>
      </c>
      <c r="M15" s="29">
        <v>25</v>
      </c>
      <c r="N15" s="29">
        <v>5.85</v>
      </c>
      <c r="O15" s="29">
        <v>15.661252900232018</v>
      </c>
      <c r="P15" s="29">
        <v>2.48</v>
      </c>
      <c r="Q15" s="29">
        <f t="shared" si="0"/>
        <v>6.3150213307387171</v>
      </c>
      <c r="R15" s="29">
        <v>0</v>
      </c>
      <c r="S15" s="79">
        <v>0.28000000000000003</v>
      </c>
      <c r="V15" s="80">
        <f t="shared" si="1"/>
        <v>0</v>
      </c>
    </row>
    <row r="16" spans="1:22" x14ac:dyDescent="0.3">
      <c r="A16" s="5" t="s">
        <v>33</v>
      </c>
      <c r="B16" s="5" t="s">
        <v>147</v>
      </c>
      <c r="C16" s="5">
        <v>2011</v>
      </c>
      <c r="D16" s="5">
        <v>115.5</v>
      </c>
      <c r="E16" s="5">
        <v>29.92</v>
      </c>
      <c r="F16" s="5">
        <v>2008</v>
      </c>
      <c r="G16" s="29">
        <v>691.5</v>
      </c>
      <c r="H16" s="29">
        <v>792</v>
      </c>
      <c r="I16" s="29">
        <v>26.6</v>
      </c>
      <c r="J16" s="29">
        <v>1.31</v>
      </c>
      <c r="K16" s="29">
        <v>38</v>
      </c>
      <c r="L16" s="29">
        <v>37</v>
      </c>
      <c r="M16" s="29">
        <v>25</v>
      </c>
      <c r="N16" s="29">
        <v>5.39</v>
      </c>
      <c r="O16" s="29">
        <v>19.373549883990719</v>
      </c>
      <c r="P16" s="29">
        <v>2.54</v>
      </c>
      <c r="Q16" s="29">
        <f t="shared" si="0"/>
        <v>7.6273818440908343</v>
      </c>
      <c r="R16" s="29">
        <v>210</v>
      </c>
      <c r="S16" s="79">
        <v>4.28</v>
      </c>
      <c r="U16" s="80">
        <f>(S16-0.44)/R16</f>
        <v>1.8285714285714287E-2</v>
      </c>
      <c r="V16" s="80">
        <f t="shared" si="1"/>
        <v>1.8285714285714287</v>
      </c>
    </row>
    <row r="17" spans="1:22" x14ac:dyDescent="0.3">
      <c r="A17" s="5" t="s">
        <v>33</v>
      </c>
      <c r="B17" s="5" t="s">
        <v>147</v>
      </c>
      <c r="C17" s="5">
        <v>2011</v>
      </c>
      <c r="D17" s="5">
        <v>115.5</v>
      </c>
      <c r="E17" s="5">
        <v>29.92</v>
      </c>
      <c r="F17" s="5">
        <v>2008</v>
      </c>
      <c r="G17" s="29">
        <v>691.5</v>
      </c>
      <c r="H17" s="29">
        <v>792</v>
      </c>
      <c r="I17" s="29">
        <v>26.6</v>
      </c>
      <c r="J17" s="29">
        <v>1.28</v>
      </c>
      <c r="K17" s="29">
        <v>38</v>
      </c>
      <c r="L17" s="29">
        <v>37</v>
      </c>
      <c r="M17" s="29">
        <v>25</v>
      </c>
      <c r="N17" s="29">
        <v>5.85</v>
      </c>
      <c r="O17" s="34">
        <v>15.661252900232018</v>
      </c>
      <c r="P17" s="29">
        <v>2.48</v>
      </c>
      <c r="Q17" s="29">
        <f t="shared" si="0"/>
        <v>6.3150213307387171</v>
      </c>
      <c r="R17" s="29">
        <v>210</v>
      </c>
      <c r="S17" s="79">
        <v>3.24</v>
      </c>
      <c r="U17" s="80">
        <f>(S17-0.28)/R17</f>
        <v>1.4095238095238095E-2</v>
      </c>
      <c r="V17" s="80">
        <f t="shared" si="1"/>
        <v>1.4095238095238094</v>
      </c>
    </row>
    <row r="18" spans="1:22" x14ac:dyDescent="0.3">
      <c r="A18" s="5" t="s">
        <v>33</v>
      </c>
      <c r="B18" s="5" t="s">
        <v>147</v>
      </c>
      <c r="C18" s="5">
        <v>2011</v>
      </c>
      <c r="D18" s="5">
        <v>115.5</v>
      </c>
      <c r="E18" s="5">
        <v>29.92</v>
      </c>
      <c r="F18" s="5">
        <v>2009</v>
      </c>
      <c r="G18" s="29">
        <v>682.5</v>
      </c>
      <c r="H18" s="29">
        <v>768</v>
      </c>
      <c r="I18" s="29">
        <v>26.6</v>
      </c>
      <c r="J18" s="29">
        <v>1.2914285700000001</v>
      </c>
      <c r="K18" s="29">
        <v>38</v>
      </c>
      <c r="L18" s="29">
        <v>37</v>
      </c>
      <c r="M18" s="29">
        <v>25</v>
      </c>
      <c r="N18" s="29">
        <v>5.39</v>
      </c>
      <c r="O18" s="29">
        <v>19.373549883990719</v>
      </c>
      <c r="P18" s="29">
        <v>2.54</v>
      </c>
      <c r="Q18" s="29">
        <f t="shared" si="0"/>
        <v>7.6273818440908343</v>
      </c>
      <c r="R18" s="29">
        <v>0</v>
      </c>
      <c r="S18" s="79">
        <v>-0.03</v>
      </c>
      <c r="V18" s="80">
        <f t="shared" si="1"/>
        <v>0</v>
      </c>
    </row>
    <row r="19" spans="1:22" x14ac:dyDescent="0.3">
      <c r="A19" s="5" t="s">
        <v>33</v>
      </c>
      <c r="B19" s="5" t="s">
        <v>147</v>
      </c>
      <c r="C19" s="5">
        <v>2011</v>
      </c>
      <c r="D19" s="5">
        <v>115.5</v>
      </c>
      <c r="E19" s="5">
        <v>29.92</v>
      </c>
      <c r="F19" s="5">
        <v>2009</v>
      </c>
      <c r="G19" s="29">
        <v>682.5</v>
      </c>
      <c r="H19" s="29">
        <v>768</v>
      </c>
      <c r="I19" s="29">
        <v>26.6</v>
      </c>
      <c r="J19" s="29">
        <v>1.2914285700000001</v>
      </c>
      <c r="K19" s="29">
        <v>38</v>
      </c>
      <c r="L19" s="29">
        <v>37</v>
      </c>
      <c r="M19" s="29">
        <v>25</v>
      </c>
      <c r="N19" s="29">
        <v>5.85</v>
      </c>
      <c r="O19" s="29">
        <v>15.661252900232018</v>
      </c>
      <c r="P19" s="29">
        <v>2.48</v>
      </c>
      <c r="Q19" s="29">
        <f t="shared" si="0"/>
        <v>6.3150213307387171</v>
      </c>
      <c r="R19" s="29">
        <v>0</v>
      </c>
      <c r="S19" s="79">
        <v>-0.45</v>
      </c>
      <c r="V19" s="80">
        <f t="shared" si="1"/>
        <v>0</v>
      </c>
    </row>
    <row r="20" spans="1:22" x14ac:dyDescent="0.3">
      <c r="A20" s="5" t="s">
        <v>33</v>
      </c>
      <c r="B20" s="5" t="s">
        <v>147</v>
      </c>
      <c r="C20" s="5">
        <v>2011</v>
      </c>
      <c r="D20" s="5">
        <v>115.5</v>
      </c>
      <c r="E20" s="5">
        <v>29.92</v>
      </c>
      <c r="F20" s="5">
        <v>2009</v>
      </c>
      <c r="G20" s="29">
        <v>682.5</v>
      </c>
      <c r="H20" s="29">
        <v>768</v>
      </c>
      <c r="I20" s="29">
        <v>26.6</v>
      </c>
      <c r="J20" s="29">
        <v>1.31</v>
      </c>
      <c r="K20" s="29">
        <v>38</v>
      </c>
      <c r="L20" s="29">
        <v>37</v>
      </c>
      <c r="M20" s="29">
        <v>25</v>
      </c>
      <c r="N20" s="29">
        <v>5.39</v>
      </c>
      <c r="O20" s="29">
        <v>19.373549883990719</v>
      </c>
      <c r="P20" s="29">
        <v>2.54</v>
      </c>
      <c r="Q20" s="29">
        <f t="shared" si="0"/>
        <v>7.6273818440908343</v>
      </c>
      <c r="R20" s="29">
        <v>210</v>
      </c>
      <c r="S20" s="79">
        <v>3.4</v>
      </c>
      <c r="U20" s="80">
        <f>(S20+0.03)/R20</f>
        <v>1.6333333333333332E-2</v>
      </c>
      <c r="V20" s="80">
        <f t="shared" si="1"/>
        <v>1.6333333333333331</v>
      </c>
    </row>
    <row r="21" spans="1:22" x14ac:dyDescent="0.3">
      <c r="A21" s="81" t="s">
        <v>33</v>
      </c>
      <c r="B21" s="81" t="s">
        <v>147</v>
      </c>
      <c r="C21" s="81">
        <v>2011</v>
      </c>
      <c r="D21" s="81">
        <v>115.5</v>
      </c>
      <c r="E21" s="81">
        <v>29.92</v>
      </c>
      <c r="F21" s="81">
        <v>2009</v>
      </c>
      <c r="G21" s="34">
        <v>682.5</v>
      </c>
      <c r="H21" s="34">
        <v>768</v>
      </c>
      <c r="I21" s="34">
        <v>26.6</v>
      </c>
      <c r="J21" s="29">
        <v>1.28</v>
      </c>
      <c r="K21" s="29">
        <v>38</v>
      </c>
      <c r="L21" s="29">
        <v>37</v>
      </c>
      <c r="M21" s="29">
        <v>25</v>
      </c>
      <c r="N21" s="34">
        <v>5.85</v>
      </c>
      <c r="O21" s="34">
        <v>15.661252900232018</v>
      </c>
      <c r="P21" s="34">
        <v>2.48</v>
      </c>
      <c r="Q21" s="34">
        <f t="shared" si="0"/>
        <v>6.3150213307387171</v>
      </c>
      <c r="R21" s="34">
        <v>210</v>
      </c>
      <c r="S21" s="82">
        <v>2.3199999999999998</v>
      </c>
      <c r="T21" s="34"/>
      <c r="U21" s="83">
        <f>(S21+0.45)/R21</f>
        <v>1.319047619047619E-2</v>
      </c>
      <c r="V21" s="83">
        <f t="shared" si="1"/>
        <v>1.319047619047619</v>
      </c>
    </row>
    <row r="22" spans="1:22" x14ac:dyDescent="0.3">
      <c r="A22" s="5" t="s">
        <v>148</v>
      </c>
      <c r="B22" s="5" t="s">
        <v>149</v>
      </c>
      <c r="C22" s="5">
        <v>2010</v>
      </c>
      <c r="D22" s="5">
        <v>119.68</v>
      </c>
      <c r="E22" s="5">
        <v>31.4</v>
      </c>
      <c r="F22" s="5">
        <v>2009</v>
      </c>
      <c r="G22" s="29">
        <v>747</v>
      </c>
      <c r="H22" s="29">
        <v>859.5</v>
      </c>
      <c r="I22" s="29">
        <v>25.81</v>
      </c>
      <c r="J22" s="29">
        <v>1.4</v>
      </c>
      <c r="K22" s="29">
        <v>38</v>
      </c>
      <c r="L22" s="29">
        <v>25</v>
      </c>
      <c r="M22" s="29">
        <v>37</v>
      </c>
      <c r="N22" s="29">
        <v>6.5</v>
      </c>
      <c r="O22" s="29">
        <v>24</v>
      </c>
      <c r="P22" s="29">
        <v>1.8</v>
      </c>
      <c r="Q22" s="29">
        <f t="shared" si="0"/>
        <v>13.333333333333332</v>
      </c>
      <c r="R22" s="29">
        <v>0</v>
      </c>
      <c r="S22" s="79">
        <v>0.76</v>
      </c>
      <c r="T22" s="44">
        <f>S22</f>
        <v>0.76</v>
      </c>
      <c r="V22" s="80">
        <f t="shared" si="1"/>
        <v>0</v>
      </c>
    </row>
    <row r="23" spans="1:22" x14ac:dyDescent="0.3">
      <c r="A23" s="5" t="s">
        <v>148</v>
      </c>
      <c r="B23" s="5" t="s">
        <v>149</v>
      </c>
      <c r="C23" s="5">
        <v>2010</v>
      </c>
      <c r="D23" s="5">
        <v>119.68</v>
      </c>
      <c r="E23" s="5">
        <v>31.4</v>
      </c>
      <c r="F23" s="5">
        <v>2009</v>
      </c>
      <c r="G23" s="29">
        <v>747</v>
      </c>
      <c r="H23" s="29">
        <v>859.5</v>
      </c>
      <c r="I23" s="29">
        <v>25.81</v>
      </c>
      <c r="J23" s="29">
        <v>1.01</v>
      </c>
      <c r="K23" s="29">
        <v>38</v>
      </c>
      <c r="L23" s="29">
        <v>25</v>
      </c>
      <c r="M23" s="29">
        <v>37</v>
      </c>
      <c r="N23" s="29">
        <v>6.5</v>
      </c>
      <c r="O23" s="29">
        <v>24</v>
      </c>
      <c r="P23" s="29">
        <v>1.8</v>
      </c>
      <c r="Q23" s="29">
        <f t="shared" si="0"/>
        <v>13.333333333333332</v>
      </c>
      <c r="R23" s="29">
        <v>300</v>
      </c>
      <c r="S23" s="79">
        <v>1.99</v>
      </c>
      <c r="U23" s="80">
        <f>(S23-0.76)/R23</f>
        <v>4.1000000000000003E-3</v>
      </c>
      <c r="V23" s="80">
        <f t="shared" si="1"/>
        <v>0.41000000000000003</v>
      </c>
    </row>
    <row r="24" spans="1:22" x14ac:dyDescent="0.3">
      <c r="A24" s="5" t="s">
        <v>150</v>
      </c>
      <c r="B24" s="5" t="s">
        <v>151</v>
      </c>
      <c r="C24" s="5">
        <v>2011</v>
      </c>
      <c r="D24" s="5">
        <v>119.82</v>
      </c>
      <c r="E24" s="5">
        <v>31.37</v>
      </c>
      <c r="F24" s="5" t="s">
        <v>152</v>
      </c>
      <c r="G24" s="29">
        <v>750</v>
      </c>
      <c r="H24" s="29">
        <v>709.5</v>
      </c>
      <c r="I24" s="29">
        <v>25.14</v>
      </c>
      <c r="J24" s="29">
        <v>1.4</v>
      </c>
      <c r="K24" s="29">
        <v>32.6</v>
      </c>
      <c r="L24" s="29">
        <v>42.9</v>
      </c>
      <c r="M24" s="29">
        <v>24.5</v>
      </c>
      <c r="N24" s="29">
        <v>6.23</v>
      </c>
      <c r="O24" s="29">
        <v>12.6</v>
      </c>
      <c r="P24" s="29">
        <v>1.3</v>
      </c>
      <c r="Q24" s="29">
        <f t="shared" si="0"/>
        <v>9.6923076923076916</v>
      </c>
      <c r="R24" s="29">
        <v>225</v>
      </c>
      <c r="S24" s="79">
        <v>6.3</v>
      </c>
      <c r="U24" s="80">
        <f>(S24-0.76)/R24</f>
        <v>2.4622222222222222E-2</v>
      </c>
      <c r="V24" s="80">
        <f t="shared" si="1"/>
        <v>2.4622222222222221</v>
      </c>
    </row>
    <row r="25" spans="1:22" x14ac:dyDescent="0.3">
      <c r="A25" s="5" t="s">
        <v>150</v>
      </c>
      <c r="B25" s="5" t="s">
        <v>151</v>
      </c>
      <c r="C25" s="5">
        <v>2011</v>
      </c>
      <c r="D25" s="5">
        <v>119.82</v>
      </c>
      <c r="E25" s="5">
        <v>31.37</v>
      </c>
      <c r="F25" s="5" t="s">
        <v>152</v>
      </c>
      <c r="G25" s="29">
        <v>750</v>
      </c>
      <c r="H25" s="29">
        <v>709.5</v>
      </c>
      <c r="I25" s="29">
        <v>25.14</v>
      </c>
      <c r="J25" s="29">
        <v>1.4</v>
      </c>
      <c r="K25" s="29">
        <v>32.6</v>
      </c>
      <c r="L25" s="29">
        <v>42.9</v>
      </c>
      <c r="M25" s="29">
        <v>24.5</v>
      </c>
      <c r="N25" s="29">
        <v>6.23</v>
      </c>
      <c r="O25" s="29">
        <v>12.6</v>
      </c>
      <c r="P25" s="29">
        <v>1.3</v>
      </c>
      <c r="Q25" s="29">
        <f t="shared" si="0"/>
        <v>9.6923076923076916</v>
      </c>
      <c r="R25" s="29">
        <v>225</v>
      </c>
      <c r="S25" s="79">
        <v>5.29</v>
      </c>
      <c r="U25" s="80">
        <f>(S25-0.76)/R25</f>
        <v>2.0133333333333333E-2</v>
      </c>
      <c r="V25" s="80">
        <f t="shared" si="1"/>
        <v>2.0133333333333332</v>
      </c>
    </row>
    <row r="26" spans="1:22" x14ac:dyDescent="0.3">
      <c r="A26" s="5" t="s">
        <v>150</v>
      </c>
      <c r="B26" s="5" t="s">
        <v>151</v>
      </c>
      <c r="C26" s="5">
        <v>2011</v>
      </c>
      <c r="D26" s="5">
        <v>119.82</v>
      </c>
      <c r="E26" s="5">
        <v>31.37</v>
      </c>
      <c r="F26" s="5" t="s">
        <v>152</v>
      </c>
      <c r="G26" s="29">
        <v>750</v>
      </c>
      <c r="H26" s="29">
        <v>709.5</v>
      </c>
      <c r="I26" s="29">
        <v>25.14</v>
      </c>
      <c r="J26" s="29">
        <v>1.4</v>
      </c>
      <c r="K26" s="29">
        <v>32.6</v>
      </c>
      <c r="L26" s="29">
        <v>42.9</v>
      </c>
      <c r="M26" s="29">
        <v>24.5</v>
      </c>
      <c r="N26" s="29">
        <v>6.23</v>
      </c>
      <c r="O26" s="29">
        <v>12.6</v>
      </c>
      <c r="P26" s="29">
        <v>1.3</v>
      </c>
      <c r="Q26" s="29">
        <f t="shared" si="0"/>
        <v>9.6923076923076916</v>
      </c>
      <c r="R26" s="29">
        <v>225</v>
      </c>
      <c r="S26" s="79">
        <v>4.93</v>
      </c>
      <c r="U26" s="80">
        <f>(S26-0.76)/R26</f>
        <v>1.8533333333333332E-2</v>
      </c>
      <c r="V26" s="80">
        <f t="shared" si="1"/>
        <v>1.8533333333333333</v>
      </c>
    </row>
    <row r="27" spans="1:22" x14ac:dyDescent="0.3">
      <c r="A27" s="5" t="s">
        <v>150</v>
      </c>
      <c r="B27" s="5" t="s">
        <v>151</v>
      </c>
      <c r="C27" s="5">
        <v>2011</v>
      </c>
      <c r="D27" s="5">
        <v>119.82</v>
      </c>
      <c r="E27" s="5">
        <v>31.37</v>
      </c>
      <c r="F27" s="5">
        <v>2007</v>
      </c>
      <c r="G27" s="29">
        <v>750</v>
      </c>
      <c r="H27" s="29">
        <v>709.5</v>
      </c>
      <c r="I27" s="29">
        <v>25.14</v>
      </c>
      <c r="J27" s="29">
        <v>1.4</v>
      </c>
      <c r="K27" s="29">
        <v>17.100000000000001</v>
      </c>
      <c r="L27" s="29">
        <v>68.7</v>
      </c>
      <c r="M27" s="29">
        <v>14.2</v>
      </c>
      <c r="N27" s="29">
        <v>6.91</v>
      </c>
      <c r="O27" s="29">
        <v>11.9</v>
      </c>
      <c r="P27" s="29">
        <v>1.5</v>
      </c>
      <c r="Q27" s="29">
        <f t="shared" si="0"/>
        <v>7.9333333333333336</v>
      </c>
      <c r="R27" s="29">
        <v>225</v>
      </c>
      <c r="S27" s="79">
        <v>2.31</v>
      </c>
      <c r="U27" s="80">
        <f>(S27-0.76)/R27</f>
        <v>6.8888888888888888E-3</v>
      </c>
      <c r="V27" s="80">
        <f t="shared" si="1"/>
        <v>0.68888888888888888</v>
      </c>
    </row>
    <row r="28" spans="1:22" x14ac:dyDescent="0.3">
      <c r="A28" s="5" t="s">
        <v>150</v>
      </c>
      <c r="B28" s="5" t="s">
        <v>151</v>
      </c>
      <c r="C28" s="5">
        <v>2011</v>
      </c>
      <c r="D28" s="5">
        <v>119.82</v>
      </c>
      <c r="E28" s="5">
        <v>31.37</v>
      </c>
      <c r="F28" s="5">
        <v>2007</v>
      </c>
      <c r="G28" s="29">
        <v>750</v>
      </c>
      <c r="H28" s="29">
        <v>709.5</v>
      </c>
      <c r="I28" s="29">
        <v>25.14</v>
      </c>
      <c r="J28" s="29">
        <v>1.4</v>
      </c>
      <c r="K28" s="29">
        <v>17.100000000000001</v>
      </c>
      <c r="L28" s="29">
        <v>68.7</v>
      </c>
      <c r="M28" s="29">
        <v>14.2</v>
      </c>
      <c r="N28" s="29">
        <v>6.91</v>
      </c>
      <c r="O28" s="29">
        <v>11.9</v>
      </c>
      <c r="P28" s="29">
        <v>1.5</v>
      </c>
      <c r="Q28" s="29">
        <f t="shared" si="0"/>
        <v>7.9333333333333336</v>
      </c>
      <c r="R28" s="29">
        <v>225</v>
      </c>
      <c r="S28" s="79">
        <v>1.71</v>
      </c>
      <c r="U28" s="80">
        <f>(S28-0.76)/R28</f>
        <v>4.2222222222222218E-3</v>
      </c>
      <c r="V28" s="80">
        <f t="shared" si="1"/>
        <v>0.42222222222222217</v>
      </c>
    </row>
    <row r="29" spans="1:22" x14ac:dyDescent="0.3">
      <c r="A29" s="5" t="s">
        <v>150</v>
      </c>
      <c r="B29" s="5" t="s">
        <v>151</v>
      </c>
      <c r="C29" s="5">
        <v>2011</v>
      </c>
      <c r="D29" s="5">
        <v>119.82</v>
      </c>
      <c r="E29" s="5">
        <v>31.37</v>
      </c>
      <c r="F29" s="5">
        <v>2007</v>
      </c>
      <c r="G29" s="29">
        <v>750</v>
      </c>
      <c r="H29" s="29">
        <v>709.5</v>
      </c>
      <c r="I29" s="29">
        <v>25.14</v>
      </c>
      <c r="J29" s="29">
        <v>1.4</v>
      </c>
      <c r="K29" s="29">
        <v>17.100000000000001</v>
      </c>
      <c r="L29" s="29">
        <v>68.7</v>
      </c>
      <c r="M29" s="29">
        <v>14.2</v>
      </c>
      <c r="N29" s="29">
        <v>6.91</v>
      </c>
      <c r="O29" s="29">
        <v>11.9</v>
      </c>
      <c r="P29" s="29">
        <v>1.5</v>
      </c>
      <c r="Q29" s="29">
        <f t="shared" si="0"/>
        <v>7.9333333333333336</v>
      </c>
      <c r="R29" s="29">
        <v>225</v>
      </c>
      <c r="S29" s="79">
        <v>2.5099999999999998</v>
      </c>
      <c r="U29" s="80">
        <f>(S29-0.76)/R29</f>
        <v>7.7777777777777767E-3</v>
      </c>
      <c r="V29" s="80">
        <f t="shared" si="1"/>
        <v>0.77777777777777768</v>
      </c>
    </row>
    <row r="30" spans="1:22" x14ac:dyDescent="0.3">
      <c r="A30" s="91" t="s">
        <v>153</v>
      </c>
      <c r="B30" s="91" t="s">
        <v>154</v>
      </c>
      <c r="C30" s="91">
        <v>2010</v>
      </c>
      <c r="D30" s="91">
        <v>118.83</v>
      </c>
      <c r="E30" s="91">
        <v>31.87</v>
      </c>
      <c r="F30" s="91">
        <v>2007</v>
      </c>
      <c r="G30" s="51">
        <v>747.00000000000011</v>
      </c>
      <c r="H30" s="51">
        <v>810</v>
      </c>
      <c r="I30" s="51">
        <v>26.1</v>
      </c>
      <c r="J30" s="51">
        <v>1.2255555499999999</v>
      </c>
      <c r="K30" s="51">
        <v>38</v>
      </c>
      <c r="L30" s="51">
        <v>37</v>
      </c>
      <c r="M30" s="51">
        <v>25</v>
      </c>
      <c r="N30" s="51">
        <v>6.5</v>
      </c>
      <c r="O30" s="51">
        <v>15.299999999999999</v>
      </c>
      <c r="P30" s="51">
        <v>1.5</v>
      </c>
      <c r="Q30" s="51">
        <f t="shared" si="0"/>
        <v>10.199999999999999</v>
      </c>
      <c r="R30" s="51">
        <v>0</v>
      </c>
      <c r="S30" s="92">
        <v>0.03</v>
      </c>
      <c r="T30" s="51">
        <f>AVERAGE(S34,S32,S30)</f>
        <v>0.46333333333333332</v>
      </c>
      <c r="U30" s="93"/>
      <c r="V30" s="93">
        <f t="shared" si="1"/>
        <v>0</v>
      </c>
    </row>
    <row r="31" spans="1:22" x14ac:dyDescent="0.3">
      <c r="A31" s="89" t="s">
        <v>153</v>
      </c>
      <c r="B31" s="89" t="s">
        <v>154</v>
      </c>
      <c r="C31" s="89">
        <v>2010</v>
      </c>
      <c r="D31" s="89">
        <v>118.83</v>
      </c>
      <c r="E31" s="89">
        <v>31.87</v>
      </c>
      <c r="F31" s="89">
        <v>2007</v>
      </c>
      <c r="G31" s="44">
        <v>747.00000000000011</v>
      </c>
      <c r="H31" s="44">
        <v>810</v>
      </c>
      <c r="I31" s="44">
        <v>26.1</v>
      </c>
      <c r="J31" s="44">
        <v>1.24</v>
      </c>
      <c r="K31" s="44">
        <v>38</v>
      </c>
      <c r="L31" s="44">
        <v>37</v>
      </c>
      <c r="M31" s="44">
        <v>25</v>
      </c>
      <c r="N31" s="44">
        <v>6.5</v>
      </c>
      <c r="O31" s="44">
        <v>15.299999999999999</v>
      </c>
      <c r="P31" s="44">
        <v>1.5</v>
      </c>
      <c r="Q31" s="44">
        <f t="shared" si="0"/>
        <v>10.199999999999999</v>
      </c>
      <c r="R31" s="44">
        <v>100</v>
      </c>
      <c r="S31" s="79">
        <v>0.05</v>
      </c>
      <c r="U31" s="90">
        <f>(S31-0.03)/R31</f>
        <v>2.0000000000000004E-4</v>
      </c>
      <c r="V31" s="90">
        <f t="shared" si="1"/>
        <v>2.0000000000000004E-2</v>
      </c>
    </row>
    <row r="32" spans="1:22" x14ac:dyDescent="0.3">
      <c r="A32" s="89" t="s">
        <v>153</v>
      </c>
      <c r="B32" s="89" t="s">
        <v>154</v>
      </c>
      <c r="C32" s="89">
        <v>2010</v>
      </c>
      <c r="D32" s="89">
        <v>118.83</v>
      </c>
      <c r="E32" s="89">
        <v>31.87</v>
      </c>
      <c r="F32" s="89">
        <v>2007</v>
      </c>
      <c r="G32" s="44">
        <v>747.00000000000011</v>
      </c>
      <c r="H32" s="44">
        <v>810</v>
      </c>
      <c r="I32" s="44">
        <v>26.1</v>
      </c>
      <c r="J32" s="44">
        <v>1.2255555499999999</v>
      </c>
      <c r="K32" s="44">
        <v>38</v>
      </c>
      <c r="L32" s="44">
        <v>37</v>
      </c>
      <c r="M32" s="44">
        <v>25</v>
      </c>
      <c r="N32" s="44">
        <v>6.5</v>
      </c>
      <c r="O32" s="44">
        <v>15.299999999999999</v>
      </c>
      <c r="P32" s="44">
        <v>1.5</v>
      </c>
      <c r="Q32" s="44">
        <f t="shared" si="0"/>
        <v>10.199999999999999</v>
      </c>
      <c r="R32" s="44">
        <v>0</v>
      </c>
      <c r="S32" s="79">
        <v>0.6</v>
      </c>
      <c r="U32" s="90"/>
      <c r="V32" s="90">
        <f t="shared" si="1"/>
        <v>0</v>
      </c>
    </row>
    <row r="33" spans="1:22" x14ac:dyDescent="0.3">
      <c r="A33" s="89" t="s">
        <v>153</v>
      </c>
      <c r="B33" s="89" t="s">
        <v>154</v>
      </c>
      <c r="C33" s="89">
        <v>2010</v>
      </c>
      <c r="D33" s="89">
        <v>118.83</v>
      </c>
      <c r="E33" s="89">
        <v>31.87</v>
      </c>
      <c r="F33" s="89">
        <v>2007</v>
      </c>
      <c r="G33" s="44">
        <v>747.00000000000011</v>
      </c>
      <c r="H33" s="44">
        <v>810</v>
      </c>
      <c r="I33" s="44">
        <v>26.1</v>
      </c>
      <c r="J33" s="44">
        <v>1.24</v>
      </c>
      <c r="K33" s="44">
        <v>38</v>
      </c>
      <c r="L33" s="44">
        <v>37</v>
      </c>
      <c r="M33" s="44">
        <v>25</v>
      </c>
      <c r="N33" s="44">
        <v>6.5</v>
      </c>
      <c r="O33" s="44">
        <v>15.299999999999999</v>
      </c>
      <c r="P33" s="44">
        <v>1.5</v>
      </c>
      <c r="Q33" s="44">
        <f t="shared" si="0"/>
        <v>10.199999999999999</v>
      </c>
      <c r="R33" s="44">
        <v>100</v>
      </c>
      <c r="S33" s="79">
        <v>0.9</v>
      </c>
      <c r="U33" s="90">
        <f>(S33-0.6)/R33</f>
        <v>3.0000000000000005E-3</v>
      </c>
      <c r="V33" s="90">
        <f t="shared" si="1"/>
        <v>0.30000000000000004</v>
      </c>
    </row>
    <row r="34" spans="1:22" x14ac:dyDescent="0.3">
      <c r="A34" s="89" t="s">
        <v>153</v>
      </c>
      <c r="B34" s="89" t="s">
        <v>154</v>
      </c>
      <c r="C34" s="89">
        <v>2010</v>
      </c>
      <c r="D34" s="89">
        <v>118.83</v>
      </c>
      <c r="E34" s="89">
        <v>31.87</v>
      </c>
      <c r="F34" s="89">
        <v>2007</v>
      </c>
      <c r="G34" s="44">
        <v>750</v>
      </c>
      <c r="H34" s="44">
        <v>709.5</v>
      </c>
      <c r="I34" s="44">
        <v>25.14</v>
      </c>
      <c r="J34" s="44">
        <v>1.2255555499999999</v>
      </c>
      <c r="K34" s="44">
        <v>38</v>
      </c>
      <c r="L34" s="44">
        <v>37</v>
      </c>
      <c r="M34" s="44">
        <v>25</v>
      </c>
      <c r="N34" s="44">
        <v>6.5</v>
      </c>
      <c r="O34" s="44">
        <v>15.299999999999999</v>
      </c>
      <c r="P34" s="44">
        <v>1.5</v>
      </c>
      <c r="Q34" s="44">
        <f t="shared" si="0"/>
        <v>10.199999999999999</v>
      </c>
      <c r="R34" s="44">
        <v>0</v>
      </c>
      <c r="S34" s="79">
        <v>0.76</v>
      </c>
      <c r="U34" s="90"/>
      <c r="V34" s="90">
        <f t="shared" si="1"/>
        <v>0</v>
      </c>
    </row>
    <row r="35" spans="1:22" x14ac:dyDescent="0.3">
      <c r="A35" s="81" t="s">
        <v>153</v>
      </c>
      <c r="B35" s="81" t="s">
        <v>154</v>
      </c>
      <c r="C35" s="81">
        <v>2010</v>
      </c>
      <c r="D35" s="81">
        <v>118.83</v>
      </c>
      <c r="E35" s="81">
        <v>31.87</v>
      </c>
      <c r="F35" s="81">
        <v>2007</v>
      </c>
      <c r="G35" s="34">
        <v>750</v>
      </c>
      <c r="H35" s="34">
        <v>709.5</v>
      </c>
      <c r="I35" s="34">
        <v>25.14</v>
      </c>
      <c r="J35" s="34">
        <v>1.24</v>
      </c>
      <c r="K35" s="34">
        <v>38</v>
      </c>
      <c r="L35" s="34">
        <v>37</v>
      </c>
      <c r="M35" s="34">
        <v>25</v>
      </c>
      <c r="N35" s="34">
        <v>6.5</v>
      </c>
      <c r="O35" s="34">
        <v>15.299999999999999</v>
      </c>
      <c r="P35" s="34">
        <v>1.5</v>
      </c>
      <c r="Q35" s="34">
        <f t="shared" si="0"/>
        <v>10.199999999999999</v>
      </c>
      <c r="R35" s="34">
        <v>100</v>
      </c>
      <c r="S35" s="82">
        <v>1.3</v>
      </c>
      <c r="T35" s="34"/>
      <c r="U35" s="83">
        <f>(S35-0.76)/R35</f>
        <v>5.4000000000000003E-3</v>
      </c>
      <c r="V35" s="83">
        <f t="shared" si="1"/>
        <v>0.54</v>
      </c>
    </row>
    <row r="36" spans="1:22" x14ac:dyDescent="0.3">
      <c r="A36" s="5" t="s">
        <v>155</v>
      </c>
      <c r="B36" s="5" t="s">
        <v>156</v>
      </c>
      <c r="C36" s="5">
        <v>1997</v>
      </c>
      <c r="D36" s="5">
        <v>118.83</v>
      </c>
      <c r="E36" s="5">
        <v>31.87</v>
      </c>
      <c r="F36" s="5" t="s">
        <v>157</v>
      </c>
      <c r="G36" s="29">
        <v>672.00000000000011</v>
      </c>
      <c r="H36" s="29">
        <v>780</v>
      </c>
      <c r="I36" s="29">
        <v>25.1</v>
      </c>
      <c r="J36" s="29">
        <v>1.2255555499999999</v>
      </c>
      <c r="K36" s="29">
        <v>38</v>
      </c>
      <c r="L36" s="29">
        <v>25</v>
      </c>
      <c r="M36" s="29">
        <v>37</v>
      </c>
      <c r="N36" s="29">
        <v>7.99</v>
      </c>
      <c r="O36" s="29">
        <v>10.730858468677495</v>
      </c>
      <c r="P36" s="29">
        <v>1.1599999999999999</v>
      </c>
      <c r="Q36" s="29">
        <f t="shared" ref="Q36:Q87" si="2">O36/P36</f>
        <v>9.2507400592047375</v>
      </c>
      <c r="R36" s="29">
        <v>0</v>
      </c>
      <c r="S36" s="79">
        <v>0.14000000000000001</v>
      </c>
      <c r="T36" s="44">
        <f>S36</f>
        <v>0.14000000000000001</v>
      </c>
      <c r="V36" s="80">
        <f t="shared" si="1"/>
        <v>0</v>
      </c>
    </row>
    <row r="37" spans="1:22" x14ac:dyDescent="0.3">
      <c r="A37" s="5" t="s">
        <v>155</v>
      </c>
      <c r="B37" s="5" t="s">
        <v>156</v>
      </c>
      <c r="C37" s="5">
        <v>1997</v>
      </c>
      <c r="D37" s="5">
        <v>118.83</v>
      </c>
      <c r="E37" s="5">
        <v>31.87</v>
      </c>
      <c r="F37" s="5" t="s">
        <v>157</v>
      </c>
      <c r="G37" s="29">
        <v>672.00000000000011</v>
      </c>
      <c r="H37" s="29">
        <v>780</v>
      </c>
      <c r="I37" s="29">
        <v>25.1</v>
      </c>
      <c r="J37" s="29">
        <v>1.4</v>
      </c>
      <c r="K37" s="29">
        <v>38</v>
      </c>
      <c r="L37" s="29">
        <v>25</v>
      </c>
      <c r="M37" s="29">
        <v>37</v>
      </c>
      <c r="N37" s="29">
        <v>7.99</v>
      </c>
      <c r="O37" s="29">
        <v>10.730858468677495</v>
      </c>
      <c r="P37" s="29">
        <v>1.1599999999999999</v>
      </c>
      <c r="Q37" s="29">
        <f t="shared" si="2"/>
        <v>9.2507400592047375</v>
      </c>
      <c r="R37" s="29">
        <v>100</v>
      </c>
      <c r="S37" s="79">
        <v>0.17</v>
      </c>
      <c r="U37" s="80">
        <f>(S37-0.14)/R37</f>
        <v>2.9999999999999997E-4</v>
      </c>
      <c r="V37" s="80">
        <f t="shared" ref="V37:V88" si="3">U37*100</f>
        <v>0.03</v>
      </c>
    </row>
    <row r="38" spans="1:22" x14ac:dyDescent="0.3">
      <c r="A38" s="5" t="s">
        <v>155</v>
      </c>
      <c r="B38" s="5" t="s">
        <v>156</v>
      </c>
      <c r="C38" s="5">
        <v>1997</v>
      </c>
      <c r="D38" s="5">
        <v>118.83</v>
      </c>
      <c r="E38" s="5">
        <v>31.87</v>
      </c>
      <c r="F38" s="5" t="s">
        <v>157</v>
      </c>
      <c r="G38" s="29">
        <v>672.00000000000011</v>
      </c>
      <c r="H38" s="29">
        <v>780</v>
      </c>
      <c r="I38" s="29">
        <v>25.1</v>
      </c>
      <c r="J38" s="29">
        <v>1.4</v>
      </c>
      <c r="K38" s="29">
        <v>38</v>
      </c>
      <c r="L38" s="29">
        <v>25</v>
      </c>
      <c r="M38" s="29">
        <v>37</v>
      </c>
      <c r="N38" s="29">
        <v>7.99</v>
      </c>
      <c r="O38" s="29">
        <v>10.730858468677495</v>
      </c>
      <c r="P38" s="29">
        <v>1.1599999999999999</v>
      </c>
      <c r="Q38" s="29">
        <f t="shared" si="2"/>
        <v>9.2507400592047375</v>
      </c>
      <c r="R38" s="29">
        <v>100</v>
      </c>
      <c r="S38" s="79">
        <v>0.16348754750867001</v>
      </c>
      <c r="U38" s="80">
        <f>(S38-0.14)/R38</f>
        <v>2.3487547508669994E-4</v>
      </c>
      <c r="V38" s="80">
        <f t="shared" si="3"/>
        <v>2.3487547508669993E-2</v>
      </c>
    </row>
    <row r="39" spans="1:22" x14ac:dyDescent="0.3">
      <c r="A39" s="5" t="s">
        <v>155</v>
      </c>
      <c r="B39" s="5" t="s">
        <v>156</v>
      </c>
      <c r="C39" s="5">
        <v>1997</v>
      </c>
      <c r="D39" s="5">
        <v>118.83</v>
      </c>
      <c r="E39" s="5">
        <v>31.87</v>
      </c>
      <c r="F39" s="5" t="s">
        <v>157</v>
      </c>
      <c r="G39" s="29">
        <v>672.00000000000011</v>
      </c>
      <c r="H39" s="29">
        <v>780</v>
      </c>
      <c r="I39" s="29">
        <v>25.1</v>
      </c>
      <c r="J39" s="29">
        <v>1.4</v>
      </c>
      <c r="K39" s="29">
        <v>38</v>
      </c>
      <c r="L39" s="29">
        <v>25</v>
      </c>
      <c r="M39" s="29">
        <v>37</v>
      </c>
      <c r="N39" s="29">
        <v>7.99</v>
      </c>
      <c r="O39" s="29">
        <v>10.730858468677495</v>
      </c>
      <c r="P39" s="29">
        <v>1.1599999999999999</v>
      </c>
      <c r="Q39" s="29">
        <f t="shared" si="2"/>
        <v>9.2507400592047375</v>
      </c>
      <c r="R39" s="29">
        <v>300</v>
      </c>
      <c r="S39" s="79">
        <v>0.98</v>
      </c>
      <c r="U39" s="80">
        <f>(S39-0.14)/R39</f>
        <v>2.8E-3</v>
      </c>
      <c r="V39" s="80">
        <f t="shared" si="3"/>
        <v>0.27999999999999997</v>
      </c>
    </row>
    <row r="40" spans="1:22" x14ac:dyDescent="0.3">
      <c r="A40" s="81" t="s">
        <v>155</v>
      </c>
      <c r="B40" s="81" t="s">
        <v>156</v>
      </c>
      <c r="C40" s="81">
        <v>1997</v>
      </c>
      <c r="D40" s="81">
        <v>118.83</v>
      </c>
      <c r="E40" s="81">
        <v>31.87</v>
      </c>
      <c r="F40" s="81" t="s">
        <v>157</v>
      </c>
      <c r="G40" s="34">
        <v>672.00000000000011</v>
      </c>
      <c r="H40" s="34">
        <v>780</v>
      </c>
      <c r="I40" s="34">
        <v>25.1</v>
      </c>
      <c r="J40" s="29">
        <v>1.4</v>
      </c>
      <c r="K40" s="34">
        <v>38</v>
      </c>
      <c r="L40" s="34">
        <v>25</v>
      </c>
      <c r="M40" s="34">
        <v>37</v>
      </c>
      <c r="N40" s="34">
        <v>7.99</v>
      </c>
      <c r="O40" s="34">
        <v>10.730858468677495</v>
      </c>
      <c r="P40" s="34">
        <v>1.1599999999999999</v>
      </c>
      <c r="Q40" s="34">
        <f t="shared" si="2"/>
        <v>9.2507400592047375</v>
      </c>
      <c r="R40" s="34">
        <v>300</v>
      </c>
      <c r="S40" s="82">
        <v>0.62</v>
      </c>
      <c r="T40" s="34"/>
      <c r="U40" s="83">
        <f>(S40-0.14)/R40</f>
        <v>1.5999999999999999E-3</v>
      </c>
      <c r="V40" s="83">
        <f t="shared" si="3"/>
        <v>0.15999999999999998</v>
      </c>
    </row>
    <row r="41" spans="1:22" x14ac:dyDescent="0.3">
      <c r="A41" s="5" t="s">
        <v>158</v>
      </c>
      <c r="B41" s="5" t="s">
        <v>159</v>
      </c>
      <c r="C41" s="5">
        <v>2009</v>
      </c>
      <c r="D41" s="5">
        <v>118.83</v>
      </c>
      <c r="E41" s="5">
        <v>31.87</v>
      </c>
      <c r="F41" s="5">
        <v>2007</v>
      </c>
      <c r="G41" s="29">
        <v>747.00000000000011</v>
      </c>
      <c r="H41" s="29">
        <v>810</v>
      </c>
      <c r="I41" s="29">
        <v>26.1</v>
      </c>
      <c r="J41" s="29">
        <v>1.2255555499999999</v>
      </c>
      <c r="K41" s="29">
        <v>38</v>
      </c>
      <c r="L41" s="29">
        <v>25</v>
      </c>
      <c r="M41" s="29">
        <v>37</v>
      </c>
      <c r="N41" s="29">
        <v>6.3</v>
      </c>
      <c r="O41" s="29">
        <v>15.2</v>
      </c>
      <c r="P41" s="29">
        <v>1.7</v>
      </c>
      <c r="Q41" s="29">
        <f t="shared" si="2"/>
        <v>8.9411764705882355</v>
      </c>
      <c r="R41" s="29">
        <v>0</v>
      </c>
      <c r="S41" s="79">
        <v>0.3</v>
      </c>
      <c r="T41" s="44">
        <f>AVERAGE(S41,S43)</f>
        <v>0.55500000000000005</v>
      </c>
      <c r="V41" s="80">
        <f t="shared" si="3"/>
        <v>0</v>
      </c>
    </row>
    <row r="42" spans="1:22" x14ac:dyDescent="0.3">
      <c r="A42" s="5" t="s">
        <v>158</v>
      </c>
      <c r="B42" s="5" t="s">
        <v>159</v>
      </c>
      <c r="C42" s="5">
        <v>2009</v>
      </c>
      <c r="D42" s="5">
        <v>118.83</v>
      </c>
      <c r="E42" s="5">
        <v>31.87</v>
      </c>
      <c r="F42" s="5">
        <v>2007</v>
      </c>
      <c r="G42" s="29">
        <v>747.00000000000011</v>
      </c>
      <c r="H42" s="29">
        <v>810</v>
      </c>
      <c r="I42" s="29">
        <v>26.1</v>
      </c>
      <c r="J42" s="29">
        <v>1.4</v>
      </c>
      <c r="K42" s="29">
        <v>38</v>
      </c>
      <c r="L42" s="29">
        <v>25</v>
      </c>
      <c r="M42" s="29">
        <v>37</v>
      </c>
      <c r="N42" s="29">
        <v>6.3</v>
      </c>
      <c r="O42" s="29">
        <v>15.2</v>
      </c>
      <c r="P42" s="29">
        <v>1.7</v>
      </c>
      <c r="Q42" s="29">
        <f t="shared" si="2"/>
        <v>8.9411764705882355</v>
      </c>
      <c r="R42" s="29">
        <v>200</v>
      </c>
      <c r="S42" s="79">
        <v>1.33</v>
      </c>
      <c r="U42" s="80">
        <f>(S42-0.3)/R42</f>
        <v>5.1500000000000001E-3</v>
      </c>
      <c r="V42" s="80">
        <f t="shared" si="3"/>
        <v>0.51500000000000001</v>
      </c>
    </row>
    <row r="43" spans="1:22" x14ac:dyDescent="0.3">
      <c r="A43" s="5" t="s">
        <v>158</v>
      </c>
      <c r="B43" s="5" t="s">
        <v>159</v>
      </c>
      <c r="C43" s="5">
        <v>2009</v>
      </c>
      <c r="D43" s="5">
        <v>118.83</v>
      </c>
      <c r="E43" s="5">
        <v>31.87</v>
      </c>
      <c r="F43" s="5">
        <v>2007</v>
      </c>
      <c r="G43" s="29">
        <v>747.00000000000011</v>
      </c>
      <c r="H43" s="29">
        <v>810</v>
      </c>
      <c r="I43" s="29">
        <v>26.1</v>
      </c>
      <c r="J43" s="29">
        <v>1.2255555499999999</v>
      </c>
      <c r="K43" s="29">
        <v>38</v>
      </c>
      <c r="L43" s="29">
        <v>25</v>
      </c>
      <c r="M43" s="29">
        <v>37</v>
      </c>
      <c r="N43" s="29">
        <v>6.3</v>
      </c>
      <c r="O43" s="29">
        <v>15.2</v>
      </c>
      <c r="P43" s="29">
        <v>1.7</v>
      </c>
      <c r="Q43" s="29">
        <f t="shared" si="2"/>
        <v>8.9411764705882355</v>
      </c>
      <c r="R43" s="29">
        <v>0</v>
      </c>
      <c r="S43" s="79">
        <v>0.81</v>
      </c>
      <c r="V43" s="80">
        <f t="shared" si="3"/>
        <v>0</v>
      </c>
    </row>
    <row r="44" spans="1:22" x14ac:dyDescent="0.3">
      <c r="A44" s="81" t="s">
        <v>158</v>
      </c>
      <c r="B44" s="81" t="s">
        <v>159</v>
      </c>
      <c r="C44" s="81">
        <v>2009</v>
      </c>
      <c r="D44" s="81">
        <v>118.83</v>
      </c>
      <c r="E44" s="81">
        <v>31.87</v>
      </c>
      <c r="F44" s="81">
        <v>2007</v>
      </c>
      <c r="G44" s="34">
        <v>747.00000000000011</v>
      </c>
      <c r="H44" s="34">
        <v>810</v>
      </c>
      <c r="I44" s="34">
        <v>26.1</v>
      </c>
      <c r="J44" s="29">
        <v>1.4</v>
      </c>
      <c r="K44" s="34">
        <v>38</v>
      </c>
      <c r="L44" s="34">
        <v>25</v>
      </c>
      <c r="M44" s="34">
        <v>37</v>
      </c>
      <c r="N44" s="34">
        <v>6.3</v>
      </c>
      <c r="O44" s="34">
        <v>15.2</v>
      </c>
      <c r="P44" s="34">
        <v>1.7</v>
      </c>
      <c r="Q44" s="34">
        <f t="shared" si="2"/>
        <v>8.9411764705882355</v>
      </c>
      <c r="R44" s="34">
        <v>200</v>
      </c>
      <c r="S44" s="82">
        <v>2.2400000000000002</v>
      </c>
      <c r="T44" s="34"/>
      <c r="U44" s="83">
        <f>(S44-0.81)/R44</f>
        <v>7.150000000000001E-3</v>
      </c>
      <c r="V44" s="83">
        <f t="shared" si="3"/>
        <v>0.71500000000000008</v>
      </c>
    </row>
    <row r="45" spans="1:22" x14ac:dyDescent="0.3">
      <c r="A45" s="5" t="s">
        <v>160</v>
      </c>
      <c r="B45" s="5" t="s">
        <v>161</v>
      </c>
      <c r="C45" s="5">
        <v>2011</v>
      </c>
      <c r="D45" s="5">
        <v>118.83</v>
      </c>
      <c r="E45" s="5">
        <v>31.87</v>
      </c>
      <c r="F45" s="5">
        <v>2006</v>
      </c>
      <c r="G45" s="29">
        <v>732</v>
      </c>
      <c r="H45" s="29">
        <v>837</v>
      </c>
      <c r="I45" s="29">
        <v>25.77</v>
      </c>
      <c r="J45" s="29">
        <v>1.2255555499999999</v>
      </c>
      <c r="K45" s="29">
        <v>38</v>
      </c>
      <c r="L45" s="29">
        <v>25</v>
      </c>
      <c r="M45" s="29">
        <v>37</v>
      </c>
      <c r="N45" s="29">
        <v>5.7</v>
      </c>
      <c r="O45" s="29">
        <v>14.700000000000001</v>
      </c>
      <c r="P45" s="29">
        <v>1.32</v>
      </c>
      <c r="Q45" s="29">
        <f t="shared" si="2"/>
        <v>11.136363636363637</v>
      </c>
      <c r="R45" s="29">
        <v>0</v>
      </c>
      <c r="S45" s="79">
        <v>0.22</v>
      </c>
      <c r="T45" s="44">
        <f>S45</f>
        <v>0.22</v>
      </c>
      <c r="V45" s="80">
        <f t="shared" si="3"/>
        <v>0</v>
      </c>
    </row>
    <row r="46" spans="1:22" x14ac:dyDescent="0.3">
      <c r="A46" s="5" t="s">
        <v>160</v>
      </c>
      <c r="B46" s="5" t="s">
        <v>161</v>
      </c>
      <c r="C46" s="5">
        <v>2011</v>
      </c>
      <c r="D46" s="5">
        <v>118.83</v>
      </c>
      <c r="E46" s="5">
        <v>31.87</v>
      </c>
      <c r="F46" s="5">
        <v>2006</v>
      </c>
      <c r="G46" s="29">
        <v>732</v>
      </c>
      <c r="H46" s="29">
        <v>837</v>
      </c>
      <c r="I46" s="29">
        <v>25.77</v>
      </c>
      <c r="J46" s="29">
        <v>1.4</v>
      </c>
      <c r="K46" s="29">
        <v>38</v>
      </c>
      <c r="L46" s="29">
        <v>25</v>
      </c>
      <c r="M46" s="29">
        <v>37</v>
      </c>
      <c r="N46" s="29">
        <v>5.7</v>
      </c>
      <c r="O46" s="29">
        <v>14.700000000000001</v>
      </c>
      <c r="P46" s="29">
        <v>1.32</v>
      </c>
      <c r="Q46" s="29">
        <f t="shared" si="2"/>
        <v>11.136363636363637</v>
      </c>
      <c r="R46" s="29">
        <v>220</v>
      </c>
      <c r="S46" s="79">
        <v>0.68</v>
      </c>
      <c r="U46" s="80">
        <f>(S46-0.22)/R46</f>
        <v>2.0909090909090912E-3</v>
      </c>
      <c r="V46" s="80">
        <f t="shared" si="3"/>
        <v>0.20909090909090911</v>
      </c>
    </row>
    <row r="47" spans="1:22" x14ac:dyDescent="0.3">
      <c r="A47" s="81" t="s">
        <v>160</v>
      </c>
      <c r="B47" s="81" t="s">
        <v>161</v>
      </c>
      <c r="C47" s="81">
        <v>2011</v>
      </c>
      <c r="D47" s="81">
        <v>118.83</v>
      </c>
      <c r="E47" s="81">
        <v>31.87</v>
      </c>
      <c r="F47" s="81">
        <v>2006</v>
      </c>
      <c r="G47" s="34">
        <v>732</v>
      </c>
      <c r="H47" s="34">
        <v>837</v>
      </c>
      <c r="I47" s="34">
        <v>25.77</v>
      </c>
      <c r="J47" s="29">
        <v>1.4</v>
      </c>
      <c r="K47" s="34">
        <v>38</v>
      </c>
      <c r="L47" s="34">
        <v>25</v>
      </c>
      <c r="M47" s="34">
        <v>37</v>
      </c>
      <c r="N47" s="34">
        <v>5.7</v>
      </c>
      <c r="O47" s="34">
        <v>14.700000000000001</v>
      </c>
      <c r="P47" s="34">
        <v>1.32</v>
      </c>
      <c r="Q47" s="34">
        <f t="shared" si="2"/>
        <v>11.136363636363637</v>
      </c>
      <c r="R47" s="34">
        <v>300</v>
      </c>
      <c r="S47" s="82">
        <v>0.73</v>
      </c>
      <c r="T47" s="34"/>
      <c r="U47" s="83">
        <f>(S47-0.22)/R47</f>
        <v>1.7000000000000001E-3</v>
      </c>
      <c r="V47" s="83">
        <f t="shared" si="3"/>
        <v>0.17</v>
      </c>
    </row>
    <row r="48" spans="1:22" x14ac:dyDescent="0.3">
      <c r="A48" s="5" t="s">
        <v>163</v>
      </c>
      <c r="B48" s="5" t="s">
        <v>164</v>
      </c>
      <c r="C48" s="5">
        <v>2005</v>
      </c>
      <c r="D48" s="5">
        <v>121.75</v>
      </c>
      <c r="E48" s="5">
        <v>30.87</v>
      </c>
      <c r="F48" s="5" t="s">
        <v>260</v>
      </c>
      <c r="G48" s="29">
        <v>535.5</v>
      </c>
      <c r="H48" s="29">
        <v>801</v>
      </c>
      <c r="I48" s="29">
        <v>25.8</v>
      </c>
      <c r="J48" s="29">
        <v>1.3638461500000001</v>
      </c>
      <c r="K48" s="29">
        <v>50</v>
      </c>
      <c r="L48" s="29">
        <v>34</v>
      </c>
      <c r="M48" s="29">
        <v>16</v>
      </c>
      <c r="N48" s="29">
        <v>8</v>
      </c>
      <c r="O48" s="29">
        <v>10.904872389791183</v>
      </c>
      <c r="P48" s="29">
        <v>1.24</v>
      </c>
      <c r="Q48" s="29">
        <f t="shared" si="2"/>
        <v>8.7942519272509543</v>
      </c>
      <c r="R48" s="29">
        <v>0</v>
      </c>
      <c r="S48" s="79">
        <v>0.29909090909090902</v>
      </c>
      <c r="T48" s="44">
        <f>S48</f>
        <v>0.29909090909090902</v>
      </c>
      <c r="V48" s="80">
        <f t="shared" si="3"/>
        <v>0</v>
      </c>
    </row>
    <row r="49" spans="1:22" x14ac:dyDescent="0.3">
      <c r="A49" s="5" t="s">
        <v>163</v>
      </c>
      <c r="B49" s="5" t="s">
        <v>164</v>
      </c>
      <c r="C49" s="5">
        <v>2005</v>
      </c>
      <c r="D49" s="5">
        <v>121.75</v>
      </c>
      <c r="E49" s="5">
        <v>30.87</v>
      </c>
      <c r="F49" s="5" t="s">
        <v>260</v>
      </c>
      <c r="G49" s="29">
        <v>535.5</v>
      </c>
      <c r="H49" s="29">
        <v>801</v>
      </c>
      <c r="I49" s="29">
        <v>25.8</v>
      </c>
      <c r="J49" s="29">
        <v>1.37</v>
      </c>
      <c r="K49" s="29">
        <v>50</v>
      </c>
      <c r="L49" s="29">
        <v>34</v>
      </c>
      <c r="M49" s="29">
        <v>16</v>
      </c>
      <c r="N49" s="29">
        <v>8</v>
      </c>
      <c r="O49" s="29">
        <v>10.904872389791183</v>
      </c>
      <c r="P49" s="29">
        <v>1.24</v>
      </c>
      <c r="Q49" s="29">
        <f t="shared" si="2"/>
        <v>8.7942519272509543</v>
      </c>
      <c r="R49" s="29">
        <v>225</v>
      </c>
      <c r="S49" s="79">
        <v>0.42</v>
      </c>
      <c r="U49" s="80">
        <f>(S49-0.299)/R49</f>
        <v>5.3777777777777775E-4</v>
      </c>
      <c r="V49" s="80">
        <f t="shared" si="3"/>
        <v>5.3777777777777779E-2</v>
      </c>
    </row>
    <row r="50" spans="1:22" x14ac:dyDescent="0.3">
      <c r="A50" s="5" t="s">
        <v>163</v>
      </c>
      <c r="B50" s="5" t="s">
        <v>164</v>
      </c>
      <c r="C50" s="5">
        <v>2005</v>
      </c>
      <c r="D50" s="5">
        <v>121.75</v>
      </c>
      <c r="E50" s="5">
        <v>30.87</v>
      </c>
      <c r="F50" s="5" t="s">
        <v>260</v>
      </c>
      <c r="G50" s="29">
        <v>535.5</v>
      </c>
      <c r="H50" s="29">
        <v>801</v>
      </c>
      <c r="I50" s="29">
        <v>25.8</v>
      </c>
      <c r="J50" s="29">
        <v>1.37</v>
      </c>
      <c r="K50" s="29">
        <v>50</v>
      </c>
      <c r="L50" s="29">
        <v>34</v>
      </c>
      <c r="M50" s="29">
        <v>16</v>
      </c>
      <c r="N50" s="29">
        <v>8</v>
      </c>
      <c r="O50" s="29">
        <v>10.904872389791183</v>
      </c>
      <c r="P50" s="29">
        <v>1.24</v>
      </c>
      <c r="Q50" s="29">
        <f t="shared" si="2"/>
        <v>8.7942519272509543</v>
      </c>
      <c r="R50" s="29">
        <v>375</v>
      </c>
      <c r="S50" s="79">
        <v>0.60454545454545405</v>
      </c>
      <c r="U50" s="80">
        <f>(S50-0.299)/R50</f>
        <v>8.1478787878787751E-4</v>
      </c>
      <c r="V50" s="80">
        <f t="shared" si="3"/>
        <v>8.1478787878787748E-2</v>
      </c>
    </row>
    <row r="51" spans="1:22" x14ac:dyDescent="0.3">
      <c r="A51" s="81" t="s">
        <v>163</v>
      </c>
      <c r="B51" s="81" t="s">
        <v>164</v>
      </c>
      <c r="C51" s="81">
        <v>2005</v>
      </c>
      <c r="D51" s="81">
        <v>121.75</v>
      </c>
      <c r="E51" s="81">
        <v>30.87</v>
      </c>
      <c r="F51" s="81" t="s">
        <v>260</v>
      </c>
      <c r="G51" s="34">
        <v>535.5</v>
      </c>
      <c r="H51" s="34">
        <v>801</v>
      </c>
      <c r="I51" s="34">
        <v>25.8</v>
      </c>
      <c r="J51" s="29">
        <v>1.37</v>
      </c>
      <c r="K51" s="29">
        <v>50</v>
      </c>
      <c r="L51" s="29">
        <v>34</v>
      </c>
      <c r="M51" s="29">
        <v>16</v>
      </c>
      <c r="N51" s="34">
        <v>8</v>
      </c>
      <c r="O51" s="34">
        <v>10.904872389791183</v>
      </c>
      <c r="P51" s="34">
        <v>1.24</v>
      </c>
      <c r="Q51" s="34">
        <f t="shared" si="2"/>
        <v>8.7942519272509543</v>
      </c>
      <c r="R51" s="34">
        <v>525</v>
      </c>
      <c r="S51" s="82">
        <v>1.34909090909091</v>
      </c>
      <c r="T51" s="34"/>
      <c r="U51" s="83">
        <f>(S51-0.299)/R51</f>
        <v>2.0001731601731621E-3</v>
      </c>
      <c r="V51" s="83">
        <f t="shared" si="3"/>
        <v>0.2000173160173162</v>
      </c>
    </row>
    <row r="52" spans="1:22" x14ac:dyDescent="0.3">
      <c r="A52" s="5" t="s">
        <v>261</v>
      </c>
      <c r="B52" s="5" t="s">
        <v>262</v>
      </c>
      <c r="C52" s="5">
        <v>2005</v>
      </c>
      <c r="D52" s="5">
        <v>121.75</v>
      </c>
      <c r="E52" s="5">
        <v>30.87</v>
      </c>
      <c r="F52" s="5" t="s">
        <v>260</v>
      </c>
      <c r="G52" s="29">
        <v>535.5</v>
      </c>
      <c r="H52" s="29">
        <v>801</v>
      </c>
      <c r="I52" s="29">
        <v>25.8</v>
      </c>
      <c r="J52" s="29">
        <v>1.3638461500000001</v>
      </c>
      <c r="K52" s="29">
        <v>50</v>
      </c>
      <c r="L52" s="29">
        <v>34</v>
      </c>
      <c r="M52" s="29">
        <v>16</v>
      </c>
      <c r="N52" s="29">
        <v>7.9</v>
      </c>
      <c r="O52" s="29">
        <v>7.5406032482598606</v>
      </c>
      <c r="P52" s="29">
        <v>1.4730000000000001</v>
      </c>
      <c r="Q52" s="29">
        <f t="shared" si="2"/>
        <v>5.1192146967140939</v>
      </c>
      <c r="R52" s="29">
        <v>0</v>
      </c>
      <c r="S52" s="79">
        <v>9.5454545454545459E-2</v>
      </c>
      <c r="T52" s="44">
        <f>S52</f>
        <v>9.5454545454545459E-2</v>
      </c>
      <c r="V52" s="80">
        <f t="shared" si="3"/>
        <v>0</v>
      </c>
    </row>
    <row r="53" spans="1:22" x14ac:dyDescent="0.3">
      <c r="A53" s="5" t="s">
        <v>261</v>
      </c>
      <c r="B53" s="5" t="s">
        <v>262</v>
      </c>
      <c r="C53" s="5">
        <v>2005</v>
      </c>
      <c r="D53" s="5">
        <v>121.75</v>
      </c>
      <c r="E53" s="5">
        <v>30.87</v>
      </c>
      <c r="F53" s="5" t="s">
        <v>260</v>
      </c>
      <c r="G53" s="29">
        <v>535.5</v>
      </c>
      <c r="H53" s="29">
        <v>801</v>
      </c>
      <c r="I53" s="29">
        <v>25.8</v>
      </c>
      <c r="J53" s="29">
        <v>1.37</v>
      </c>
      <c r="K53" s="29">
        <v>50</v>
      </c>
      <c r="L53" s="29">
        <v>34</v>
      </c>
      <c r="M53" s="29">
        <v>16</v>
      </c>
      <c r="N53" s="29">
        <v>7.9</v>
      </c>
      <c r="O53" s="29">
        <v>7.5406032482598606</v>
      </c>
      <c r="P53" s="29">
        <v>0.51</v>
      </c>
      <c r="Q53" s="29">
        <f t="shared" si="2"/>
        <v>14.785496565215412</v>
      </c>
      <c r="R53" s="29">
        <v>225</v>
      </c>
      <c r="S53" s="79">
        <v>0.13363636363636364</v>
      </c>
      <c r="U53" s="80">
        <f>(S53-0.095455)/R53</f>
        <v>1.6969494949494951E-4</v>
      </c>
      <c r="V53" s="80">
        <f t="shared" si="3"/>
        <v>1.696949494949495E-2</v>
      </c>
    </row>
    <row r="54" spans="1:22" x14ac:dyDescent="0.3">
      <c r="A54" s="5" t="s">
        <v>261</v>
      </c>
      <c r="B54" s="5" t="s">
        <v>262</v>
      </c>
      <c r="C54" s="5">
        <v>2005</v>
      </c>
      <c r="D54" s="5">
        <v>121.75</v>
      </c>
      <c r="E54" s="5">
        <v>30.87</v>
      </c>
      <c r="F54" s="5" t="s">
        <v>260</v>
      </c>
      <c r="G54" s="29">
        <v>535.5</v>
      </c>
      <c r="H54" s="29">
        <v>801</v>
      </c>
      <c r="I54" s="29">
        <v>25.8</v>
      </c>
      <c r="J54" s="29">
        <v>1.37</v>
      </c>
      <c r="K54" s="29">
        <v>50</v>
      </c>
      <c r="L54" s="29">
        <v>34</v>
      </c>
      <c r="M54" s="29">
        <v>16</v>
      </c>
      <c r="N54" s="29">
        <v>7.9</v>
      </c>
      <c r="O54" s="29">
        <v>7.5406032482598606</v>
      </c>
      <c r="P54" s="29">
        <v>0.51</v>
      </c>
      <c r="Q54" s="29">
        <f t="shared" si="2"/>
        <v>14.785496565215412</v>
      </c>
      <c r="R54" s="29">
        <v>375</v>
      </c>
      <c r="S54" s="79">
        <v>0.19090909090909092</v>
      </c>
      <c r="U54" s="80">
        <f>(S54-0.095455)/R54</f>
        <v>2.5454424242424246E-4</v>
      </c>
      <c r="V54" s="80">
        <f t="shared" si="3"/>
        <v>2.5454424242424247E-2</v>
      </c>
    </row>
    <row r="55" spans="1:22" x14ac:dyDescent="0.3">
      <c r="A55" s="81" t="s">
        <v>261</v>
      </c>
      <c r="B55" s="81" t="s">
        <v>262</v>
      </c>
      <c r="C55" s="81">
        <v>2005</v>
      </c>
      <c r="D55" s="81">
        <v>121.75</v>
      </c>
      <c r="E55" s="81">
        <v>30.87</v>
      </c>
      <c r="F55" s="81" t="s">
        <v>260</v>
      </c>
      <c r="G55" s="34">
        <v>535.5</v>
      </c>
      <c r="H55" s="34">
        <v>801</v>
      </c>
      <c r="I55" s="34">
        <v>25.8</v>
      </c>
      <c r="J55" s="29">
        <v>1.37</v>
      </c>
      <c r="K55" s="29">
        <v>50</v>
      </c>
      <c r="L55" s="29">
        <v>34</v>
      </c>
      <c r="M55" s="29">
        <v>16</v>
      </c>
      <c r="N55" s="34">
        <v>7.9</v>
      </c>
      <c r="O55" s="34">
        <v>7.5406032482598606</v>
      </c>
      <c r="P55" s="29">
        <v>0.51</v>
      </c>
      <c r="Q55" s="34">
        <f t="shared" si="2"/>
        <v>14.785496565215412</v>
      </c>
      <c r="R55" s="34">
        <v>525</v>
      </c>
      <c r="S55" s="82">
        <v>0.42636363636363639</v>
      </c>
      <c r="T55" s="34"/>
      <c r="U55" s="83">
        <f>(S55-0.095455)/R55</f>
        <v>6.3030216450216451E-4</v>
      </c>
      <c r="V55" s="83">
        <f t="shared" si="3"/>
        <v>6.3030216450216447E-2</v>
      </c>
    </row>
    <row r="56" spans="1:22" x14ac:dyDescent="0.3">
      <c r="A56" s="5" t="s">
        <v>263</v>
      </c>
      <c r="B56" s="5" t="s">
        <v>264</v>
      </c>
      <c r="C56" s="5">
        <v>2009</v>
      </c>
      <c r="D56" s="5">
        <v>115.5</v>
      </c>
      <c r="E56" s="5">
        <v>29.92</v>
      </c>
      <c r="F56" s="5">
        <v>2008</v>
      </c>
      <c r="G56" s="29">
        <v>691.5</v>
      </c>
      <c r="H56" s="29">
        <v>792</v>
      </c>
      <c r="I56" s="29">
        <v>26.6</v>
      </c>
      <c r="J56" s="29">
        <v>1.2914285700000001</v>
      </c>
      <c r="K56" s="29">
        <v>38</v>
      </c>
      <c r="L56" s="29">
        <v>37</v>
      </c>
      <c r="M56" s="29">
        <v>25</v>
      </c>
      <c r="N56" s="29">
        <v>6.58</v>
      </c>
      <c r="O56" s="29">
        <v>18.271461716937356</v>
      </c>
      <c r="P56" s="29">
        <v>1.57</v>
      </c>
      <c r="Q56" s="29">
        <f t="shared" si="2"/>
        <v>11.63787370505564</v>
      </c>
      <c r="R56" s="29">
        <v>0</v>
      </c>
      <c r="S56" s="79">
        <v>0.30780909090909092</v>
      </c>
      <c r="T56" s="44">
        <f>AVERAGE(S56:S57)</f>
        <v>0.48984090909090916</v>
      </c>
      <c r="V56" s="80">
        <f t="shared" si="3"/>
        <v>0</v>
      </c>
    </row>
    <row r="57" spans="1:22" x14ac:dyDescent="0.3">
      <c r="A57" s="5" t="s">
        <v>263</v>
      </c>
      <c r="B57" s="5" t="s">
        <v>264</v>
      </c>
      <c r="C57" s="5">
        <v>2009</v>
      </c>
      <c r="D57" s="5">
        <v>115.5</v>
      </c>
      <c r="E57" s="5">
        <v>29.92</v>
      </c>
      <c r="F57" s="5">
        <v>2008</v>
      </c>
      <c r="G57" s="29">
        <v>691.5</v>
      </c>
      <c r="H57" s="29">
        <v>792</v>
      </c>
      <c r="I57" s="29">
        <v>26.6</v>
      </c>
      <c r="J57" s="29">
        <v>1.2914285700000001</v>
      </c>
      <c r="K57" s="29">
        <v>38</v>
      </c>
      <c r="L57" s="29">
        <v>37</v>
      </c>
      <c r="M57" s="29">
        <v>25</v>
      </c>
      <c r="N57" s="29">
        <v>6.58</v>
      </c>
      <c r="O57" s="29">
        <v>18.271461716937356</v>
      </c>
      <c r="P57" s="29">
        <v>1.57</v>
      </c>
      <c r="Q57" s="29">
        <f t="shared" si="2"/>
        <v>11.63787370505564</v>
      </c>
      <c r="R57" s="29">
        <v>0</v>
      </c>
      <c r="S57" s="79">
        <v>0.6718727272727274</v>
      </c>
      <c r="V57" s="80">
        <f t="shared" si="3"/>
        <v>0</v>
      </c>
    </row>
    <row r="58" spans="1:22" x14ac:dyDescent="0.3">
      <c r="A58" s="5" t="s">
        <v>263</v>
      </c>
      <c r="B58" s="5" t="s">
        <v>264</v>
      </c>
      <c r="C58" s="5">
        <v>2009</v>
      </c>
      <c r="D58" s="5">
        <v>115.5</v>
      </c>
      <c r="E58" s="5">
        <v>29.92</v>
      </c>
      <c r="F58" s="5">
        <v>2008</v>
      </c>
      <c r="G58" s="29">
        <v>691.5</v>
      </c>
      <c r="H58" s="29">
        <v>792</v>
      </c>
      <c r="I58" s="29">
        <v>26.6</v>
      </c>
      <c r="J58" s="29">
        <v>1.26</v>
      </c>
      <c r="K58" s="29">
        <v>38</v>
      </c>
      <c r="L58" s="29">
        <v>37</v>
      </c>
      <c r="M58" s="29">
        <v>25</v>
      </c>
      <c r="N58" s="29">
        <v>6.58</v>
      </c>
      <c r="O58" s="29">
        <v>18.271461716937356</v>
      </c>
      <c r="P58" s="29">
        <v>3.57</v>
      </c>
      <c r="Q58" s="29">
        <f t="shared" si="2"/>
        <v>5.118056503343797</v>
      </c>
      <c r="R58" s="29">
        <v>210</v>
      </c>
      <c r="S58" s="79">
        <v>2.9497363636363634</v>
      </c>
      <c r="U58" s="80">
        <f>(S58-0.3078)/R58</f>
        <v>1.2580649350649351E-2</v>
      </c>
      <c r="V58" s="80">
        <f t="shared" si="3"/>
        <v>1.2580649350649351</v>
      </c>
    </row>
    <row r="59" spans="1:22" x14ac:dyDescent="0.3">
      <c r="A59" s="81" t="s">
        <v>263</v>
      </c>
      <c r="B59" s="81" t="s">
        <v>264</v>
      </c>
      <c r="C59" s="81">
        <v>2009</v>
      </c>
      <c r="D59" s="81">
        <v>115.5</v>
      </c>
      <c r="E59" s="81">
        <v>29.92</v>
      </c>
      <c r="F59" s="81">
        <v>2008</v>
      </c>
      <c r="G59" s="34">
        <v>691.5</v>
      </c>
      <c r="H59" s="34">
        <v>792</v>
      </c>
      <c r="I59" s="34">
        <v>26.6</v>
      </c>
      <c r="J59" s="29">
        <v>1.26</v>
      </c>
      <c r="K59" s="29">
        <v>38</v>
      </c>
      <c r="L59" s="29">
        <v>37</v>
      </c>
      <c r="M59" s="29">
        <v>25</v>
      </c>
      <c r="N59" s="34">
        <v>6.58</v>
      </c>
      <c r="O59" s="34">
        <v>18.271461716937356</v>
      </c>
      <c r="P59" s="34">
        <v>3.57</v>
      </c>
      <c r="Q59" s="34">
        <f t="shared" si="2"/>
        <v>5.118056503343797</v>
      </c>
      <c r="R59" s="34">
        <v>210</v>
      </c>
      <c r="S59" s="82">
        <v>2.9091363636363639</v>
      </c>
      <c r="T59" s="34"/>
      <c r="U59" s="83">
        <f>(S59-0.67187)/R59</f>
        <v>1.0653649350649351E-2</v>
      </c>
      <c r="V59" s="83">
        <f t="shared" si="3"/>
        <v>1.065364935064935</v>
      </c>
    </row>
    <row r="60" spans="1:22" x14ac:dyDescent="0.3">
      <c r="A60" s="5" t="s">
        <v>265</v>
      </c>
      <c r="B60" s="5" t="s">
        <v>266</v>
      </c>
      <c r="C60" s="5">
        <v>2010</v>
      </c>
      <c r="D60" s="5">
        <v>111.55</v>
      </c>
      <c r="E60" s="5">
        <v>28.92</v>
      </c>
      <c r="F60" s="5">
        <v>2007</v>
      </c>
      <c r="G60" s="29">
        <v>793.5</v>
      </c>
      <c r="H60" s="29">
        <v>763.5</v>
      </c>
      <c r="I60" s="29">
        <v>25.85</v>
      </c>
      <c r="J60" s="29">
        <v>1.3924444300000001</v>
      </c>
      <c r="K60" s="29">
        <v>53</v>
      </c>
      <c r="L60" s="29">
        <v>28</v>
      </c>
      <c r="M60" s="29">
        <v>19</v>
      </c>
      <c r="N60" s="29">
        <v>5.0599999999999996</v>
      </c>
      <c r="O60" s="29">
        <v>16.531322505800464</v>
      </c>
      <c r="P60" s="29">
        <v>2.7</v>
      </c>
      <c r="Q60" s="29">
        <f t="shared" si="2"/>
        <v>6.1227120391853562</v>
      </c>
      <c r="R60" s="29">
        <v>0</v>
      </c>
      <c r="S60" s="79">
        <v>4.4545454545454548E-2</v>
      </c>
      <c r="T60" s="44">
        <f>AVERAGE(S60,S63,S64)</f>
        <v>1.4848484848484849E-2</v>
      </c>
      <c r="V60" s="80">
        <f t="shared" si="3"/>
        <v>0</v>
      </c>
    </row>
    <row r="61" spans="1:22" x14ac:dyDescent="0.3">
      <c r="A61" s="5" t="s">
        <v>265</v>
      </c>
      <c r="B61" s="5" t="s">
        <v>266</v>
      </c>
      <c r="C61" s="5">
        <v>2010</v>
      </c>
      <c r="D61" s="5">
        <v>111.55</v>
      </c>
      <c r="E61" s="5">
        <v>28.92</v>
      </c>
      <c r="F61" s="5">
        <v>2007</v>
      </c>
      <c r="G61" s="29">
        <v>793.5</v>
      </c>
      <c r="H61" s="29">
        <v>763.5</v>
      </c>
      <c r="I61" s="29">
        <v>25.85</v>
      </c>
      <c r="J61" s="29">
        <v>1.07</v>
      </c>
      <c r="K61" s="29">
        <v>53</v>
      </c>
      <c r="L61" s="29">
        <v>28</v>
      </c>
      <c r="M61" s="29">
        <v>19</v>
      </c>
      <c r="N61" s="29">
        <v>5.15</v>
      </c>
      <c r="O61" s="29">
        <v>16.009280742459399</v>
      </c>
      <c r="P61" s="29">
        <v>2.9</v>
      </c>
      <c r="Q61" s="29">
        <f t="shared" si="2"/>
        <v>5.5204416353308279</v>
      </c>
      <c r="R61" s="29">
        <v>83.122</v>
      </c>
      <c r="S61" s="79">
        <v>0.13363636363636364</v>
      </c>
      <c r="U61" s="80">
        <f>(S61-0.044545)/R61</f>
        <v>1.0718144851707566E-3</v>
      </c>
      <c r="V61" s="80">
        <f t="shared" si="3"/>
        <v>0.10718144851707566</v>
      </c>
    </row>
    <row r="62" spans="1:22" x14ac:dyDescent="0.3">
      <c r="A62" s="5" t="s">
        <v>265</v>
      </c>
      <c r="B62" s="5" t="s">
        <v>266</v>
      </c>
      <c r="C62" s="5">
        <v>2010</v>
      </c>
      <c r="D62" s="5">
        <v>111.55</v>
      </c>
      <c r="E62" s="5">
        <v>28.92</v>
      </c>
      <c r="F62" s="5">
        <v>2007</v>
      </c>
      <c r="G62" s="29">
        <v>793.5</v>
      </c>
      <c r="H62" s="29">
        <v>763.5</v>
      </c>
      <c r="I62" s="29">
        <v>25.85</v>
      </c>
      <c r="J62" s="29">
        <v>1.07</v>
      </c>
      <c r="K62" s="29">
        <v>53</v>
      </c>
      <c r="L62" s="29">
        <v>28</v>
      </c>
      <c r="M62" s="29">
        <v>19</v>
      </c>
      <c r="N62" s="29">
        <v>5.13</v>
      </c>
      <c r="O62" s="29">
        <v>16.473317865429234</v>
      </c>
      <c r="P62" s="29">
        <v>2.9</v>
      </c>
      <c r="Q62" s="29">
        <f t="shared" si="2"/>
        <v>5.6804544363549088</v>
      </c>
      <c r="R62" s="29">
        <v>83.122</v>
      </c>
      <c r="S62" s="79">
        <v>0.13363636363636364</v>
      </c>
      <c r="U62" s="80">
        <f>(S62-0.044545)/R62</f>
        <v>1.0718144851707566E-3</v>
      </c>
      <c r="V62" s="80">
        <f t="shared" si="3"/>
        <v>0.10718144851707566</v>
      </c>
    </row>
    <row r="63" spans="1:22" x14ac:dyDescent="0.3">
      <c r="A63" s="5" t="s">
        <v>265</v>
      </c>
      <c r="B63" s="5" t="s">
        <v>266</v>
      </c>
      <c r="C63" s="5">
        <v>2010</v>
      </c>
      <c r="D63" s="5">
        <v>111.55</v>
      </c>
      <c r="E63" s="5">
        <v>28.92</v>
      </c>
      <c r="F63" s="5">
        <v>2007</v>
      </c>
      <c r="G63" s="29">
        <v>793.5</v>
      </c>
      <c r="H63" s="29">
        <v>763.5</v>
      </c>
      <c r="I63" s="29">
        <v>25.85</v>
      </c>
      <c r="J63" s="29">
        <v>1.3924444300000001</v>
      </c>
      <c r="K63" s="29">
        <v>53</v>
      </c>
      <c r="L63" s="29">
        <v>28</v>
      </c>
      <c r="M63" s="29">
        <v>19</v>
      </c>
      <c r="N63" s="29">
        <v>4.9000000000000004</v>
      </c>
      <c r="O63" s="29">
        <v>18.039443155452439</v>
      </c>
      <c r="P63" s="29">
        <v>1.2</v>
      </c>
      <c r="Q63" s="29">
        <f t="shared" si="2"/>
        <v>15.032869296210366</v>
      </c>
      <c r="R63" s="29">
        <v>83.122</v>
      </c>
      <c r="S63" s="79">
        <v>0</v>
      </c>
      <c r="V63" s="80">
        <f t="shared" si="3"/>
        <v>0</v>
      </c>
    </row>
    <row r="64" spans="1:22" x14ac:dyDescent="0.3">
      <c r="A64" s="5" t="s">
        <v>265</v>
      </c>
      <c r="B64" s="5" t="s">
        <v>266</v>
      </c>
      <c r="C64" s="5">
        <v>2010</v>
      </c>
      <c r="D64" s="5">
        <v>111.55</v>
      </c>
      <c r="E64" s="5">
        <v>28.92</v>
      </c>
      <c r="F64" s="5">
        <v>2007</v>
      </c>
      <c r="G64" s="29">
        <v>793.5</v>
      </c>
      <c r="H64" s="29">
        <v>763.5</v>
      </c>
      <c r="I64" s="29">
        <v>25.85</v>
      </c>
      <c r="J64" s="29">
        <v>1.3924444300000001</v>
      </c>
      <c r="K64" s="29">
        <v>53</v>
      </c>
      <c r="L64" s="29">
        <v>28</v>
      </c>
      <c r="M64" s="29">
        <v>19</v>
      </c>
      <c r="N64" s="29">
        <v>5.6</v>
      </c>
      <c r="O64" s="29">
        <v>18.938515081206496</v>
      </c>
      <c r="P64" s="29">
        <v>1.8540000000000001</v>
      </c>
      <c r="Q64" s="29">
        <f t="shared" si="2"/>
        <v>10.21494880323975</v>
      </c>
      <c r="R64" s="29">
        <v>0</v>
      </c>
      <c r="S64" s="79">
        <v>0</v>
      </c>
      <c r="V64" s="80">
        <f t="shared" si="3"/>
        <v>0</v>
      </c>
    </row>
    <row r="65" spans="1:22" x14ac:dyDescent="0.3">
      <c r="A65" s="5" t="s">
        <v>265</v>
      </c>
      <c r="B65" s="5" t="s">
        <v>266</v>
      </c>
      <c r="C65" s="5">
        <v>2010</v>
      </c>
      <c r="D65" s="5">
        <v>111.55</v>
      </c>
      <c r="E65" s="5">
        <v>28.92</v>
      </c>
      <c r="F65" s="5">
        <v>2007</v>
      </c>
      <c r="G65" s="29">
        <v>793.5</v>
      </c>
      <c r="H65" s="29">
        <v>763.5</v>
      </c>
      <c r="I65" s="29">
        <v>25.85</v>
      </c>
      <c r="J65" s="29">
        <v>1.3924444300000001</v>
      </c>
      <c r="K65" s="29">
        <v>53</v>
      </c>
      <c r="L65" s="29">
        <v>28</v>
      </c>
      <c r="M65" s="29">
        <v>19</v>
      </c>
      <c r="N65" s="29">
        <v>5.6</v>
      </c>
      <c r="O65" s="29">
        <v>18.938515081206496</v>
      </c>
      <c r="P65" s="29">
        <v>1.8540000000000001</v>
      </c>
      <c r="Q65" s="29">
        <f t="shared" si="2"/>
        <v>10.21494880323975</v>
      </c>
      <c r="R65" s="29">
        <v>103.914</v>
      </c>
      <c r="S65" s="79">
        <v>0.21</v>
      </c>
      <c r="U65" s="80">
        <f>(S65-0.26)/R65</f>
        <v>-4.8116711896375867E-4</v>
      </c>
      <c r="V65" s="80">
        <f t="shared" si="3"/>
        <v>-4.8116711896375869E-2</v>
      </c>
    </row>
    <row r="66" spans="1:22" x14ac:dyDescent="0.3">
      <c r="A66" s="5" t="s">
        <v>265</v>
      </c>
      <c r="B66" s="5" t="s">
        <v>266</v>
      </c>
      <c r="C66" s="5">
        <v>2010</v>
      </c>
      <c r="D66" s="5">
        <v>111.55</v>
      </c>
      <c r="E66" s="5">
        <v>28.92</v>
      </c>
      <c r="F66" s="5">
        <v>2007</v>
      </c>
      <c r="G66" s="29">
        <v>793.5</v>
      </c>
      <c r="H66" s="29">
        <v>763.5</v>
      </c>
      <c r="I66" s="29">
        <v>25.85</v>
      </c>
      <c r="J66" s="29">
        <v>1.07</v>
      </c>
      <c r="K66" s="29">
        <v>53</v>
      </c>
      <c r="L66" s="29">
        <v>28</v>
      </c>
      <c r="M66" s="29">
        <v>19</v>
      </c>
      <c r="N66" s="29">
        <v>5.6</v>
      </c>
      <c r="O66" s="29">
        <v>16.473317865429234</v>
      </c>
      <c r="P66" s="29">
        <v>2.9</v>
      </c>
      <c r="Q66" s="29">
        <f t="shared" si="2"/>
        <v>5.6804544363549088</v>
      </c>
      <c r="R66" s="29">
        <v>103.914</v>
      </c>
      <c r="S66" s="79">
        <v>0.26090909090909087</v>
      </c>
      <c r="U66" s="80">
        <f>(S66-0.21)/R66</f>
        <v>4.8991561203582648E-4</v>
      </c>
      <c r="V66" s="80">
        <f t="shared" si="3"/>
        <v>4.8991561203582647E-2</v>
      </c>
    </row>
    <row r="67" spans="1:22" x14ac:dyDescent="0.3">
      <c r="A67" s="81" t="s">
        <v>265</v>
      </c>
      <c r="B67" s="81" t="s">
        <v>266</v>
      </c>
      <c r="C67" s="81">
        <v>2010</v>
      </c>
      <c r="D67" s="81">
        <v>111.55</v>
      </c>
      <c r="E67" s="81">
        <v>28.92</v>
      </c>
      <c r="F67" s="81">
        <v>2007</v>
      </c>
      <c r="G67" s="34">
        <v>793.5</v>
      </c>
      <c r="H67" s="34">
        <v>763.5</v>
      </c>
      <c r="I67" s="34">
        <v>24.58</v>
      </c>
      <c r="J67" s="34">
        <v>1.3924444300000001</v>
      </c>
      <c r="K67" s="29">
        <v>53</v>
      </c>
      <c r="L67" s="29">
        <v>28</v>
      </c>
      <c r="M67" s="29">
        <v>19</v>
      </c>
      <c r="N67" s="34">
        <v>5.6</v>
      </c>
      <c r="O67" s="34">
        <v>18.938515081206496</v>
      </c>
      <c r="P67" s="34">
        <v>1.8540000000000001</v>
      </c>
      <c r="Q67" s="34">
        <f t="shared" si="2"/>
        <v>10.21494880323975</v>
      </c>
      <c r="R67" s="34">
        <v>103.914</v>
      </c>
      <c r="S67" s="82">
        <v>0.11454545454545455</v>
      </c>
      <c r="T67" s="34"/>
      <c r="U67" s="83">
        <f>(S67-0.21)/R67</f>
        <v>-9.1859177256717523E-4</v>
      </c>
      <c r="V67" s="83">
        <f t="shared" si="3"/>
        <v>-9.1859177256717522E-2</v>
      </c>
    </row>
    <row r="68" spans="1:22" x14ac:dyDescent="0.3">
      <c r="A68" s="5" t="s">
        <v>267</v>
      </c>
      <c r="B68" s="5" t="s">
        <v>268</v>
      </c>
      <c r="C68" s="5">
        <v>2006</v>
      </c>
      <c r="D68" s="5">
        <v>112.8</v>
      </c>
      <c r="E68" s="5">
        <v>28.3</v>
      </c>
      <c r="F68" s="5">
        <v>2004</v>
      </c>
      <c r="G68" s="29">
        <v>1002</v>
      </c>
      <c r="H68" s="29">
        <v>556.5</v>
      </c>
      <c r="I68" s="29">
        <v>27.67</v>
      </c>
      <c r="J68" s="29">
        <v>1.36799998</v>
      </c>
      <c r="K68" s="29">
        <v>38</v>
      </c>
      <c r="L68" s="29">
        <v>37</v>
      </c>
      <c r="M68" s="29">
        <v>25</v>
      </c>
      <c r="N68" s="29">
        <v>5.3</v>
      </c>
      <c r="O68" s="29">
        <v>20.6</v>
      </c>
      <c r="P68" s="29">
        <v>2.0499999999999998</v>
      </c>
      <c r="Q68" s="29">
        <f t="shared" si="2"/>
        <v>10.04878048780488</v>
      </c>
      <c r="R68" s="29">
        <v>0</v>
      </c>
      <c r="S68" s="79">
        <v>0.48318397242567834</v>
      </c>
      <c r="T68" s="44">
        <f>AVERAGE(S68,S70)</f>
        <v>0.29281825581472798</v>
      </c>
      <c r="V68" s="80">
        <f t="shared" si="3"/>
        <v>0</v>
      </c>
    </row>
    <row r="69" spans="1:22" x14ac:dyDescent="0.3">
      <c r="A69" s="5" t="s">
        <v>267</v>
      </c>
      <c r="B69" s="5" t="s">
        <v>268</v>
      </c>
      <c r="C69" s="5">
        <v>2006</v>
      </c>
      <c r="D69" s="5">
        <v>112.8</v>
      </c>
      <c r="E69" s="5">
        <v>28.3</v>
      </c>
      <c r="F69" s="5">
        <v>2004</v>
      </c>
      <c r="G69" s="29">
        <v>1002</v>
      </c>
      <c r="H69" s="29">
        <v>556.5</v>
      </c>
      <c r="I69" s="29">
        <v>27.67</v>
      </c>
      <c r="J69" s="29">
        <v>1.4</v>
      </c>
      <c r="K69" s="29">
        <v>38</v>
      </c>
      <c r="L69" s="29">
        <v>37</v>
      </c>
      <c r="M69" s="29">
        <v>25</v>
      </c>
      <c r="N69" s="29">
        <v>6.6</v>
      </c>
      <c r="O69" s="29">
        <v>20.6</v>
      </c>
      <c r="P69" s="29">
        <v>2.0499999999999998</v>
      </c>
      <c r="Q69" s="29">
        <f t="shared" si="2"/>
        <v>10.04878048780488</v>
      </c>
      <c r="R69" s="29">
        <v>150</v>
      </c>
      <c r="S69" s="79">
        <v>0.94181818181818178</v>
      </c>
      <c r="U69" s="80">
        <f>(S69-S68)/R69</f>
        <v>3.0575613959500231E-3</v>
      </c>
      <c r="V69" s="80">
        <f t="shared" si="3"/>
        <v>0.30575613959500231</v>
      </c>
    </row>
    <row r="70" spans="1:22" x14ac:dyDescent="0.3">
      <c r="A70" s="5" t="s">
        <v>267</v>
      </c>
      <c r="B70" s="5" t="s">
        <v>268</v>
      </c>
      <c r="C70" s="5">
        <v>2006</v>
      </c>
      <c r="D70" s="5">
        <v>112.8</v>
      </c>
      <c r="E70" s="5">
        <v>28.3</v>
      </c>
      <c r="F70" s="5">
        <v>2004</v>
      </c>
      <c r="G70" s="29">
        <v>1002</v>
      </c>
      <c r="H70" s="29">
        <v>556.5</v>
      </c>
      <c r="I70" s="29">
        <v>27.67</v>
      </c>
      <c r="J70" s="29">
        <v>1.36799998</v>
      </c>
      <c r="K70" s="29">
        <v>38</v>
      </c>
      <c r="L70" s="29">
        <v>37</v>
      </c>
      <c r="M70" s="29">
        <v>25</v>
      </c>
      <c r="N70" s="29">
        <v>5.3</v>
      </c>
      <c r="O70" s="29">
        <v>20.6</v>
      </c>
      <c r="P70" s="29">
        <v>2.0499999999999998</v>
      </c>
      <c r="Q70" s="29">
        <f t="shared" si="2"/>
        <v>10.04878048780488</v>
      </c>
      <c r="R70" s="29">
        <v>0</v>
      </c>
      <c r="S70" s="79">
        <v>0.10245253920377763</v>
      </c>
      <c r="V70" s="80">
        <f t="shared" si="3"/>
        <v>0</v>
      </c>
    </row>
    <row r="71" spans="1:22" x14ac:dyDescent="0.3">
      <c r="A71" s="81" t="s">
        <v>267</v>
      </c>
      <c r="B71" s="81" t="s">
        <v>268</v>
      </c>
      <c r="C71" s="81">
        <v>2006</v>
      </c>
      <c r="D71" s="81">
        <v>112.8</v>
      </c>
      <c r="E71" s="81">
        <v>28.3</v>
      </c>
      <c r="F71" s="81">
        <v>2004</v>
      </c>
      <c r="G71" s="34">
        <v>1002</v>
      </c>
      <c r="H71" s="34">
        <v>556.5</v>
      </c>
      <c r="I71" s="34">
        <v>27.67</v>
      </c>
      <c r="J71" s="34">
        <v>1.4</v>
      </c>
      <c r="K71" s="29">
        <v>38</v>
      </c>
      <c r="L71" s="29">
        <v>37</v>
      </c>
      <c r="M71" s="29">
        <v>25</v>
      </c>
      <c r="N71" s="34">
        <v>6.6</v>
      </c>
      <c r="O71" s="34">
        <v>20.6</v>
      </c>
      <c r="P71" s="34">
        <v>2.0499999999999998</v>
      </c>
      <c r="Q71" s="34">
        <f t="shared" si="2"/>
        <v>10.04878048780488</v>
      </c>
      <c r="R71" s="34">
        <v>180</v>
      </c>
      <c r="S71" s="82">
        <v>0.52577145118805557</v>
      </c>
      <c r="T71" s="34"/>
      <c r="U71" s="83">
        <f>(S71-S70)/R71</f>
        <v>2.3517717332459886E-3</v>
      </c>
      <c r="V71" s="83">
        <f t="shared" si="3"/>
        <v>0.23517717332459886</v>
      </c>
    </row>
    <row r="72" spans="1:22" x14ac:dyDescent="0.3">
      <c r="A72" s="5" t="s">
        <v>269</v>
      </c>
      <c r="B72" s="5" t="s">
        <v>270</v>
      </c>
      <c r="C72" s="5">
        <v>2008</v>
      </c>
      <c r="D72" s="5">
        <v>101.2</v>
      </c>
      <c r="E72" s="5">
        <v>21.92</v>
      </c>
      <c r="F72" s="5">
        <v>2005</v>
      </c>
      <c r="G72" s="29">
        <v>1371</v>
      </c>
      <c r="H72" s="29">
        <v>663</v>
      </c>
      <c r="I72" s="29">
        <v>24</v>
      </c>
      <c r="J72" s="29">
        <v>1.3426153599999999</v>
      </c>
      <c r="K72" s="29">
        <v>40</v>
      </c>
      <c r="L72" s="29">
        <v>17</v>
      </c>
      <c r="M72" s="29">
        <v>43</v>
      </c>
      <c r="N72" s="29">
        <v>5.38</v>
      </c>
      <c r="O72" s="29">
        <v>11.171693735498842</v>
      </c>
      <c r="P72" s="29">
        <v>1.28</v>
      </c>
      <c r="Q72" s="29">
        <f t="shared" si="2"/>
        <v>8.7278857308584694</v>
      </c>
      <c r="R72" s="29">
        <v>0</v>
      </c>
      <c r="S72" s="79">
        <v>1.11363636363636</v>
      </c>
      <c r="T72" s="44">
        <f>S72</f>
        <v>1.11363636363636</v>
      </c>
      <c r="V72" s="80">
        <f t="shared" si="3"/>
        <v>0</v>
      </c>
    </row>
    <row r="73" spans="1:22" x14ac:dyDescent="0.3">
      <c r="A73" s="5" t="s">
        <v>269</v>
      </c>
      <c r="B73" s="5" t="s">
        <v>270</v>
      </c>
      <c r="C73" s="5">
        <v>2008</v>
      </c>
      <c r="D73" s="5">
        <v>101.2</v>
      </c>
      <c r="E73" s="5">
        <v>21.92</v>
      </c>
      <c r="F73" s="5">
        <v>2005</v>
      </c>
      <c r="G73" s="29">
        <v>1371</v>
      </c>
      <c r="H73" s="29">
        <v>663</v>
      </c>
      <c r="I73" s="29">
        <v>24</v>
      </c>
      <c r="J73" s="29">
        <v>1.3</v>
      </c>
      <c r="K73" s="29">
        <v>40</v>
      </c>
      <c r="L73" s="29">
        <v>17</v>
      </c>
      <c r="M73" s="29">
        <v>43</v>
      </c>
      <c r="N73" s="29">
        <v>5.38</v>
      </c>
      <c r="O73" s="29">
        <v>11.171693735498842</v>
      </c>
      <c r="P73" s="29">
        <v>1.28</v>
      </c>
      <c r="Q73" s="29">
        <f t="shared" si="2"/>
        <v>8.7278857308584694</v>
      </c>
      <c r="R73" s="29">
        <v>150</v>
      </c>
      <c r="S73" s="79">
        <v>2.3354545454545499</v>
      </c>
      <c r="U73" s="80">
        <f>(S73-S72)/R73</f>
        <v>8.1454545454545998E-3</v>
      </c>
      <c r="V73" s="80">
        <f t="shared" si="3"/>
        <v>0.81454545454546001</v>
      </c>
    </row>
    <row r="74" spans="1:22" x14ac:dyDescent="0.3">
      <c r="A74" s="81" t="s">
        <v>269</v>
      </c>
      <c r="B74" s="81" t="s">
        <v>270</v>
      </c>
      <c r="C74" s="81">
        <v>2008</v>
      </c>
      <c r="D74" s="81">
        <v>101.2</v>
      </c>
      <c r="E74" s="81">
        <v>21.92</v>
      </c>
      <c r="F74" s="81">
        <v>2005</v>
      </c>
      <c r="G74" s="34">
        <v>1371</v>
      </c>
      <c r="H74" s="34">
        <v>663</v>
      </c>
      <c r="I74" s="34">
        <v>24</v>
      </c>
      <c r="J74" s="34">
        <v>1.3</v>
      </c>
      <c r="K74" s="29">
        <v>40</v>
      </c>
      <c r="L74" s="29">
        <v>17</v>
      </c>
      <c r="M74" s="29">
        <v>43</v>
      </c>
      <c r="N74" s="34">
        <v>5.38</v>
      </c>
      <c r="O74" s="34">
        <v>11.171693735498842</v>
      </c>
      <c r="P74" s="34">
        <v>1.28</v>
      </c>
      <c r="Q74" s="34">
        <f t="shared" si="2"/>
        <v>8.7278857308584694</v>
      </c>
      <c r="R74" s="34">
        <v>300</v>
      </c>
      <c r="S74" s="82">
        <v>1.9663636363636401</v>
      </c>
      <c r="T74" s="34"/>
      <c r="U74" s="83">
        <f>(S74-S72)/R74</f>
        <v>2.8424242424242669E-3</v>
      </c>
      <c r="V74" s="83">
        <f t="shared" si="3"/>
        <v>0.28424242424242668</v>
      </c>
    </row>
    <row r="75" spans="1:22" x14ac:dyDescent="0.3">
      <c r="A75" s="5" t="s">
        <v>165</v>
      </c>
      <c r="B75" s="5" t="s">
        <v>166</v>
      </c>
      <c r="C75" s="5">
        <v>2012</v>
      </c>
      <c r="D75" s="5">
        <v>104.28</v>
      </c>
      <c r="E75" s="5">
        <v>30.98</v>
      </c>
      <c r="F75" s="5">
        <v>2010</v>
      </c>
      <c r="G75" s="29">
        <v>351</v>
      </c>
      <c r="H75" s="29">
        <v>469.5</v>
      </c>
      <c r="I75" s="29">
        <v>19.53</v>
      </c>
      <c r="J75" s="29">
        <v>1.1000000000000001</v>
      </c>
      <c r="K75" s="29">
        <v>38</v>
      </c>
      <c r="L75" s="29">
        <v>37</v>
      </c>
      <c r="M75" s="29">
        <v>25</v>
      </c>
      <c r="N75" s="29">
        <v>5.99</v>
      </c>
      <c r="O75" s="29">
        <v>20.11</v>
      </c>
      <c r="P75" s="29">
        <v>1.81</v>
      </c>
      <c r="Q75" s="29">
        <f t="shared" si="2"/>
        <v>11.11049723756906</v>
      </c>
      <c r="R75" s="29">
        <v>240</v>
      </c>
      <c r="S75" s="79">
        <v>1.88</v>
      </c>
      <c r="T75" s="44">
        <f>AVERAGE(S76:S78,S80:S82,S84:S86)</f>
        <v>0.13666666666666666</v>
      </c>
      <c r="U75" s="80">
        <f>(S75-S72)/R75</f>
        <v>3.1931818181818328E-3</v>
      </c>
      <c r="V75" s="80">
        <f t="shared" si="3"/>
        <v>0.31931818181818328</v>
      </c>
    </row>
    <row r="76" spans="1:22" x14ac:dyDescent="0.3">
      <c r="A76" s="5" t="s">
        <v>165</v>
      </c>
      <c r="B76" s="5" t="s">
        <v>166</v>
      </c>
      <c r="C76" s="5">
        <v>2012</v>
      </c>
      <c r="D76" s="5">
        <v>104.28</v>
      </c>
      <c r="E76" s="5">
        <v>30.98</v>
      </c>
      <c r="F76" s="5">
        <v>2010</v>
      </c>
      <c r="G76" s="29">
        <v>351</v>
      </c>
      <c r="H76" s="29">
        <v>469.5</v>
      </c>
      <c r="I76" s="29">
        <v>19.53</v>
      </c>
      <c r="J76" s="29">
        <v>1.454</v>
      </c>
      <c r="K76" s="29">
        <v>17.600000000000001</v>
      </c>
      <c r="L76" s="29">
        <v>42.6</v>
      </c>
      <c r="M76" s="29">
        <v>39.799999999999997</v>
      </c>
      <c r="N76" s="29">
        <v>6.5</v>
      </c>
      <c r="O76" s="29">
        <v>18.82250580046404</v>
      </c>
      <c r="P76" s="29">
        <v>1.7250000000000001</v>
      </c>
      <c r="Q76" s="29">
        <f t="shared" si="2"/>
        <v>10.911597565486399</v>
      </c>
      <c r="R76" s="29">
        <v>0</v>
      </c>
      <c r="S76" s="79">
        <v>0.11</v>
      </c>
      <c r="V76" s="80">
        <f t="shared" si="3"/>
        <v>0</v>
      </c>
    </row>
    <row r="77" spans="1:22" x14ac:dyDescent="0.3">
      <c r="A77" s="5" t="s">
        <v>165</v>
      </c>
      <c r="B77" s="5" t="s">
        <v>166</v>
      </c>
      <c r="C77" s="5">
        <v>2012</v>
      </c>
      <c r="D77" s="5">
        <v>104.28</v>
      </c>
      <c r="E77" s="5">
        <v>30.98</v>
      </c>
      <c r="F77" s="5">
        <v>2010</v>
      </c>
      <c r="G77" s="29">
        <v>351</v>
      </c>
      <c r="H77" s="29">
        <v>469.5</v>
      </c>
      <c r="I77" s="29">
        <v>19.53</v>
      </c>
      <c r="J77" s="29">
        <v>1.454</v>
      </c>
      <c r="K77" s="29">
        <v>17.600000000000001</v>
      </c>
      <c r="L77" s="29">
        <v>42.6</v>
      </c>
      <c r="M77" s="29">
        <v>39.799999999999997</v>
      </c>
      <c r="N77" s="29">
        <v>6.5</v>
      </c>
      <c r="O77" s="29">
        <v>18.82250580046404</v>
      </c>
      <c r="P77" s="29">
        <v>1.7250000000000001</v>
      </c>
      <c r="Q77" s="29">
        <f t="shared" si="2"/>
        <v>10.911597565486399</v>
      </c>
      <c r="R77" s="29">
        <v>0</v>
      </c>
      <c r="S77" s="79">
        <v>0.11</v>
      </c>
      <c r="V77" s="80">
        <f t="shared" si="3"/>
        <v>0</v>
      </c>
    </row>
    <row r="78" spans="1:22" x14ac:dyDescent="0.3">
      <c r="A78" s="5" t="s">
        <v>165</v>
      </c>
      <c r="B78" s="5" t="s">
        <v>166</v>
      </c>
      <c r="C78" s="5">
        <v>2012</v>
      </c>
      <c r="D78" s="5">
        <v>104.28</v>
      </c>
      <c r="E78" s="5">
        <v>30.98</v>
      </c>
      <c r="F78" s="5">
        <v>2010</v>
      </c>
      <c r="G78" s="29">
        <v>351</v>
      </c>
      <c r="H78" s="29">
        <v>469.5</v>
      </c>
      <c r="I78" s="29">
        <v>19.53</v>
      </c>
      <c r="J78" s="29">
        <v>1.454</v>
      </c>
      <c r="K78" s="29">
        <v>17.600000000000001</v>
      </c>
      <c r="L78" s="29">
        <v>42.6</v>
      </c>
      <c r="M78" s="29">
        <v>39.799999999999997</v>
      </c>
      <c r="N78" s="29">
        <v>6.5</v>
      </c>
      <c r="O78" s="29">
        <v>18.82250580046404</v>
      </c>
      <c r="P78" s="29">
        <v>1.7250000000000001</v>
      </c>
      <c r="Q78" s="29">
        <f t="shared" si="2"/>
        <v>10.911597565486399</v>
      </c>
      <c r="R78" s="29">
        <v>0</v>
      </c>
      <c r="S78" s="79">
        <v>0.17</v>
      </c>
      <c r="V78" s="80">
        <f t="shared" si="3"/>
        <v>0</v>
      </c>
    </row>
    <row r="79" spans="1:22" x14ac:dyDescent="0.3">
      <c r="A79" s="5" t="s">
        <v>165</v>
      </c>
      <c r="B79" s="5" t="s">
        <v>166</v>
      </c>
      <c r="C79" s="5">
        <v>2012</v>
      </c>
      <c r="D79" s="5">
        <v>112.94</v>
      </c>
      <c r="E79" s="5">
        <v>28.23</v>
      </c>
      <c r="F79" s="5">
        <v>2010</v>
      </c>
      <c r="G79" s="29">
        <v>1002</v>
      </c>
      <c r="H79" s="29">
        <v>556.5</v>
      </c>
      <c r="I79" s="29">
        <v>27.67</v>
      </c>
      <c r="J79" s="29">
        <v>0.91</v>
      </c>
      <c r="K79" s="29">
        <v>38</v>
      </c>
      <c r="L79" s="29">
        <v>37</v>
      </c>
      <c r="M79" s="29">
        <v>25</v>
      </c>
      <c r="N79" s="29">
        <v>6.21</v>
      </c>
      <c r="O79" s="29">
        <v>18.760000000000002</v>
      </c>
      <c r="P79" s="29">
        <v>1.79</v>
      </c>
      <c r="Q79" s="29">
        <f t="shared" si="2"/>
        <v>10.480446927374302</v>
      </c>
      <c r="R79" s="29">
        <v>240</v>
      </c>
      <c r="S79" s="79">
        <v>1.46</v>
      </c>
      <c r="U79" s="80">
        <f>(S79-0.13)/R79</f>
        <v>5.541666666666667E-3</v>
      </c>
      <c r="V79" s="80">
        <f t="shared" si="3"/>
        <v>0.5541666666666667</v>
      </c>
    </row>
    <row r="80" spans="1:22" x14ac:dyDescent="0.3">
      <c r="A80" s="5" t="s">
        <v>165</v>
      </c>
      <c r="B80" s="5" t="s">
        <v>166</v>
      </c>
      <c r="C80" s="5">
        <v>2012</v>
      </c>
      <c r="D80" s="5">
        <v>112.94</v>
      </c>
      <c r="E80" s="5">
        <v>28.23</v>
      </c>
      <c r="F80" s="5">
        <v>2010</v>
      </c>
      <c r="G80" s="29">
        <v>1002</v>
      </c>
      <c r="H80" s="29">
        <v>556.5</v>
      </c>
      <c r="I80" s="29">
        <v>27.67</v>
      </c>
      <c r="J80" s="29">
        <v>1.36799998</v>
      </c>
      <c r="K80" s="29">
        <v>25</v>
      </c>
      <c r="L80" s="29">
        <v>33.200000000000003</v>
      </c>
      <c r="M80" s="29">
        <v>41.8</v>
      </c>
      <c r="N80" s="29">
        <v>5.7</v>
      </c>
      <c r="O80" s="29">
        <v>19.251740139211137</v>
      </c>
      <c r="P80" s="29">
        <v>1.913</v>
      </c>
      <c r="Q80" s="29">
        <f t="shared" si="2"/>
        <v>10.063638337277123</v>
      </c>
      <c r="R80" s="29">
        <v>0</v>
      </c>
      <c r="S80" s="79">
        <v>0.23</v>
      </c>
      <c r="V80" s="80">
        <f t="shared" si="3"/>
        <v>0</v>
      </c>
    </row>
    <row r="81" spans="1:22" x14ac:dyDescent="0.3">
      <c r="A81" s="5" t="s">
        <v>165</v>
      </c>
      <c r="B81" s="5" t="s">
        <v>166</v>
      </c>
      <c r="C81" s="5">
        <v>2012</v>
      </c>
      <c r="D81" s="5">
        <v>112.94</v>
      </c>
      <c r="E81" s="5">
        <v>28.23</v>
      </c>
      <c r="F81" s="5">
        <v>2010</v>
      </c>
      <c r="G81" s="29">
        <v>1002</v>
      </c>
      <c r="H81" s="29">
        <v>556.5</v>
      </c>
      <c r="I81" s="29">
        <v>27.67</v>
      </c>
      <c r="J81" s="29">
        <v>1.36799998</v>
      </c>
      <c r="K81" s="29">
        <v>25</v>
      </c>
      <c r="L81" s="29">
        <v>33.200000000000003</v>
      </c>
      <c r="M81" s="29">
        <v>41.8</v>
      </c>
      <c r="N81" s="29">
        <v>5.7</v>
      </c>
      <c r="O81" s="29">
        <v>19.251740139211137</v>
      </c>
      <c r="P81" s="29">
        <v>1.913</v>
      </c>
      <c r="Q81" s="29">
        <f t="shared" si="2"/>
        <v>10.063638337277123</v>
      </c>
      <c r="R81" s="29">
        <v>0</v>
      </c>
      <c r="S81" s="79">
        <v>0.28999999999999998</v>
      </c>
      <c r="V81" s="80">
        <f t="shared" si="3"/>
        <v>0</v>
      </c>
    </row>
    <row r="82" spans="1:22" x14ac:dyDescent="0.3">
      <c r="A82" s="5" t="s">
        <v>165</v>
      </c>
      <c r="B82" s="5" t="s">
        <v>166</v>
      </c>
      <c r="C82" s="5">
        <v>2012</v>
      </c>
      <c r="D82" s="5">
        <v>112.94</v>
      </c>
      <c r="E82" s="5">
        <v>28.23</v>
      </c>
      <c r="F82" s="5">
        <v>2010</v>
      </c>
      <c r="G82" s="29">
        <v>1002</v>
      </c>
      <c r="H82" s="29">
        <v>556.5</v>
      </c>
      <c r="I82" s="29">
        <v>27.67</v>
      </c>
      <c r="J82" s="29">
        <v>1.36799998</v>
      </c>
      <c r="K82" s="29">
        <v>25</v>
      </c>
      <c r="L82" s="29">
        <v>33.200000000000003</v>
      </c>
      <c r="M82" s="29">
        <v>41.8</v>
      </c>
      <c r="N82" s="29">
        <v>5.7</v>
      </c>
      <c r="O82" s="29">
        <v>19.251740139211137</v>
      </c>
      <c r="P82" s="29">
        <v>1.913</v>
      </c>
      <c r="Q82" s="29">
        <f t="shared" si="2"/>
        <v>10.063638337277123</v>
      </c>
      <c r="R82" s="29">
        <v>0</v>
      </c>
      <c r="S82" s="79">
        <v>0.09</v>
      </c>
      <c r="V82" s="80">
        <f t="shared" si="3"/>
        <v>0</v>
      </c>
    </row>
    <row r="83" spans="1:22" x14ac:dyDescent="0.3">
      <c r="A83" s="5" t="s">
        <v>165</v>
      </c>
      <c r="B83" s="5" t="s">
        <v>166</v>
      </c>
      <c r="C83" s="5">
        <v>2012</v>
      </c>
      <c r="D83" s="5">
        <v>116.24</v>
      </c>
      <c r="E83" s="5">
        <v>28.38</v>
      </c>
      <c r="F83" s="5">
        <v>2010</v>
      </c>
      <c r="G83" s="29">
        <v>1730.9999999999998</v>
      </c>
      <c r="H83" s="29">
        <v>505.5</v>
      </c>
      <c r="I83" s="29">
        <v>21.64</v>
      </c>
      <c r="J83" s="29">
        <v>1.24</v>
      </c>
      <c r="K83" s="29">
        <v>38</v>
      </c>
      <c r="L83" s="29">
        <v>37</v>
      </c>
      <c r="M83" s="29">
        <v>25</v>
      </c>
      <c r="N83" s="29">
        <v>4.8899999999999997</v>
      </c>
      <c r="O83" s="29">
        <v>17.7</v>
      </c>
      <c r="P83" s="29">
        <v>1.59</v>
      </c>
      <c r="Q83" s="29">
        <f t="shared" si="2"/>
        <v>11.132075471698112</v>
      </c>
      <c r="R83" s="29">
        <v>240</v>
      </c>
      <c r="S83" s="79">
        <v>1.47</v>
      </c>
      <c r="U83" s="80">
        <f>(S83-0.203)/R83</f>
        <v>5.2791666666666664E-3</v>
      </c>
      <c r="V83" s="80">
        <f t="shared" si="3"/>
        <v>0.52791666666666659</v>
      </c>
    </row>
    <row r="84" spans="1:22" x14ac:dyDescent="0.3">
      <c r="A84" s="5" t="s">
        <v>165</v>
      </c>
      <c r="B84" s="5" t="s">
        <v>166</v>
      </c>
      <c r="C84" s="5">
        <v>2012</v>
      </c>
      <c r="D84" s="5">
        <v>116.24</v>
      </c>
      <c r="E84" s="5">
        <v>28.38</v>
      </c>
      <c r="F84" s="5">
        <v>2010</v>
      </c>
      <c r="G84" s="29">
        <v>1730.9999999999998</v>
      </c>
      <c r="H84" s="29">
        <v>505.5</v>
      </c>
      <c r="I84" s="29">
        <v>21.64</v>
      </c>
      <c r="J84" s="29">
        <v>1.2472727100000001</v>
      </c>
      <c r="K84" s="29">
        <v>23.045454549999999</v>
      </c>
      <c r="L84" s="29">
        <v>32.363636360000001</v>
      </c>
      <c r="M84" s="29">
        <v>35.5</v>
      </c>
      <c r="N84" s="29">
        <v>5</v>
      </c>
      <c r="O84" s="29">
        <v>14.62877030162413</v>
      </c>
      <c r="P84" s="29">
        <v>1.3759999999999999</v>
      </c>
      <c r="Q84" s="29">
        <f t="shared" si="2"/>
        <v>10.631373765715212</v>
      </c>
      <c r="R84" s="29">
        <v>0</v>
      </c>
      <c r="S84" s="79">
        <v>0.09</v>
      </c>
      <c r="V84" s="80">
        <f t="shared" si="3"/>
        <v>0</v>
      </c>
    </row>
    <row r="85" spans="1:22" x14ac:dyDescent="0.3">
      <c r="A85" s="5" t="s">
        <v>165</v>
      </c>
      <c r="B85" s="5" t="s">
        <v>166</v>
      </c>
      <c r="C85" s="5">
        <v>2012</v>
      </c>
      <c r="D85" s="5">
        <v>116.3</v>
      </c>
      <c r="E85" s="5">
        <v>28.23</v>
      </c>
      <c r="F85" s="5">
        <v>2010</v>
      </c>
      <c r="G85" s="29">
        <v>1730.9999999999998</v>
      </c>
      <c r="H85" s="29">
        <v>505.5</v>
      </c>
      <c r="I85" s="29">
        <v>21.64</v>
      </c>
      <c r="J85" s="29">
        <v>1.2472727100000001</v>
      </c>
      <c r="K85" s="29">
        <v>23.045454549999999</v>
      </c>
      <c r="L85" s="29">
        <v>32.363636360000001</v>
      </c>
      <c r="M85" s="29">
        <v>35.5</v>
      </c>
      <c r="N85" s="29">
        <v>5</v>
      </c>
      <c r="O85" s="29">
        <v>14.62877030162413</v>
      </c>
      <c r="P85" s="29">
        <v>1.3759999999999999</v>
      </c>
      <c r="Q85" s="29">
        <f t="shared" si="2"/>
        <v>10.631373765715212</v>
      </c>
      <c r="R85" s="29">
        <v>0</v>
      </c>
      <c r="S85" s="79">
        <v>7.0000000000000007E-2</v>
      </c>
      <c r="V85" s="80">
        <f t="shared" si="3"/>
        <v>0</v>
      </c>
    </row>
    <row r="86" spans="1:22" x14ac:dyDescent="0.3">
      <c r="A86" s="81" t="s">
        <v>165</v>
      </c>
      <c r="B86" s="81" t="s">
        <v>166</v>
      </c>
      <c r="C86" s="81">
        <v>2012</v>
      </c>
      <c r="D86" s="81">
        <v>116.3</v>
      </c>
      <c r="E86" s="81">
        <v>28.23</v>
      </c>
      <c r="F86" s="81">
        <v>2010</v>
      </c>
      <c r="G86" s="34">
        <v>1730.9999999999998</v>
      </c>
      <c r="H86" s="34">
        <v>505.5</v>
      </c>
      <c r="I86" s="34">
        <v>21.64</v>
      </c>
      <c r="J86" s="34">
        <v>1.2472727100000001</v>
      </c>
      <c r="K86" s="34">
        <v>23.045454549999999</v>
      </c>
      <c r="L86" s="34">
        <v>32.363636360000001</v>
      </c>
      <c r="M86" s="34">
        <v>35.5</v>
      </c>
      <c r="N86" s="34">
        <v>5</v>
      </c>
      <c r="O86" s="34">
        <v>14.62877030162413</v>
      </c>
      <c r="P86" s="34">
        <v>1.3759999999999999</v>
      </c>
      <c r="Q86" s="34">
        <f t="shared" si="2"/>
        <v>10.631373765715212</v>
      </c>
      <c r="R86" s="34">
        <v>0</v>
      </c>
      <c r="S86" s="82">
        <v>7.0000000000000007E-2</v>
      </c>
      <c r="T86" s="34"/>
      <c r="U86" s="83"/>
      <c r="V86" s="83">
        <f t="shared" si="3"/>
        <v>0</v>
      </c>
    </row>
    <row r="87" spans="1:22" x14ac:dyDescent="0.3">
      <c r="A87" s="5" t="s">
        <v>271</v>
      </c>
      <c r="B87" s="5" t="s">
        <v>272</v>
      </c>
      <c r="C87" s="5">
        <v>2011</v>
      </c>
      <c r="D87" s="5">
        <v>120.31</v>
      </c>
      <c r="E87" s="5">
        <v>31.49</v>
      </c>
      <c r="F87" s="5">
        <v>2009</v>
      </c>
      <c r="G87" s="29">
        <v>805.5</v>
      </c>
      <c r="H87" s="29">
        <v>955.5</v>
      </c>
      <c r="I87" s="29">
        <v>26</v>
      </c>
      <c r="J87" s="29">
        <v>1.4</v>
      </c>
      <c r="K87" s="29">
        <v>38</v>
      </c>
      <c r="L87" s="29">
        <v>37</v>
      </c>
      <c r="M87" s="29">
        <v>25</v>
      </c>
      <c r="N87" s="29">
        <v>6</v>
      </c>
      <c r="O87" s="29">
        <v>20.678654292343388</v>
      </c>
      <c r="P87" s="29">
        <v>1.81</v>
      </c>
      <c r="Q87" s="29">
        <f t="shared" si="2"/>
        <v>11.424670879747728</v>
      </c>
      <c r="R87" s="29">
        <v>270</v>
      </c>
      <c r="S87" s="79">
        <v>2.8</v>
      </c>
      <c r="T87" s="44">
        <f>S92</f>
        <v>0.8</v>
      </c>
      <c r="U87" s="80">
        <f>(S87-0.8)/R87</f>
        <v>7.4074074074074068E-3</v>
      </c>
      <c r="V87" s="80">
        <f t="shared" si="3"/>
        <v>0.7407407407407407</v>
      </c>
    </row>
    <row r="88" spans="1:22" x14ac:dyDescent="0.3">
      <c r="A88" s="5" t="s">
        <v>271</v>
      </c>
      <c r="B88" s="5" t="s">
        <v>272</v>
      </c>
      <c r="C88" s="5">
        <v>2011</v>
      </c>
      <c r="D88" s="5">
        <v>120.31</v>
      </c>
      <c r="E88" s="5">
        <v>31.49</v>
      </c>
      <c r="F88" s="5">
        <v>2009</v>
      </c>
      <c r="G88" s="29">
        <v>805.5</v>
      </c>
      <c r="H88" s="29">
        <v>955.5</v>
      </c>
      <c r="I88" s="29">
        <v>26</v>
      </c>
      <c r="J88" s="29">
        <v>1.4</v>
      </c>
      <c r="K88" s="29">
        <v>38</v>
      </c>
      <c r="L88" s="29">
        <v>37</v>
      </c>
      <c r="M88" s="29">
        <v>25</v>
      </c>
      <c r="N88" s="29">
        <v>6</v>
      </c>
      <c r="O88" s="29">
        <v>20.678654292343388</v>
      </c>
      <c r="P88" s="29">
        <v>1.81</v>
      </c>
      <c r="Q88" s="29">
        <f t="shared" ref="Q88:Q102" si="4">O88/P88</f>
        <v>11.424670879747728</v>
      </c>
      <c r="R88" s="29">
        <v>210</v>
      </c>
      <c r="S88" s="79">
        <v>2.2999999999999998</v>
      </c>
      <c r="U88" s="80">
        <f>(S88-0.8)/R88</f>
        <v>7.1428571428571418E-3</v>
      </c>
      <c r="V88" s="80">
        <f t="shared" si="3"/>
        <v>0.71428571428571419</v>
      </c>
    </row>
    <row r="89" spans="1:22" x14ac:dyDescent="0.3">
      <c r="A89" s="5" t="s">
        <v>271</v>
      </c>
      <c r="B89" s="5" t="s">
        <v>272</v>
      </c>
      <c r="C89" s="5">
        <v>2011</v>
      </c>
      <c r="D89" s="5">
        <v>120.31</v>
      </c>
      <c r="E89" s="5">
        <v>31.49</v>
      </c>
      <c r="F89" s="5">
        <v>2009</v>
      </c>
      <c r="G89" s="29">
        <v>805.5</v>
      </c>
      <c r="H89" s="29">
        <v>955.5</v>
      </c>
      <c r="I89" s="29">
        <v>26</v>
      </c>
      <c r="J89" s="29">
        <v>1.4</v>
      </c>
      <c r="K89" s="29">
        <v>38</v>
      </c>
      <c r="L89" s="29">
        <v>37</v>
      </c>
      <c r="M89" s="29">
        <v>25</v>
      </c>
      <c r="N89" s="29">
        <v>6</v>
      </c>
      <c r="O89" s="29">
        <v>20.678654292343388</v>
      </c>
      <c r="P89" s="29">
        <v>1.81</v>
      </c>
      <c r="Q89" s="29">
        <f t="shared" si="4"/>
        <v>11.424670879747728</v>
      </c>
      <c r="R89" s="29">
        <v>153</v>
      </c>
      <c r="S89" s="79">
        <v>1.9</v>
      </c>
      <c r="U89" s="80">
        <f>(S89-0.8)/R89</f>
        <v>7.1895424836601295E-3</v>
      </c>
      <c r="V89" s="80">
        <f t="shared" ref="V89:V102" si="5">U89*100</f>
        <v>0.71895424836601296</v>
      </c>
    </row>
    <row r="90" spans="1:22" x14ac:dyDescent="0.3">
      <c r="A90" s="5" t="s">
        <v>271</v>
      </c>
      <c r="B90" s="5" t="s">
        <v>272</v>
      </c>
      <c r="C90" s="5">
        <v>2011</v>
      </c>
      <c r="D90" s="5">
        <v>120.11</v>
      </c>
      <c r="E90" s="5">
        <v>31.54</v>
      </c>
      <c r="F90" s="5">
        <v>2009</v>
      </c>
      <c r="G90" s="29">
        <v>805.5</v>
      </c>
      <c r="H90" s="29">
        <v>955.5</v>
      </c>
      <c r="I90" s="29">
        <v>26</v>
      </c>
      <c r="J90" s="29">
        <v>1.4</v>
      </c>
      <c r="K90" s="29">
        <v>38</v>
      </c>
      <c r="L90" s="29">
        <v>37</v>
      </c>
      <c r="M90" s="29">
        <v>25</v>
      </c>
      <c r="N90" s="29">
        <v>6.3</v>
      </c>
      <c r="O90" s="29">
        <v>20.678654292343388</v>
      </c>
      <c r="P90" s="29">
        <v>1.81</v>
      </c>
      <c r="Q90" s="29">
        <f t="shared" si="4"/>
        <v>11.424670879747728</v>
      </c>
      <c r="R90" s="29">
        <v>210</v>
      </c>
      <c r="S90" s="79">
        <v>2.2999999999999998</v>
      </c>
      <c r="U90" s="80">
        <f>(S90-0.8)/R90</f>
        <v>7.1428571428571418E-3</v>
      </c>
      <c r="V90" s="80">
        <f t="shared" si="5"/>
        <v>0.71428571428571419</v>
      </c>
    </row>
    <row r="91" spans="1:22" x14ac:dyDescent="0.3">
      <c r="A91" s="5" t="s">
        <v>271</v>
      </c>
      <c r="B91" s="5" t="s">
        <v>272</v>
      </c>
      <c r="C91" s="5">
        <v>2011</v>
      </c>
      <c r="D91" s="5">
        <v>120.11</v>
      </c>
      <c r="E91" s="5">
        <v>31.54</v>
      </c>
      <c r="F91" s="5">
        <v>2009</v>
      </c>
      <c r="G91" s="29">
        <v>805.5</v>
      </c>
      <c r="H91" s="29">
        <v>955.5</v>
      </c>
      <c r="I91" s="29">
        <v>26</v>
      </c>
      <c r="J91" s="29">
        <v>1.4</v>
      </c>
      <c r="K91" s="29">
        <v>38</v>
      </c>
      <c r="L91" s="29">
        <v>37</v>
      </c>
      <c r="M91" s="29">
        <v>25</v>
      </c>
      <c r="N91" s="29">
        <v>6.3</v>
      </c>
      <c r="O91" s="29">
        <v>20.678654292343388</v>
      </c>
      <c r="P91" s="29">
        <v>1.81</v>
      </c>
      <c r="Q91" s="29">
        <f t="shared" si="4"/>
        <v>11.424670879747728</v>
      </c>
      <c r="R91" s="29">
        <v>180</v>
      </c>
      <c r="S91" s="79">
        <v>2.1</v>
      </c>
      <c r="U91" s="80">
        <f>(S91-0.8)/R91</f>
        <v>7.2222222222222228E-3</v>
      </c>
      <c r="V91" s="80">
        <f t="shared" si="5"/>
        <v>0.72222222222222232</v>
      </c>
    </row>
    <row r="92" spans="1:22" x14ac:dyDescent="0.3">
      <c r="A92" s="81" t="s">
        <v>271</v>
      </c>
      <c r="B92" s="81" t="s">
        <v>272</v>
      </c>
      <c r="C92" s="81">
        <v>2011</v>
      </c>
      <c r="D92" s="81">
        <v>120.31</v>
      </c>
      <c r="E92" s="81">
        <v>31.49</v>
      </c>
      <c r="F92" s="81">
        <v>2009</v>
      </c>
      <c r="G92" s="34">
        <v>805.5</v>
      </c>
      <c r="H92" s="34">
        <v>955.5</v>
      </c>
      <c r="I92" s="34">
        <v>26</v>
      </c>
      <c r="J92" s="34">
        <v>1.3441666699999999</v>
      </c>
      <c r="K92" s="34">
        <v>17.75</v>
      </c>
      <c r="L92" s="34">
        <v>44.083333330000002</v>
      </c>
      <c r="M92" s="34">
        <v>29.833333329999999</v>
      </c>
      <c r="N92" s="34">
        <v>6</v>
      </c>
      <c r="O92" s="34">
        <v>20.678654292343388</v>
      </c>
      <c r="P92" s="34">
        <v>1.81</v>
      </c>
      <c r="Q92" s="34">
        <f t="shared" si="4"/>
        <v>11.424670879747728</v>
      </c>
      <c r="R92" s="34">
        <v>0</v>
      </c>
      <c r="S92" s="82">
        <v>0.8</v>
      </c>
      <c r="T92" s="34"/>
      <c r="U92" s="83"/>
      <c r="V92" s="83">
        <f t="shared" si="5"/>
        <v>0</v>
      </c>
    </row>
    <row r="93" spans="1:22" x14ac:dyDescent="0.3">
      <c r="A93" s="5" t="s">
        <v>273</v>
      </c>
      <c r="B93" s="5" t="s">
        <v>274</v>
      </c>
      <c r="C93" s="5">
        <v>2016</v>
      </c>
      <c r="D93" s="5">
        <v>120.7</v>
      </c>
      <c r="E93" s="5">
        <v>31.55</v>
      </c>
      <c r="F93" s="5">
        <v>2013</v>
      </c>
      <c r="G93" s="29">
        <v>571.5</v>
      </c>
      <c r="H93" s="29">
        <v>883.5</v>
      </c>
      <c r="I93" s="29">
        <v>26.77</v>
      </c>
      <c r="J93" s="29">
        <v>1.12181818</v>
      </c>
      <c r="K93" s="29">
        <v>20.81818182</v>
      </c>
      <c r="L93" s="29">
        <v>27.09090909</v>
      </c>
      <c r="M93" s="29">
        <v>33.909090910000003</v>
      </c>
      <c r="N93" s="29">
        <v>7.6</v>
      </c>
      <c r="O93" s="29">
        <v>22.157772621809748</v>
      </c>
      <c r="P93" s="29">
        <v>2.17</v>
      </c>
      <c r="Q93" s="29">
        <f t="shared" si="4"/>
        <v>10.210955125257948</v>
      </c>
      <c r="R93" s="29">
        <v>0</v>
      </c>
      <c r="S93" s="79">
        <v>3.8181818181818178E-2</v>
      </c>
      <c r="T93" s="44">
        <f>S93</f>
        <v>3.8181818181818178E-2</v>
      </c>
      <c r="V93" s="80">
        <f t="shared" si="5"/>
        <v>0</v>
      </c>
    </row>
    <row r="94" spans="1:22" x14ac:dyDescent="0.3">
      <c r="A94" s="5" t="s">
        <v>273</v>
      </c>
      <c r="B94" s="5" t="s">
        <v>274</v>
      </c>
      <c r="C94" s="5">
        <v>2016</v>
      </c>
      <c r="D94" s="5">
        <v>120.7</v>
      </c>
      <c r="E94" s="5">
        <v>31.55</v>
      </c>
      <c r="F94" s="5">
        <v>2013</v>
      </c>
      <c r="G94" s="29">
        <v>571.5</v>
      </c>
      <c r="H94" s="29">
        <v>883.5</v>
      </c>
      <c r="I94" s="29">
        <v>26.77</v>
      </c>
      <c r="J94" s="29">
        <v>1.48</v>
      </c>
      <c r="K94" s="29">
        <v>60</v>
      </c>
      <c r="L94" s="29">
        <v>20</v>
      </c>
      <c r="M94" s="29">
        <v>12</v>
      </c>
      <c r="N94" s="29">
        <v>7.6</v>
      </c>
      <c r="O94" s="29">
        <v>22.157772621809748</v>
      </c>
      <c r="P94" s="29">
        <v>2.17</v>
      </c>
      <c r="Q94" s="29">
        <f t="shared" si="4"/>
        <v>10.210955125257948</v>
      </c>
      <c r="R94" s="29">
        <v>120</v>
      </c>
      <c r="S94" s="79">
        <v>0.14000000000000001</v>
      </c>
      <c r="U94" s="80">
        <f>(S94-S93)/R94</f>
        <v>8.4848484848484861E-4</v>
      </c>
      <c r="V94" s="80">
        <f t="shared" si="5"/>
        <v>8.4848484848484867E-2</v>
      </c>
    </row>
    <row r="95" spans="1:22" x14ac:dyDescent="0.3">
      <c r="A95" s="5" t="s">
        <v>273</v>
      </c>
      <c r="B95" s="5" t="s">
        <v>274</v>
      </c>
      <c r="C95" s="5">
        <v>2016</v>
      </c>
      <c r="D95" s="5">
        <v>120.7</v>
      </c>
      <c r="E95" s="5">
        <v>31.55</v>
      </c>
      <c r="F95" s="5">
        <v>2013</v>
      </c>
      <c r="G95" s="29">
        <v>571.5</v>
      </c>
      <c r="H95" s="29">
        <v>883.5</v>
      </c>
      <c r="I95" s="29">
        <v>26.77</v>
      </c>
      <c r="J95" s="29">
        <v>1.48</v>
      </c>
      <c r="K95" s="29">
        <v>60</v>
      </c>
      <c r="L95" s="29">
        <v>20</v>
      </c>
      <c r="M95" s="29">
        <v>12</v>
      </c>
      <c r="N95" s="29">
        <v>7.6</v>
      </c>
      <c r="O95" s="29">
        <v>22.157772621809748</v>
      </c>
      <c r="P95" s="29">
        <v>2.17</v>
      </c>
      <c r="Q95" s="29">
        <f t="shared" si="4"/>
        <v>10.210955125257948</v>
      </c>
      <c r="R95" s="29">
        <v>240</v>
      </c>
      <c r="S95" s="79">
        <v>0.14636363636363636</v>
      </c>
      <c r="U95" s="80">
        <f>(S95-S93)/R95</f>
        <v>4.5075757575757577E-4</v>
      </c>
      <c r="V95" s="80">
        <f t="shared" si="5"/>
        <v>4.5075757575757575E-2</v>
      </c>
    </row>
    <row r="96" spans="1:22" x14ac:dyDescent="0.3">
      <c r="A96" s="5" t="s">
        <v>273</v>
      </c>
      <c r="B96" s="5" t="s">
        <v>274</v>
      </c>
      <c r="C96" s="5">
        <v>2016</v>
      </c>
      <c r="D96" s="5">
        <v>120.7</v>
      </c>
      <c r="E96" s="5">
        <v>31.55</v>
      </c>
      <c r="F96" s="5">
        <v>2013</v>
      </c>
      <c r="G96" s="29">
        <v>571.5</v>
      </c>
      <c r="H96" s="29">
        <v>883.5</v>
      </c>
      <c r="I96" s="29">
        <v>26.77</v>
      </c>
      <c r="J96" s="29">
        <v>1.48</v>
      </c>
      <c r="K96" s="29">
        <v>60</v>
      </c>
      <c r="L96" s="29">
        <v>20</v>
      </c>
      <c r="M96" s="29">
        <v>12</v>
      </c>
      <c r="N96" s="29">
        <v>7.6</v>
      </c>
      <c r="O96" s="29">
        <v>22.157772621809748</v>
      </c>
      <c r="P96" s="29">
        <v>2.17</v>
      </c>
      <c r="Q96" s="29">
        <f t="shared" si="4"/>
        <v>10.210955125257948</v>
      </c>
      <c r="R96" s="29">
        <v>300</v>
      </c>
      <c r="S96" s="79">
        <v>0.33727272727272728</v>
      </c>
      <c r="U96" s="80">
        <f>(S96-S93)/R96</f>
        <v>9.9696969696969691E-4</v>
      </c>
      <c r="V96" s="80">
        <f t="shared" si="5"/>
        <v>9.9696969696969687E-2</v>
      </c>
    </row>
    <row r="97" spans="1:22" x14ac:dyDescent="0.3">
      <c r="A97" s="5" t="s">
        <v>273</v>
      </c>
      <c r="B97" s="5" t="s">
        <v>274</v>
      </c>
      <c r="C97" s="5">
        <v>2016</v>
      </c>
      <c r="D97" s="5">
        <v>120.7</v>
      </c>
      <c r="E97" s="5">
        <v>31.55</v>
      </c>
      <c r="F97" s="5">
        <v>2013</v>
      </c>
      <c r="G97" s="29">
        <v>571.5</v>
      </c>
      <c r="H97" s="29">
        <v>883.5</v>
      </c>
      <c r="I97" s="29">
        <v>26.77</v>
      </c>
      <c r="J97" s="29">
        <v>1.48</v>
      </c>
      <c r="K97" s="29">
        <v>60</v>
      </c>
      <c r="L97" s="29">
        <v>20</v>
      </c>
      <c r="M97" s="29">
        <v>12</v>
      </c>
      <c r="N97" s="29">
        <v>7.6</v>
      </c>
      <c r="O97" s="29">
        <v>22.157772621809748</v>
      </c>
      <c r="P97" s="29">
        <v>2.17</v>
      </c>
      <c r="Q97" s="29">
        <f t="shared" si="4"/>
        <v>10.210955125257948</v>
      </c>
      <c r="R97" s="29">
        <v>240</v>
      </c>
      <c r="S97" s="79">
        <v>0.17181818181818184</v>
      </c>
      <c r="U97" s="80">
        <f>(S97-S93)/R97</f>
        <v>5.5681818181818198E-4</v>
      </c>
      <c r="V97" s="80">
        <f t="shared" si="5"/>
        <v>5.56818181818182E-2</v>
      </c>
    </row>
    <row r="98" spans="1:22" x14ac:dyDescent="0.3">
      <c r="A98" s="81" t="s">
        <v>273</v>
      </c>
      <c r="B98" s="81" t="s">
        <v>274</v>
      </c>
      <c r="C98" s="81">
        <v>2016</v>
      </c>
      <c r="D98" s="81">
        <v>120.7</v>
      </c>
      <c r="E98" s="81">
        <v>31.55</v>
      </c>
      <c r="F98" s="81">
        <v>2013</v>
      </c>
      <c r="G98" s="34">
        <v>571.5</v>
      </c>
      <c r="H98" s="34">
        <v>883.5</v>
      </c>
      <c r="I98" s="34">
        <v>26.77</v>
      </c>
      <c r="J98" s="29">
        <v>1.48</v>
      </c>
      <c r="K98" s="29">
        <v>60</v>
      </c>
      <c r="L98" s="29">
        <v>20</v>
      </c>
      <c r="M98" s="29">
        <v>12</v>
      </c>
      <c r="N98" s="34">
        <v>7.6</v>
      </c>
      <c r="O98" s="34">
        <v>22.157772621809748</v>
      </c>
      <c r="P98" s="34">
        <v>2.17</v>
      </c>
      <c r="Q98" s="34">
        <f t="shared" si="4"/>
        <v>10.210955125257948</v>
      </c>
      <c r="R98" s="34">
        <v>240</v>
      </c>
      <c r="S98" s="82">
        <v>0.14636363636363636</v>
      </c>
      <c r="T98" s="34"/>
      <c r="U98" s="83">
        <f>(S98-S93)/R98</f>
        <v>4.5075757575757577E-4</v>
      </c>
      <c r="V98" s="83">
        <f t="shared" si="5"/>
        <v>4.5075757575757575E-2</v>
      </c>
    </row>
    <row r="99" spans="1:22" x14ac:dyDescent="0.3">
      <c r="A99" s="5" t="s">
        <v>275</v>
      </c>
      <c r="B99" s="5" t="s">
        <v>276</v>
      </c>
      <c r="C99" s="5">
        <v>2015</v>
      </c>
      <c r="D99" s="5">
        <v>115.55</v>
      </c>
      <c r="E99" s="5">
        <v>29.85</v>
      </c>
      <c r="F99" s="5">
        <v>2014</v>
      </c>
      <c r="G99" s="29">
        <v>1036.5</v>
      </c>
      <c r="H99" s="29">
        <v>792</v>
      </c>
      <c r="I99" s="29">
        <v>25.7</v>
      </c>
      <c r="J99" s="29">
        <v>1.2914285700000001</v>
      </c>
      <c r="K99" s="29">
        <v>23</v>
      </c>
      <c r="L99" s="29">
        <v>35.785714290000001</v>
      </c>
      <c r="M99" s="29">
        <v>34.071428570000002</v>
      </c>
      <c r="N99" s="29">
        <v>5.8</v>
      </c>
      <c r="O99" s="29">
        <v>23.86</v>
      </c>
      <c r="P99" s="29">
        <v>2.39</v>
      </c>
      <c r="Q99" s="29">
        <f t="shared" si="4"/>
        <v>9.9832635983263582</v>
      </c>
      <c r="R99" s="29">
        <v>0</v>
      </c>
      <c r="S99" s="79">
        <v>0.15</v>
      </c>
      <c r="T99" s="44">
        <f>AVERAGE(S99,S101)</f>
        <v>0.16499999999999998</v>
      </c>
      <c r="V99" s="80">
        <f t="shared" si="5"/>
        <v>0</v>
      </c>
    </row>
    <row r="100" spans="1:22" x14ac:dyDescent="0.3">
      <c r="A100" s="5" t="s">
        <v>275</v>
      </c>
      <c r="B100" s="5" t="s">
        <v>276</v>
      </c>
      <c r="C100" s="5">
        <v>2015</v>
      </c>
      <c r="D100" s="5">
        <v>115.55</v>
      </c>
      <c r="E100" s="5">
        <v>29.85</v>
      </c>
      <c r="F100" s="5">
        <v>2014</v>
      </c>
      <c r="G100" s="29">
        <v>1036.5</v>
      </c>
      <c r="H100" s="29">
        <v>792</v>
      </c>
      <c r="I100" s="29">
        <v>25.7</v>
      </c>
      <c r="J100" s="29">
        <v>1.42</v>
      </c>
      <c r="K100" s="29">
        <v>39</v>
      </c>
      <c r="L100" s="29">
        <v>40</v>
      </c>
      <c r="M100" s="29">
        <v>21</v>
      </c>
      <c r="N100" s="29">
        <v>5.8</v>
      </c>
      <c r="O100" s="29">
        <v>23.86</v>
      </c>
      <c r="P100" s="29">
        <v>2.39</v>
      </c>
      <c r="Q100" s="29">
        <f t="shared" si="4"/>
        <v>9.9832635983263582</v>
      </c>
      <c r="R100" s="29">
        <v>180</v>
      </c>
      <c r="S100" s="79">
        <v>0.74</v>
      </c>
      <c r="U100" s="80">
        <f>(S100-0.15)/R100</f>
        <v>3.2777777777777775E-3</v>
      </c>
      <c r="V100" s="80">
        <f t="shared" si="5"/>
        <v>0.32777777777777772</v>
      </c>
    </row>
    <row r="101" spans="1:22" x14ac:dyDescent="0.3">
      <c r="A101" s="5" t="s">
        <v>275</v>
      </c>
      <c r="B101" s="5" t="s">
        <v>276</v>
      </c>
      <c r="C101" s="5">
        <v>2015</v>
      </c>
      <c r="D101" s="5">
        <v>115.55</v>
      </c>
      <c r="E101" s="5">
        <v>29.85</v>
      </c>
      <c r="F101" s="5">
        <v>2014</v>
      </c>
      <c r="G101" s="29">
        <v>1036.5</v>
      </c>
      <c r="H101" s="29">
        <v>792</v>
      </c>
      <c r="I101" s="29">
        <v>25.7</v>
      </c>
      <c r="J101" s="29">
        <v>1.2914285700000001</v>
      </c>
      <c r="K101" s="29">
        <v>23</v>
      </c>
      <c r="L101" s="29">
        <v>35.785714290000001</v>
      </c>
      <c r="M101" s="29">
        <v>34.071428570000002</v>
      </c>
      <c r="N101" s="29">
        <v>5.8</v>
      </c>
      <c r="O101" s="29">
        <v>23.86</v>
      </c>
      <c r="P101" s="29">
        <v>2.39</v>
      </c>
      <c r="Q101" s="29">
        <f t="shared" si="4"/>
        <v>9.9832635983263582</v>
      </c>
      <c r="R101" s="29">
        <v>0</v>
      </c>
      <c r="S101" s="79">
        <v>0.18</v>
      </c>
      <c r="V101" s="80">
        <f t="shared" si="5"/>
        <v>0</v>
      </c>
    </row>
    <row r="102" spans="1:22" x14ac:dyDescent="0.3">
      <c r="A102" s="81" t="s">
        <v>275</v>
      </c>
      <c r="B102" s="81" t="s">
        <v>276</v>
      </c>
      <c r="C102" s="81">
        <v>2015</v>
      </c>
      <c r="D102" s="81">
        <v>115.55</v>
      </c>
      <c r="E102" s="81">
        <v>29.85</v>
      </c>
      <c r="F102" s="81">
        <v>2014</v>
      </c>
      <c r="G102" s="34">
        <v>1036.5</v>
      </c>
      <c r="H102" s="34">
        <v>792</v>
      </c>
      <c r="I102" s="34">
        <v>25.7</v>
      </c>
      <c r="J102" s="29">
        <v>1.42</v>
      </c>
      <c r="K102" s="29">
        <v>39</v>
      </c>
      <c r="L102" s="29">
        <v>40</v>
      </c>
      <c r="M102" s="29">
        <v>21</v>
      </c>
      <c r="N102" s="34">
        <v>5.8</v>
      </c>
      <c r="O102" s="34">
        <v>23.86</v>
      </c>
      <c r="P102" s="34">
        <v>2.39</v>
      </c>
      <c r="Q102" s="34">
        <f t="shared" si="4"/>
        <v>9.9832635983263582</v>
      </c>
      <c r="R102" s="34">
        <v>180</v>
      </c>
      <c r="S102" s="82">
        <v>0.85</v>
      </c>
      <c r="T102" s="34"/>
      <c r="U102" s="83">
        <f>(S102-0.18)/R102</f>
        <v>3.7222222222222218E-3</v>
      </c>
      <c r="V102" s="83">
        <f t="shared" si="5"/>
        <v>0.37222222222222218</v>
      </c>
    </row>
    <row r="103" spans="1:22" x14ac:dyDescent="0.3">
      <c r="A103" s="5" t="s">
        <v>277</v>
      </c>
      <c r="B103" s="5" t="s">
        <v>278</v>
      </c>
      <c r="C103" s="5">
        <v>2013</v>
      </c>
      <c r="D103" s="5">
        <v>118.8</v>
      </c>
      <c r="E103" s="5">
        <v>31.97</v>
      </c>
      <c r="F103" s="5">
        <v>2010</v>
      </c>
      <c r="G103" s="29">
        <v>660</v>
      </c>
      <c r="H103" s="29">
        <v>670.5</v>
      </c>
      <c r="I103" s="29">
        <v>25.94</v>
      </c>
      <c r="J103" s="29">
        <v>1.2255555499999999</v>
      </c>
      <c r="K103" s="29">
        <v>23.222222219999999</v>
      </c>
      <c r="L103" s="29">
        <v>33.333333330000002</v>
      </c>
      <c r="M103" s="29">
        <v>32.333333330000002</v>
      </c>
      <c r="N103" s="29">
        <v>6.7</v>
      </c>
      <c r="O103" s="29">
        <v>12.238979118329468</v>
      </c>
      <c r="P103" s="29">
        <v>1.04</v>
      </c>
      <c r="Q103" s="29">
        <f t="shared" ref="Q103:Q130" si="6">O103/P103</f>
        <v>11.768249152239873</v>
      </c>
      <c r="R103" s="29">
        <v>0</v>
      </c>
      <c r="S103" s="79">
        <v>8.1040500000000001E-2</v>
      </c>
      <c r="T103" s="44">
        <f>AVERAGE(S103,S105,S107,S109,S111,S113)</f>
        <v>3.2349500000000003E-2</v>
      </c>
      <c r="V103" s="80">
        <f t="shared" ref="V103:V130" si="7">U103*100</f>
        <v>0</v>
      </c>
    </row>
    <row r="104" spans="1:22" x14ac:dyDescent="0.3">
      <c r="A104" s="5" t="s">
        <v>279</v>
      </c>
      <c r="B104" s="5" t="s">
        <v>278</v>
      </c>
      <c r="C104" s="5">
        <v>2013</v>
      </c>
      <c r="D104" s="5">
        <v>118.8</v>
      </c>
      <c r="E104" s="5">
        <v>31.97</v>
      </c>
      <c r="F104" s="5">
        <v>2010</v>
      </c>
      <c r="G104" s="29">
        <v>693</v>
      </c>
      <c r="H104" s="29">
        <v>726</v>
      </c>
      <c r="I104" s="29">
        <v>25.94</v>
      </c>
      <c r="J104" s="29">
        <v>1.3</v>
      </c>
      <c r="K104" s="29">
        <v>49</v>
      </c>
      <c r="L104" s="29">
        <v>31</v>
      </c>
      <c r="M104" s="29">
        <v>20</v>
      </c>
      <c r="N104" s="29">
        <v>6.7</v>
      </c>
      <c r="O104" s="29">
        <v>12.238979118329468</v>
      </c>
      <c r="P104" s="29">
        <v>1.04</v>
      </c>
      <c r="Q104" s="29">
        <f t="shared" si="6"/>
        <v>11.768249152239873</v>
      </c>
      <c r="R104" s="29">
        <v>250</v>
      </c>
      <c r="S104" s="79">
        <v>0.19909950000000001</v>
      </c>
      <c r="U104" s="80">
        <f>(S104-S103)/R104</f>
        <v>4.7223600000000006E-4</v>
      </c>
      <c r="V104" s="80">
        <f t="shared" si="7"/>
        <v>4.7223600000000004E-2</v>
      </c>
    </row>
    <row r="105" spans="1:22" x14ac:dyDescent="0.3">
      <c r="A105" s="5" t="s">
        <v>277</v>
      </c>
      <c r="B105" s="5" t="s">
        <v>278</v>
      </c>
      <c r="C105" s="5">
        <v>2013</v>
      </c>
      <c r="D105" s="5">
        <v>118.8</v>
      </c>
      <c r="E105" s="5">
        <v>31.97</v>
      </c>
      <c r="F105" s="5">
        <v>2010</v>
      </c>
      <c r="G105" s="29">
        <v>693</v>
      </c>
      <c r="H105" s="29">
        <v>726</v>
      </c>
      <c r="I105" s="29">
        <v>25.94</v>
      </c>
      <c r="J105" s="29">
        <v>1.2255555499999999</v>
      </c>
      <c r="K105" s="29">
        <v>23.222222219999999</v>
      </c>
      <c r="L105" s="29">
        <v>33.333333330000002</v>
      </c>
      <c r="M105" s="29">
        <v>32.333333330000002</v>
      </c>
      <c r="N105" s="29">
        <v>6.4</v>
      </c>
      <c r="O105" s="29">
        <v>12.529002320185615</v>
      </c>
      <c r="P105" s="29">
        <v>1.07</v>
      </c>
      <c r="Q105" s="29">
        <f t="shared" si="6"/>
        <v>11.709347962790293</v>
      </c>
      <c r="R105" s="29">
        <v>0</v>
      </c>
      <c r="S105" s="79">
        <v>2.001E-2</v>
      </c>
      <c r="V105" s="80">
        <f t="shared" si="7"/>
        <v>0</v>
      </c>
    </row>
    <row r="106" spans="1:22" x14ac:dyDescent="0.3">
      <c r="A106" s="5" t="s">
        <v>277</v>
      </c>
      <c r="B106" s="5" t="s">
        <v>278</v>
      </c>
      <c r="C106" s="5">
        <v>2013</v>
      </c>
      <c r="D106" s="5">
        <v>118.8</v>
      </c>
      <c r="E106" s="5">
        <v>31.97</v>
      </c>
      <c r="F106" s="5">
        <v>2010</v>
      </c>
      <c r="G106" s="29">
        <v>693</v>
      </c>
      <c r="H106" s="29">
        <v>726</v>
      </c>
      <c r="I106" s="29">
        <v>25.94</v>
      </c>
      <c r="J106" s="29">
        <v>1.3</v>
      </c>
      <c r="K106" s="29">
        <v>49</v>
      </c>
      <c r="L106" s="29">
        <v>31</v>
      </c>
      <c r="M106" s="29">
        <v>20</v>
      </c>
      <c r="N106" s="29">
        <v>6.4</v>
      </c>
      <c r="O106" s="29">
        <v>12.529002320185615</v>
      </c>
      <c r="P106" s="29">
        <v>1.07</v>
      </c>
      <c r="Q106" s="29">
        <f t="shared" si="6"/>
        <v>11.709347962790293</v>
      </c>
      <c r="R106" s="29">
        <v>200</v>
      </c>
      <c r="S106" s="79">
        <v>8.9044499999999999E-2</v>
      </c>
      <c r="U106" s="80">
        <f>(S106-S105)/R106</f>
        <v>3.4517249999999999E-4</v>
      </c>
      <c r="V106" s="80">
        <f t="shared" si="7"/>
        <v>3.4517249999999999E-2</v>
      </c>
    </row>
    <row r="107" spans="1:22" x14ac:dyDescent="0.3">
      <c r="A107" s="5" t="s">
        <v>277</v>
      </c>
      <c r="B107" s="5" t="s">
        <v>278</v>
      </c>
      <c r="C107" s="5">
        <v>2013</v>
      </c>
      <c r="D107" s="5">
        <v>118.8</v>
      </c>
      <c r="E107" s="5">
        <v>31.97</v>
      </c>
      <c r="F107" s="5">
        <v>2010</v>
      </c>
      <c r="G107" s="29">
        <v>693</v>
      </c>
      <c r="H107" s="29">
        <v>726</v>
      </c>
      <c r="I107" s="29">
        <v>25.94</v>
      </c>
      <c r="J107" s="29">
        <v>1.2255555499999999</v>
      </c>
      <c r="K107" s="29">
        <v>23.222222219999999</v>
      </c>
      <c r="L107" s="29">
        <v>33.333333330000002</v>
      </c>
      <c r="M107" s="29">
        <v>32.333333330000002</v>
      </c>
      <c r="N107" s="29">
        <v>6.4</v>
      </c>
      <c r="O107" s="29">
        <v>12.529002320185615</v>
      </c>
      <c r="P107" s="29">
        <v>1.07</v>
      </c>
      <c r="Q107" s="29">
        <f t="shared" si="6"/>
        <v>11.709347962790293</v>
      </c>
      <c r="R107" s="29">
        <v>0</v>
      </c>
      <c r="S107" s="79">
        <v>1.2005999999999999E-2</v>
      </c>
      <c r="V107" s="80">
        <f t="shared" si="7"/>
        <v>0</v>
      </c>
    </row>
    <row r="108" spans="1:22" x14ac:dyDescent="0.3">
      <c r="A108" s="5" t="s">
        <v>277</v>
      </c>
      <c r="B108" s="5" t="s">
        <v>278</v>
      </c>
      <c r="C108" s="5">
        <v>2013</v>
      </c>
      <c r="D108" s="5">
        <v>118.8</v>
      </c>
      <c r="E108" s="5">
        <v>31.97</v>
      </c>
      <c r="F108" s="5">
        <v>2010</v>
      </c>
      <c r="G108" s="29">
        <v>693</v>
      </c>
      <c r="H108" s="29">
        <v>726</v>
      </c>
      <c r="I108" s="29">
        <v>25.94</v>
      </c>
      <c r="J108" s="29">
        <v>1.3</v>
      </c>
      <c r="K108" s="29">
        <v>49</v>
      </c>
      <c r="L108" s="29">
        <v>31</v>
      </c>
      <c r="M108" s="29">
        <v>20</v>
      </c>
      <c r="N108" s="29">
        <v>6.4</v>
      </c>
      <c r="O108" s="29">
        <v>12.529002320185615</v>
      </c>
      <c r="P108" s="29">
        <v>1.07</v>
      </c>
      <c r="Q108" s="29">
        <f t="shared" si="6"/>
        <v>11.709347962790293</v>
      </c>
      <c r="R108" s="29">
        <v>200</v>
      </c>
      <c r="S108" s="79">
        <v>0.1210605</v>
      </c>
      <c r="U108" s="80">
        <f>(S108-S107)/R108</f>
        <v>5.4527250000000003E-4</v>
      </c>
      <c r="V108" s="80">
        <f t="shared" si="7"/>
        <v>5.4527249999999999E-2</v>
      </c>
    </row>
    <row r="109" spans="1:22" x14ac:dyDescent="0.3">
      <c r="A109" s="5" t="s">
        <v>277</v>
      </c>
      <c r="B109" s="5" t="s">
        <v>278</v>
      </c>
      <c r="C109" s="5">
        <v>2013</v>
      </c>
      <c r="D109" s="5">
        <v>118.8</v>
      </c>
      <c r="E109" s="5">
        <v>31.97</v>
      </c>
      <c r="F109" s="5">
        <v>2011</v>
      </c>
      <c r="G109" s="29">
        <v>693</v>
      </c>
      <c r="H109" s="29">
        <v>726</v>
      </c>
      <c r="I109" s="29">
        <v>25.94</v>
      </c>
      <c r="J109" s="29">
        <v>1.2255555499999999</v>
      </c>
      <c r="K109" s="29">
        <v>23.222222219999999</v>
      </c>
      <c r="L109" s="29">
        <v>33.333333330000002</v>
      </c>
      <c r="M109" s="29">
        <v>32.333333330000002</v>
      </c>
      <c r="N109" s="29">
        <v>6.7</v>
      </c>
      <c r="O109" s="29">
        <v>12.238979118329468</v>
      </c>
      <c r="P109" s="29">
        <v>1.04</v>
      </c>
      <c r="Q109" s="29">
        <f t="shared" si="6"/>
        <v>11.768249152239873</v>
      </c>
      <c r="R109" s="29">
        <v>0</v>
      </c>
      <c r="S109" s="79">
        <v>4.9024499999999999E-2</v>
      </c>
      <c r="V109" s="80">
        <f t="shared" si="7"/>
        <v>0</v>
      </c>
    </row>
    <row r="110" spans="1:22" x14ac:dyDescent="0.3">
      <c r="A110" s="5" t="s">
        <v>277</v>
      </c>
      <c r="B110" s="5" t="s">
        <v>278</v>
      </c>
      <c r="C110" s="5">
        <v>2013</v>
      </c>
      <c r="D110" s="5">
        <v>118.8</v>
      </c>
      <c r="E110" s="5">
        <v>31.97</v>
      </c>
      <c r="F110" s="5">
        <v>2011</v>
      </c>
      <c r="G110" s="29">
        <v>693</v>
      </c>
      <c r="H110" s="29">
        <v>726</v>
      </c>
      <c r="I110" s="29">
        <v>25.94</v>
      </c>
      <c r="J110" s="29">
        <v>1.3</v>
      </c>
      <c r="K110" s="29">
        <v>49</v>
      </c>
      <c r="L110" s="29">
        <v>31</v>
      </c>
      <c r="M110" s="29">
        <v>20</v>
      </c>
      <c r="N110" s="29">
        <v>6.7</v>
      </c>
      <c r="O110" s="29">
        <v>12.238979118329468</v>
      </c>
      <c r="P110" s="29">
        <v>1.04</v>
      </c>
      <c r="Q110" s="29">
        <f t="shared" si="6"/>
        <v>11.768249152239873</v>
      </c>
      <c r="R110" s="29">
        <v>250</v>
      </c>
      <c r="S110" s="79">
        <v>0.23011499999999999</v>
      </c>
      <c r="U110" s="80">
        <f>(S110-S109)/R110</f>
        <v>7.2436199999999999E-4</v>
      </c>
      <c r="V110" s="80">
        <f t="shared" si="7"/>
        <v>7.2436199999999992E-2</v>
      </c>
    </row>
    <row r="111" spans="1:22" x14ac:dyDescent="0.3">
      <c r="A111" s="5" t="s">
        <v>277</v>
      </c>
      <c r="B111" s="5" t="s">
        <v>278</v>
      </c>
      <c r="C111" s="5">
        <v>2013</v>
      </c>
      <c r="D111" s="5">
        <v>118.8</v>
      </c>
      <c r="E111" s="5">
        <v>31.97</v>
      </c>
      <c r="F111" s="5">
        <v>2011</v>
      </c>
      <c r="G111" s="29">
        <v>693</v>
      </c>
      <c r="H111" s="29">
        <v>726</v>
      </c>
      <c r="I111" s="29">
        <v>25.94</v>
      </c>
      <c r="J111" s="29">
        <v>1.2255555499999999</v>
      </c>
      <c r="K111" s="29">
        <v>23.222222219999999</v>
      </c>
      <c r="L111" s="29">
        <v>33.333333330000002</v>
      </c>
      <c r="M111" s="29">
        <v>32.333333330000002</v>
      </c>
      <c r="N111" s="29">
        <v>6.4</v>
      </c>
      <c r="O111" s="29">
        <v>12.529002320185615</v>
      </c>
      <c r="P111" s="29">
        <v>1.07</v>
      </c>
      <c r="Q111" s="29">
        <f t="shared" si="6"/>
        <v>11.709347962790293</v>
      </c>
      <c r="R111" s="29">
        <v>0</v>
      </c>
      <c r="S111" s="79">
        <v>2.0010000000000002E-3</v>
      </c>
      <c r="V111" s="80">
        <f t="shared" si="7"/>
        <v>0</v>
      </c>
    </row>
    <row r="112" spans="1:22" x14ac:dyDescent="0.3">
      <c r="A112" s="5" t="s">
        <v>277</v>
      </c>
      <c r="B112" s="5" t="s">
        <v>278</v>
      </c>
      <c r="C112" s="5">
        <v>2013</v>
      </c>
      <c r="D112" s="5">
        <v>118.8</v>
      </c>
      <c r="E112" s="5">
        <v>31.97</v>
      </c>
      <c r="F112" s="5">
        <v>2011</v>
      </c>
      <c r="G112" s="29">
        <v>693</v>
      </c>
      <c r="H112" s="29">
        <v>726</v>
      </c>
      <c r="I112" s="29">
        <v>25.94</v>
      </c>
      <c r="J112" s="29">
        <v>1.3</v>
      </c>
      <c r="K112" s="29">
        <v>49</v>
      </c>
      <c r="L112" s="29">
        <v>31</v>
      </c>
      <c r="M112" s="29">
        <v>20</v>
      </c>
      <c r="N112" s="29">
        <v>6.4</v>
      </c>
      <c r="O112" s="29">
        <v>12.529002320185615</v>
      </c>
      <c r="P112" s="29">
        <v>1.07</v>
      </c>
      <c r="Q112" s="29">
        <f t="shared" si="6"/>
        <v>11.709347962790293</v>
      </c>
      <c r="R112" s="29">
        <v>200</v>
      </c>
      <c r="S112" s="79">
        <v>0.44422200000000001</v>
      </c>
      <c r="U112" s="80">
        <f>(S112-S111)/R112</f>
        <v>2.2111050000000001E-3</v>
      </c>
      <c r="V112" s="80">
        <f t="shared" si="7"/>
        <v>0.22111050000000002</v>
      </c>
    </row>
    <row r="113" spans="1:22" x14ac:dyDescent="0.3">
      <c r="A113" s="5" t="s">
        <v>277</v>
      </c>
      <c r="B113" s="5" t="s">
        <v>278</v>
      </c>
      <c r="C113" s="5">
        <v>2013</v>
      </c>
      <c r="D113" s="5">
        <v>118.8</v>
      </c>
      <c r="E113" s="5">
        <v>31.97</v>
      </c>
      <c r="F113" s="5">
        <v>2011</v>
      </c>
      <c r="G113" s="29">
        <v>693</v>
      </c>
      <c r="H113" s="29">
        <v>726</v>
      </c>
      <c r="I113" s="29">
        <v>25.94</v>
      </c>
      <c r="J113" s="29">
        <v>1.2255555499999999</v>
      </c>
      <c r="K113" s="29">
        <v>23.222222219999999</v>
      </c>
      <c r="L113" s="29">
        <v>33.333333330000002</v>
      </c>
      <c r="M113" s="29">
        <v>32.333333330000002</v>
      </c>
      <c r="N113" s="29">
        <v>6.4</v>
      </c>
      <c r="O113" s="29">
        <v>12.529002320185615</v>
      </c>
      <c r="P113" s="29">
        <v>1.07</v>
      </c>
      <c r="Q113" s="29">
        <f t="shared" si="6"/>
        <v>11.709347962790293</v>
      </c>
      <c r="R113" s="29">
        <v>0</v>
      </c>
      <c r="S113" s="79">
        <v>3.0015E-2</v>
      </c>
      <c r="V113" s="80">
        <f t="shared" si="7"/>
        <v>0</v>
      </c>
    </row>
    <row r="114" spans="1:22" x14ac:dyDescent="0.3">
      <c r="A114" s="81" t="s">
        <v>277</v>
      </c>
      <c r="B114" s="81" t="s">
        <v>278</v>
      </c>
      <c r="C114" s="81">
        <v>2013</v>
      </c>
      <c r="D114" s="81">
        <v>118.8</v>
      </c>
      <c r="E114" s="81">
        <v>31.97</v>
      </c>
      <c r="F114" s="81">
        <v>2011</v>
      </c>
      <c r="G114" s="34">
        <v>693</v>
      </c>
      <c r="H114" s="34">
        <v>726</v>
      </c>
      <c r="I114" s="34">
        <v>25.94</v>
      </c>
      <c r="J114" s="29">
        <v>1.3</v>
      </c>
      <c r="K114" s="29">
        <v>49</v>
      </c>
      <c r="L114" s="29">
        <v>31</v>
      </c>
      <c r="M114" s="29">
        <v>20</v>
      </c>
      <c r="N114" s="34">
        <v>6.4</v>
      </c>
      <c r="O114" s="34">
        <v>12.529002320185615</v>
      </c>
      <c r="P114" s="34">
        <v>1.07</v>
      </c>
      <c r="Q114" s="34">
        <f t="shared" si="6"/>
        <v>11.709347962790293</v>
      </c>
      <c r="R114" s="34">
        <v>200</v>
      </c>
      <c r="S114" s="82">
        <v>0.19909950000000001</v>
      </c>
      <c r="T114" s="34"/>
      <c r="U114" s="83">
        <f>(S114-S113)/R114</f>
        <v>8.4542250000000014E-4</v>
      </c>
      <c r="V114" s="83">
        <f t="shared" si="7"/>
        <v>8.4542250000000013E-2</v>
      </c>
    </row>
    <row r="115" spans="1:22" x14ac:dyDescent="0.3">
      <c r="A115" s="5" t="s">
        <v>280</v>
      </c>
      <c r="B115" s="5" t="s">
        <v>281</v>
      </c>
      <c r="C115" s="5">
        <v>2013</v>
      </c>
      <c r="D115" s="5">
        <v>113.65</v>
      </c>
      <c r="E115" s="5">
        <v>28.17</v>
      </c>
      <c r="F115" s="5">
        <v>2010</v>
      </c>
      <c r="G115" s="29">
        <v>1104</v>
      </c>
      <c r="H115" s="29">
        <v>496.5</v>
      </c>
      <c r="I115" s="29">
        <v>25.9</v>
      </c>
      <c r="J115" s="29">
        <v>1.35591836</v>
      </c>
      <c r="K115" s="29">
        <v>31.714285709999999</v>
      </c>
      <c r="L115" s="29">
        <v>36.6122449</v>
      </c>
      <c r="M115" s="29">
        <v>31.673469390000001</v>
      </c>
      <c r="N115" s="29">
        <v>6.3</v>
      </c>
      <c r="O115" s="29">
        <v>18.485382830626449</v>
      </c>
      <c r="P115" s="29">
        <v>1.0900000000000001</v>
      </c>
      <c r="Q115" s="29">
        <f t="shared" si="6"/>
        <v>16.959066817088484</v>
      </c>
      <c r="R115" s="29">
        <v>0</v>
      </c>
      <c r="S115" s="79">
        <v>0.08</v>
      </c>
      <c r="T115" s="44">
        <f>AVERAGE(S115,S120)</f>
        <v>9.2499999999999999E-2</v>
      </c>
      <c r="V115" s="80">
        <f t="shared" si="7"/>
        <v>0</v>
      </c>
    </row>
    <row r="116" spans="1:22" x14ac:dyDescent="0.3">
      <c r="A116" s="5" t="s">
        <v>280</v>
      </c>
      <c r="B116" s="5" t="s">
        <v>281</v>
      </c>
      <c r="C116" s="5">
        <v>2013</v>
      </c>
      <c r="D116" s="5">
        <v>113.65</v>
      </c>
      <c r="E116" s="5">
        <v>28.17</v>
      </c>
      <c r="F116" s="5">
        <v>2010</v>
      </c>
      <c r="G116" s="29">
        <v>1104</v>
      </c>
      <c r="H116" s="29">
        <v>496.5</v>
      </c>
      <c r="I116" s="29">
        <v>25.9</v>
      </c>
      <c r="J116" s="29">
        <v>1.4</v>
      </c>
      <c r="K116" s="29">
        <v>38</v>
      </c>
      <c r="L116" s="29">
        <v>37</v>
      </c>
      <c r="M116" s="29">
        <v>25</v>
      </c>
      <c r="N116" s="29">
        <v>6.3</v>
      </c>
      <c r="O116" s="29">
        <v>18.399999999999999</v>
      </c>
      <c r="P116" s="29">
        <v>1.0900000000000001</v>
      </c>
      <c r="Q116" s="29">
        <f t="shared" si="6"/>
        <v>16.880733944954127</v>
      </c>
      <c r="R116" s="29">
        <v>150</v>
      </c>
      <c r="S116" s="79">
        <v>0.2</v>
      </c>
      <c r="U116" s="80">
        <f>(S116-0.08)/R116</f>
        <v>8.0000000000000004E-4</v>
      </c>
      <c r="V116" s="80">
        <f t="shared" si="7"/>
        <v>0.08</v>
      </c>
    </row>
    <row r="117" spans="1:22" x14ac:dyDescent="0.3">
      <c r="A117" s="5" t="s">
        <v>280</v>
      </c>
      <c r="B117" s="5" t="s">
        <v>281</v>
      </c>
      <c r="C117" s="5">
        <v>2013</v>
      </c>
      <c r="D117" s="5">
        <v>113.65</v>
      </c>
      <c r="E117" s="5">
        <v>28.17</v>
      </c>
      <c r="F117" s="5">
        <v>2010</v>
      </c>
      <c r="G117" s="29">
        <v>1104</v>
      </c>
      <c r="H117" s="29">
        <v>496.5</v>
      </c>
      <c r="I117" s="29">
        <v>25.9</v>
      </c>
      <c r="J117" s="29">
        <v>1.4</v>
      </c>
      <c r="K117" s="29">
        <v>38</v>
      </c>
      <c r="L117" s="29">
        <v>37</v>
      </c>
      <c r="M117" s="29">
        <v>25</v>
      </c>
      <c r="N117" s="29">
        <v>6.3</v>
      </c>
      <c r="O117" s="29">
        <v>18.399999999999999</v>
      </c>
      <c r="P117" s="29">
        <v>1.0900000000000001</v>
      </c>
      <c r="Q117" s="29">
        <f t="shared" si="6"/>
        <v>16.880733944954127</v>
      </c>
      <c r="R117" s="29">
        <v>120</v>
      </c>
      <c r="S117" s="79">
        <v>0.182</v>
      </c>
      <c r="U117" s="80">
        <f>(S117-0.08)/R117</f>
        <v>8.4999999999999995E-4</v>
      </c>
      <c r="V117" s="80">
        <f t="shared" si="7"/>
        <v>8.4999999999999992E-2</v>
      </c>
    </row>
    <row r="118" spans="1:22" x14ac:dyDescent="0.3">
      <c r="A118" s="5" t="s">
        <v>280</v>
      </c>
      <c r="B118" s="5" t="s">
        <v>281</v>
      </c>
      <c r="C118" s="5">
        <v>2013</v>
      </c>
      <c r="D118" s="5">
        <v>113.65</v>
      </c>
      <c r="E118" s="5">
        <v>28.17</v>
      </c>
      <c r="F118" s="5">
        <v>2010</v>
      </c>
      <c r="G118" s="29">
        <v>1104</v>
      </c>
      <c r="H118" s="29">
        <v>496.5</v>
      </c>
      <c r="I118" s="29">
        <v>25.9</v>
      </c>
      <c r="J118" s="29">
        <v>1.4</v>
      </c>
      <c r="K118" s="29">
        <v>38</v>
      </c>
      <c r="L118" s="29">
        <v>37</v>
      </c>
      <c r="M118" s="29">
        <v>25</v>
      </c>
      <c r="N118" s="29">
        <v>6.3</v>
      </c>
      <c r="O118" s="29">
        <v>18.399999999999999</v>
      </c>
      <c r="P118" s="29">
        <v>1.0900000000000001</v>
      </c>
      <c r="Q118" s="29">
        <f t="shared" si="6"/>
        <v>16.880733944954127</v>
      </c>
      <c r="R118" s="29">
        <v>160</v>
      </c>
      <c r="S118" s="79">
        <v>0.217</v>
      </c>
      <c r="U118" s="80">
        <f>(S118-0.08)/R118</f>
        <v>8.5625000000000002E-4</v>
      </c>
      <c r="V118" s="80">
        <f t="shared" si="7"/>
        <v>8.5625000000000007E-2</v>
      </c>
    </row>
    <row r="119" spans="1:22" x14ac:dyDescent="0.3">
      <c r="A119" s="5" t="s">
        <v>280</v>
      </c>
      <c r="B119" s="5" t="s">
        <v>281</v>
      </c>
      <c r="C119" s="5">
        <v>2013</v>
      </c>
      <c r="D119" s="5">
        <v>113.65</v>
      </c>
      <c r="E119" s="5">
        <v>28.17</v>
      </c>
      <c r="F119" s="5">
        <v>2010</v>
      </c>
      <c r="G119" s="29">
        <v>1104</v>
      </c>
      <c r="H119" s="29">
        <v>496.5</v>
      </c>
      <c r="I119" s="29">
        <v>25.9</v>
      </c>
      <c r="J119" s="29">
        <v>1.4</v>
      </c>
      <c r="K119" s="29">
        <v>38</v>
      </c>
      <c r="L119" s="29">
        <v>37</v>
      </c>
      <c r="M119" s="29">
        <v>25</v>
      </c>
      <c r="N119" s="29">
        <v>6.3</v>
      </c>
      <c r="O119" s="29">
        <v>18.399999999999999</v>
      </c>
      <c r="P119" s="29">
        <v>1.0900000000000001</v>
      </c>
      <c r="Q119" s="29">
        <f t="shared" si="6"/>
        <v>16.880733944954127</v>
      </c>
      <c r="R119" s="29">
        <v>130</v>
      </c>
      <c r="S119" s="79">
        <v>0.20599999999999999</v>
      </c>
      <c r="U119" s="80">
        <f>(S119-0.08)/R119</f>
        <v>9.6923076923076921E-4</v>
      </c>
      <c r="V119" s="80">
        <f t="shared" si="7"/>
        <v>9.6923076923076917E-2</v>
      </c>
    </row>
    <row r="120" spans="1:22" x14ac:dyDescent="0.3">
      <c r="A120" s="5" t="s">
        <v>280</v>
      </c>
      <c r="B120" s="5" t="s">
        <v>281</v>
      </c>
      <c r="C120" s="5">
        <v>2013</v>
      </c>
      <c r="D120" s="5">
        <v>113.65</v>
      </c>
      <c r="E120" s="5">
        <v>28.17</v>
      </c>
      <c r="F120" s="5">
        <v>2010</v>
      </c>
      <c r="G120" s="29">
        <v>1104</v>
      </c>
      <c r="H120" s="29">
        <v>496.5</v>
      </c>
      <c r="I120" s="29">
        <v>25.9</v>
      </c>
      <c r="J120" s="29">
        <v>1.35591836</v>
      </c>
      <c r="K120" s="29">
        <v>31.714285709999999</v>
      </c>
      <c r="L120" s="29">
        <v>36.6122449</v>
      </c>
      <c r="M120" s="29">
        <v>31.673469390000001</v>
      </c>
      <c r="N120" s="29">
        <v>6.3</v>
      </c>
      <c r="O120" s="29">
        <v>18.485382830626449</v>
      </c>
      <c r="P120" s="29">
        <v>1.0900000000000001</v>
      </c>
      <c r="Q120" s="29">
        <f t="shared" si="6"/>
        <v>16.959066817088484</v>
      </c>
      <c r="R120" s="29">
        <v>0</v>
      </c>
      <c r="S120" s="79">
        <v>0.105</v>
      </c>
      <c r="V120" s="80">
        <f t="shared" si="7"/>
        <v>0</v>
      </c>
    </row>
    <row r="121" spans="1:22" x14ac:dyDescent="0.3">
      <c r="A121" s="5" t="s">
        <v>280</v>
      </c>
      <c r="B121" s="5" t="s">
        <v>281</v>
      </c>
      <c r="C121" s="5">
        <v>2013</v>
      </c>
      <c r="D121" s="5">
        <v>113.65</v>
      </c>
      <c r="E121" s="5">
        <v>28.17</v>
      </c>
      <c r="F121" s="5">
        <v>2010</v>
      </c>
      <c r="G121" s="29">
        <v>1104</v>
      </c>
      <c r="H121" s="29">
        <v>496.5</v>
      </c>
      <c r="I121" s="29">
        <v>25.9</v>
      </c>
      <c r="J121" s="29">
        <v>1.4</v>
      </c>
      <c r="K121" s="29">
        <v>38</v>
      </c>
      <c r="L121" s="29">
        <v>37</v>
      </c>
      <c r="M121" s="29">
        <v>25</v>
      </c>
      <c r="N121" s="29">
        <v>6.3</v>
      </c>
      <c r="O121" s="29">
        <v>18.399999999999999</v>
      </c>
      <c r="P121" s="29">
        <v>1.0900000000000001</v>
      </c>
      <c r="Q121" s="29">
        <f t="shared" si="6"/>
        <v>16.880733944954127</v>
      </c>
      <c r="R121" s="29">
        <v>160</v>
      </c>
      <c r="S121" s="79">
        <v>0.22</v>
      </c>
      <c r="U121" s="80">
        <f>(S121-0.105)/R121</f>
        <v>7.1874999999999999E-4</v>
      </c>
      <c r="V121" s="80">
        <f t="shared" si="7"/>
        <v>7.1874999999999994E-2</v>
      </c>
    </row>
    <row r="122" spans="1:22" x14ac:dyDescent="0.3">
      <c r="A122" s="5" t="s">
        <v>280</v>
      </c>
      <c r="B122" s="5" t="s">
        <v>281</v>
      </c>
      <c r="C122" s="5">
        <v>2013</v>
      </c>
      <c r="D122" s="5">
        <v>113.65</v>
      </c>
      <c r="E122" s="5">
        <v>28.17</v>
      </c>
      <c r="F122" s="5">
        <v>2010</v>
      </c>
      <c r="G122" s="29">
        <v>1104</v>
      </c>
      <c r="H122" s="29">
        <v>496.5</v>
      </c>
      <c r="I122" s="29">
        <v>25.9</v>
      </c>
      <c r="J122" s="29">
        <v>1.4</v>
      </c>
      <c r="K122" s="29">
        <v>38</v>
      </c>
      <c r="L122" s="29">
        <v>37</v>
      </c>
      <c r="M122" s="29">
        <v>25</v>
      </c>
      <c r="N122" s="29">
        <v>6.3</v>
      </c>
      <c r="O122" s="29">
        <v>18.399999999999999</v>
      </c>
      <c r="P122" s="29">
        <v>1.0900000000000001</v>
      </c>
      <c r="Q122" s="29">
        <f t="shared" si="6"/>
        <v>16.880733944954127</v>
      </c>
      <c r="R122" s="29">
        <v>135</v>
      </c>
      <c r="S122" s="79">
        <v>0.215</v>
      </c>
      <c r="U122" s="80">
        <f>(S122-0.105)/R122</f>
        <v>8.1481481481481487E-4</v>
      </c>
      <c r="V122" s="80">
        <f t="shared" si="7"/>
        <v>8.1481481481481488E-2</v>
      </c>
    </row>
    <row r="123" spans="1:22" x14ac:dyDescent="0.3">
      <c r="A123" s="5" t="s">
        <v>280</v>
      </c>
      <c r="B123" s="5" t="s">
        <v>281</v>
      </c>
      <c r="C123" s="5">
        <v>2013</v>
      </c>
      <c r="D123" s="5">
        <v>113.65</v>
      </c>
      <c r="E123" s="5">
        <v>28.17</v>
      </c>
      <c r="F123" s="5">
        <v>2010</v>
      </c>
      <c r="G123" s="29">
        <v>1104</v>
      </c>
      <c r="H123" s="29">
        <v>496.5</v>
      </c>
      <c r="I123" s="29">
        <v>25.9</v>
      </c>
      <c r="J123" s="29">
        <v>1.4</v>
      </c>
      <c r="K123" s="29">
        <v>38</v>
      </c>
      <c r="L123" s="29">
        <v>37</v>
      </c>
      <c r="M123" s="29">
        <v>25</v>
      </c>
      <c r="N123" s="29">
        <v>6.3</v>
      </c>
      <c r="O123" s="29">
        <v>18.399999999999999</v>
      </c>
      <c r="P123" s="29">
        <v>1.0900000000000001</v>
      </c>
      <c r="Q123" s="29">
        <f t="shared" si="6"/>
        <v>16.880733944954127</v>
      </c>
      <c r="R123" s="29">
        <v>175</v>
      </c>
      <c r="S123" s="79">
        <v>0.32600000000000001</v>
      </c>
      <c r="U123" s="80">
        <f>(S123-0.105)/R123</f>
        <v>1.262857142857143E-3</v>
      </c>
      <c r="V123" s="80">
        <f t="shared" si="7"/>
        <v>0.12628571428571431</v>
      </c>
    </row>
    <row r="124" spans="1:22" x14ac:dyDescent="0.3">
      <c r="A124" s="81" t="s">
        <v>280</v>
      </c>
      <c r="B124" s="81" t="s">
        <v>281</v>
      </c>
      <c r="C124" s="81">
        <v>2013</v>
      </c>
      <c r="D124" s="81">
        <v>113.65</v>
      </c>
      <c r="E124" s="81">
        <v>28.17</v>
      </c>
      <c r="F124" s="81">
        <v>2010</v>
      </c>
      <c r="G124" s="34">
        <v>1104</v>
      </c>
      <c r="H124" s="34">
        <v>496.5</v>
      </c>
      <c r="I124" s="34">
        <v>25.9</v>
      </c>
      <c r="J124" s="29">
        <v>1.4</v>
      </c>
      <c r="K124" s="29">
        <v>38</v>
      </c>
      <c r="L124" s="29">
        <v>37</v>
      </c>
      <c r="M124" s="29">
        <v>25</v>
      </c>
      <c r="N124" s="34">
        <v>6.3</v>
      </c>
      <c r="O124" s="29">
        <v>18.399999999999999</v>
      </c>
      <c r="P124" s="34">
        <v>1.0900000000000001</v>
      </c>
      <c r="Q124" s="34">
        <f t="shared" si="6"/>
        <v>16.880733944954127</v>
      </c>
      <c r="R124" s="34">
        <v>165</v>
      </c>
      <c r="S124" s="82">
        <v>0.29699999999999999</v>
      </c>
      <c r="T124" s="34"/>
      <c r="U124" s="83">
        <f>(S124-0.105)/R124</f>
        <v>1.1636363636363637E-3</v>
      </c>
      <c r="V124" s="83">
        <f t="shared" si="7"/>
        <v>0.11636363636363636</v>
      </c>
    </row>
    <row r="125" spans="1:22" x14ac:dyDescent="0.3">
      <c r="A125" s="5" t="s">
        <v>282</v>
      </c>
      <c r="B125" s="5" t="s">
        <v>283</v>
      </c>
      <c r="C125" s="5">
        <v>2013</v>
      </c>
      <c r="D125" s="5">
        <v>119.15</v>
      </c>
      <c r="E125" s="5">
        <v>33.51</v>
      </c>
      <c r="F125" s="5">
        <v>2012</v>
      </c>
      <c r="G125" s="29">
        <v>600</v>
      </c>
      <c r="H125" s="29">
        <v>777</v>
      </c>
      <c r="I125" s="29">
        <v>24.9</v>
      </c>
      <c r="J125" s="29">
        <v>1.4579999699999999</v>
      </c>
      <c r="K125" s="29">
        <v>17.399999999999999</v>
      </c>
      <c r="L125" s="29">
        <v>48.4</v>
      </c>
      <c r="M125" s="29">
        <v>34.200000000000003</v>
      </c>
      <c r="N125" s="29">
        <v>7.5</v>
      </c>
      <c r="O125" s="29">
        <v>14.066125290023201</v>
      </c>
      <c r="P125" s="29">
        <v>1.77</v>
      </c>
      <c r="Q125" s="29">
        <f t="shared" si="6"/>
        <v>7.9469634406910741</v>
      </c>
      <c r="R125" s="29">
        <v>0</v>
      </c>
      <c r="S125" s="79">
        <v>0.10372727272727272</v>
      </c>
      <c r="T125" s="44">
        <f>AVERAGE(S125,S126,S128,S129)</f>
        <v>0.11565909090909091</v>
      </c>
      <c r="V125" s="80">
        <f t="shared" si="7"/>
        <v>0</v>
      </c>
    </row>
    <row r="126" spans="1:22" x14ac:dyDescent="0.3">
      <c r="A126" s="5" t="s">
        <v>282</v>
      </c>
      <c r="B126" s="5" t="s">
        <v>283</v>
      </c>
      <c r="C126" s="5">
        <v>2013</v>
      </c>
      <c r="D126" s="5">
        <v>119.15</v>
      </c>
      <c r="E126" s="5">
        <v>33.51</v>
      </c>
      <c r="F126" s="5">
        <v>2012</v>
      </c>
      <c r="G126" s="29">
        <v>600</v>
      </c>
      <c r="H126" s="29">
        <v>777</v>
      </c>
      <c r="I126" s="29">
        <v>24.9</v>
      </c>
      <c r="J126" s="29">
        <v>1.4579999699999999</v>
      </c>
      <c r="K126" s="29">
        <v>17.399999999999999</v>
      </c>
      <c r="L126" s="29">
        <v>48.4</v>
      </c>
      <c r="M126" s="29">
        <v>34.200000000000003</v>
      </c>
      <c r="N126" s="29">
        <v>7.5</v>
      </c>
      <c r="O126" s="29">
        <v>14.066125290023201</v>
      </c>
      <c r="P126" s="29">
        <v>1.93</v>
      </c>
      <c r="Q126" s="29">
        <f t="shared" si="6"/>
        <v>7.2881478186648714</v>
      </c>
      <c r="R126" s="29">
        <v>0</v>
      </c>
      <c r="S126" s="79">
        <v>7.5727272727272726E-2</v>
      </c>
      <c r="V126" s="80">
        <f t="shared" si="7"/>
        <v>0</v>
      </c>
    </row>
    <row r="127" spans="1:22" x14ac:dyDescent="0.3">
      <c r="A127" s="5" t="s">
        <v>282</v>
      </c>
      <c r="B127" s="5" t="s">
        <v>283</v>
      </c>
      <c r="C127" s="5">
        <v>2013</v>
      </c>
      <c r="D127" s="5">
        <v>119.15</v>
      </c>
      <c r="E127" s="5">
        <v>33.51</v>
      </c>
      <c r="F127" s="5">
        <v>2012</v>
      </c>
      <c r="G127" s="29">
        <v>600</v>
      </c>
      <c r="H127" s="29">
        <v>777</v>
      </c>
      <c r="I127" s="29">
        <v>24.9</v>
      </c>
      <c r="J127" s="29">
        <v>1.38</v>
      </c>
      <c r="K127" s="29">
        <v>47</v>
      </c>
      <c r="L127" s="29">
        <v>34</v>
      </c>
      <c r="M127" s="29">
        <v>19</v>
      </c>
      <c r="N127" s="29">
        <v>7.5</v>
      </c>
      <c r="O127" s="29">
        <v>12.43</v>
      </c>
      <c r="P127" s="29">
        <v>1.92</v>
      </c>
      <c r="Q127" s="29">
        <f t="shared" si="6"/>
        <v>6.473958333333333</v>
      </c>
      <c r="R127" s="29">
        <v>127.5</v>
      </c>
      <c r="S127" s="79">
        <v>0.24118181818181819</v>
      </c>
      <c r="U127" s="80">
        <f>(S127-0.089727)/R127</f>
        <v>1.1878809269162212E-3</v>
      </c>
      <c r="V127" s="80">
        <f t="shared" si="7"/>
        <v>0.11878809269162212</v>
      </c>
    </row>
    <row r="128" spans="1:22" x14ac:dyDescent="0.3">
      <c r="A128" s="5" t="s">
        <v>282</v>
      </c>
      <c r="B128" s="5" t="s">
        <v>283</v>
      </c>
      <c r="C128" s="5">
        <v>2013</v>
      </c>
      <c r="D128" s="5">
        <v>119.15</v>
      </c>
      <c r="E128" s="5">
        <v>33.51</v>
      </c>
      <c r="F128" s="5">
        <v>2012</v>
      </c>
      <c r="G128" s="29">
        <v>600</v>
      </c>
      <c r="H128" s="29">
        <v>777</v>
      </c>
      <c r="I128" s="29">
        <v>24.9</v>
      </c>
      <c r="J128" s="29">
        <v>1.4579999699999999</v>
      </c>
      <c r="K128" s="29">
        <v>17.399999999999999</v>
      </c>
      <c r="L128" s="29">
        <v>48.4</v>
      </c>
      <c r="M128" s="29">
        <v>34.200000000000003</v>
      </c>
      <c r="N128" s="29">
        <v>7.5</v>
      </c>
      <c r="O128" s="29">
        <v>14.066125290023201</v>
      </c>
      <c r="P128" s="29">
        <v>1.88</v>
      </c>
      <c r="Q128" s="29">
        <f t="shared" si="6"/>
        <v>7.4819815372463845</v>
      </c>
      <c r="R128" s="29">
        <v>0</v>
      </c>
      <c r="S128" s="79">
        <v>4.072727272727273E-2</v>
      </c>
      <c r="V128" s="80">
        <f t="shared" si="7"/>
        <v>0</v>
      </c>
    </row>
    <row r="129" spans="1:22" x14ac:dyDescent="0.3">
      <c r="A129" s="5" t="s">
        <v>282</v>
      </c>
      <c r="B129" s="5" t="s">
        <v>283</v>
      </c>
      <c r="C129" s="5">
        <v>2013</v>
      </c>
      <c r="D129" s="5">
        <v>119.15</v>
      </c>
      <c r="E129" s="5">
        <v>33.51</v>
      </c>
      <c r="F129" s="5">
        <v>2013</v>
      </c>
      <c r="G129" s="29">
        <v>600</v>
      </c>
      <c r="H129" s="29">
        <v>777</v>
      </c>
      <c r="I129" s="29">
        <v>24.9</v>
      </c>
      <c r="J129" s="29">
        <v>1.4579999699999999</v>
      </c>
      <c r="K129" s="29">
        <v>17.399999999999999</v>
      </c>
      <c r="L129" s="29">
        <v>48.4</v>
      </c>
      <c r="M129" s="29">
        <v>34.200000000000003</v>
      </c>
      <c r="N129" s="29">
        <v>7.5</v>
      </c>
      <c r="O129" s="29">
        <v>14.066125290023201</v>
      </c>
      <c r="P129" s="29">
        <v>2.02</v>
      </c>
      <c r="Q129" s="29">
        <f t="shared" si="6"/>
        <v>6.9634283613976242</v>
      </c>
      <c r="R129" s="29">
        <v>0</v>
      </c>
      <c r="S129" s="79">
        <v>0.24245454545454545</v>
      </c>
      <c r="V129" s="80">
        <f t="shared" si="7"/>
        <v>0</v>
      </c>
    </row>
    <row r="130" spans="1:22" x14ac:dyDescent="0.3">
      <c r="A130" s="81" t="s">
        <v>282</v>
      </c>
      <c r="B130" s="81" t="s">
        <v>283</v>
      </c>
      <c r="C130" s="81">
        <v>2013</v>
      </c>
      <c r="D130" s="81">
        <v>119.15</v>
      </c>
      <c r="E130" s="81">
        <v>33.51</v>
      </c>
      <c r="F130" s="81">
        <v>2012</v>
      </c>
      <c r="G130" s="34">
        <v>600</v>
      </c>
      <c r="H130" s="34">
        <v>777</v>
      </c>
      <c r="I130" s="34">
        <v>24.9</v>
      </c>
      <c r="J130" s="29">
        <v>1.38</v>
      </c>
      <c r="K130" s="29">
        <v>47</v>
      </c>
      <c r="L130" s="29">
        <v>34</v>
      </c>
      <c r="M130" s="29">
        <v>19</v>
      </c>
      <c r="N130" s="34">
        <v>7.5</v>
      </c>
      <c r="O130" s="34">
        <v>12.76</v>
      </c>
      <c r="P130" s="34">
        <v>1.93</v>
      </c>
      <c r="Q130" s="34">
        <f t="shared" si="6"/>
        <v>6.6113989637305703</v>
      </c>
      <c r="R130" s="34">
        <v>150</v>
      </c>
      <c r="S130" s="82">
        <v>0.33727272727272728</v>
      </c>
      <c r="T130" s="34"/>
      <c r="U130" s="83">
        <f>(S130-0.141591)/R130</f>
        <v>1.3045448484848485E-3</v>
      </c>
      <c r="V130" s="83">
        <f t="shared" si="7"/>
        <v>0.13045448484848485</v>
      </c>
    </row>
    <row r="131" spans="1:22" x14ac:dyDescent="0.3">
      <c r="A131" s="5" t="s">
        <v>284</v>
      </c>
      <c r="B131" s="5" t="s">
        <v>285</v>
      </c>
      <c r="C131" s="5">
        <v>2013</v>
      </c>
      <c r="D131" s="5">
        <v>120.4</v>
      </c>
      <c r="E131" s="5">
        <v>30.43</v>
      </c>
      <c r="F131" s="5">
        <v>2012</v>
      </c>
      <c r="G131" s="29">
        <v>837</v>
      </c>
      <c r="H131" s="29">
        <v>724.5</v>
      </c>
      <c r="I131" s="29">
        <v>25.9</v>
      </c>
      <c r="J131" s="29">
        <v>1.3675000100000001</v>
      </c>
      <c r="K131" s="29">
        <v>22.875</v>
      </c>
      <c r="L131" s="29">
        <v>30.875</v>
      </c>
      <c r="M131" s="29">
        <v>46.25</v>
      </c>
      <c r="N131" s="29">
        <v>6.27</v>
      </c>
      <c r="O131" s="29">
        <v>7.1925754060324829</v>
      </c>
      <c r="P131" s="29">
        <v>0.75</v>
      </c>
      <c r="Q131" s="29">
        <f t="shared" ref="Q131:Q161" si="8">O131/P131</f>
        <v>9.5901005413766445</v>
      </c>
      <c r="R131" s="29">
        <v>0</v>
      </c>
      <c r="S131" s="79">
        <v>0.14898354545454545</v>
      </c>
      <c r="T131" s="44">
        <f>S131</f>
        <v>0.14898354545454545</v>
      </c>
      <c r="V131" s="80">
        <f t="shared" ref="V131:V162" si="9">U131*100</f>
        <v>0</v>
      </c>
    </row>
    <row r="132" spans="1:22" x14ac:dyDescent="0.3">
      <c r="A132" s="81" t="s">
        <v>284</v>
      </c>
      <c r="B132" s="81" t="s">
        <v>285</v>
      </c>
      <c r="C132" s="81">
        <v>2013</v>
      </c>
      <c r="D132" s="81">
        <v>120.4</v>
      </c>
      <c r="E132" s="81">
        <v>30.43</v>
      </c>
      <c r="F132" s="81">
        <v>2012</v>
      </c>
      <c r="G132" s="34">
        <v>837</v>
      </c>
      <c r="H132" s="34">
        <v>724.5</v>
      </c>
      <c r="I132" s="34">
        <v>25.9</v>
      </c>
      <c r="J132" s="34">
        <v>1.4</v>
      </c>
      <c r="K132" s="34">
        <v>38</v>
      </c>
      <c r="L132" s="34">
        <v>37</v>
      </c>
      <c r="M132" s="34">
        <v>25</v>
      </c>
      <c r="N132" s="34">
        <v>6.27</v>
      </c>
      <c r="O132" s="34">
        <v>7.19</v>
      </c>
      <c r="P132" s="34">
        <v>0.75</v>
      </c>
      <c r="Q132" s="34">
        <f t="shared" si="8"/>
        <v>9.5866666666666678</v>
      </c>
      <c r="R132" s="34">
        <v>180</v>
      </c>
      <c r="S132" s="82">
        <v>0.23875568181818183</v>
      </c>
      <c r="T132" s="34"/>
      <c r="U132" s="83">
        <f>(S132-S131)/R132</f>
        <v>4.9873409090909094E-4</v>
      </c>
      <c r="V132" s="83">
        <f t="shared" si="9"/>
        <v>4.9873409090909093E-2</v>
      </c>
    </row>
    <row r="133" spans="1:22" x14ac:dyDescent="0.3">
      <c r="A133" s="5" t="s">
        <v>286</v>
      </c>
      <c r="B133" s="5" t="s">
        <v>287</v>
      </c>
      <c r="C133" s="5">
        <v>2013</v>
      </c>
      <c r="D133" s="5">
        <v>119.4</v>
      </c>
      <c r="E133" s="5">
        <v>32.380000000000003</v>
      </c>
      <c r="F133" s="5">
        <v>2012</v>
      </c>
      <c r="G133" s="29">
        <v>532.5</v>
      </c>
      <c r="H133" s="29">
        <v>727.5</v>
      </c>
      <c r="I133" s="29">
        <v>24.55</v>
      </c>
      <c r="J133" s="29">
        <v>1.4672727299999999</v>
      </c>
      <c r="K133" s="29">
        <v>17.545454549999999</v>
      </c>
      <c r="L133" s="29">
        <v>48.272727269999997</v>
      </c>
      <c r="M133" s="29">
        <v>34.18181818</v>
      </c>
      <c r="N133" s="29">
        <v>6.8</v>
      </c>
      <c r="O133" s="29">
        <v>11.252900232018561</v>
      </c>
      <c r="P133" s="29">
        <v>1.1299999999999999</v>
      </c>
      <c r="Q133" s="29">
        <f t="shared" si="8"/>
        <v>9.9583187893969569</v>
      </c>
      <c r="R133" s="29">
        <v>0</v>
      </c>
      <c r="S133" s="79">
        <v>0.18072727272727271</v>
      </c>
      <c r="T133" s="44">
        <f>S133</f>
        <v>0.18072727272727271</v>
      </c>
      <c r="V133" s="80">
        <f t="shared" si="9"/>
        <v>0</v>
      </c>
    </row>
    <row r="134" spans="1:22" x14ac:dyDescent="0.3">
      <c r="A134" s="81" t="s">
        <v>286</v>
      </c>
      <c r="B134" s="81" t="s">
        <v>287</v>
      </c>
      <c r="C134" s="81">
        <v>2013</v>
      </c>
      <c r="D134" s="81">
        <v>119.4</v>
      </c>
      <c r="E134" s="81">
        <v>32.380000000000003</v>
      </c>
      <c r="F134" s="81">
        <v>2012</v>
      </c>
      <c r="G134" s="34">
        <v>532.5</v>
      </c>
      <c r="H134" s="34">
        <v>727.5</v>
      </c>
      <c r="I134" s="34">
        <v>24.55</v>
      </c>
      <c r="J134" s="34">
        <v>1.42</v>
      </c>
      <c r="K134" s="34">
        <v>37</v>
      </c>
      <c r="L134" s="34">
        <v>42</v>
      </c>
      <c r="M134" s="34">
        <v>21</v>
      </c>
      <c r="N134" s="34">
        <v>6.8</v>
      </c>
      <c r="O134" s="34">
        <v>11.71</v>
      </c>
      <c r="P134" s="34">
        <v>1.1299999999999999</v>
      </c>
      <c r="Q134" s="34">
        <f t="shared" si="8"/>
        <v>10.362831858407082</v>
      </c>
      <c r="R134" s="34">
        <v>270</v>
      </c>
      <c r="S134" s="82">
        <v>0.19918181818181815</v>
      </c>
      <c r="T134" s="34"/>
      <c r="U134" s="83">
        <f>(S134-0.1807)/R134</f>
        <v>6.8451178451178353E-5</v>
      </c>
      <c r="V134" s="83">
        <f t="shared" si="9"/>
        <v>6.8451178451178355E-3</v>
      </c>
    </row>
    <row r="135" spans="1:22" x14ac:dyDescent="0.3">
      <c r="A135" s="5" t="s">
        <v>288</v>
      </c>
      <c r="C135" s="5">
        <v>2013</v>
      </c>
      <c r="D135" s="5">
        <v>119.67</v>
      </c>
      <c r="E135" s="5">
        <v>31.5</v>
      </c>
      <c r="F135" s="5">
        <v>2012</v>
      </c>
      <c r="G135" s="29">
        <v>637.5</v>
      </c>
      <c r="H135" s="29">
        <v>766.5</v>
      </c>
      <c r="I135" s="29">
        <v>25.7</v>
      </c>
      <c r="J135" s="29">
        <v>1.38</v>
      </c>
      <c r="K135" s="29">
        <v>21</v>
      </c>
      <c r="L135" s="29">
        <v>29</v>
      </c>
      <c r="M135" s="29">
        <v>50</v>
      </c>
      <c r="N135" s="29">
        <v>6.7</v>
      </c>
      <c r="O135" s="29">
        <v>19.535962877030162</v>
      </c>
      <c r="P135" s="29">
        <v>1.78</v>
      </c>
      <c r="Q135" s="29">
        <f t="shared" si="8"/>
        <v>10.975260043275371</v>
      </c>
      <c r="R135" s="29">
        <v>0</v>
      </c>
      <c r="S135" s="79">
        <v>0.4028181818181818</v>
      </c>
      <c r="T135" s="44">
        <f>AVERAGE(S135,S140)</f>
        <v>0.53200000000000003</v>
      </c>
      <c r="V135" s="80">
        <f t="shared" si="9"/>
        <v>0</v>
      </c>
    </row>
    <row r="136" spans="1:22" x14ac:dyDescent="0.3">
      <c r="A136" s="5" t="s">
        <v>288</v>
      </c>
      <c r="C136" s="5">
        <v>2013</v>
      </c>
      <c r="D136" s="5">
        <v>119.67</v>
      </c>
      <c r="E136" s="5">
        <v>31.5</v>
      </c>
      <c r="F136" s="5">
        <v>2012</v>
      </c>
      <c r="G136" s="29">
        <v>637.5</v>
      </c>
      <c r="H136" s="29">
        <v>766.5</v>
      </c>
      <c r="I136" s="29">
        <v>25.7</v>
      </c>
      <c r="J136" s="29">
        <v>1.38</v>
      </c>
      <c r="K136" s="29">
        <v>38</v>
      </c>
      <c r="L136" s="29">
        <v>37</v>
      </c>
      <c r="M136" s="29">
        <v>25</v>
      </c>
      <c r="N136" s="29">
        <v>6.7</v>
      </c>
      <c r="O136" s="29">
        <v>19.535962877030162</v>
      </c>
      <c r="P136" s="29">
        <v>1.78</v>
      </c>
      <c r="Q136" s="29">
        <f t="shared" si="8"/>
        <v>10.975260043275371</v>
      </c>
      <c r="R136" s="29">
        <v>37.5</v>
      </c>
      <c r="S136" s="79">
        <v>0.6414545454545455</v>
      </c>
      <c r="U136" s="80">
        <f>(S136-0.4028)/R136</f>
        <v>6.3641212121212133E-3</v>
      </c>
      <c r="V136" s="80">
        <f t="shared" si="9"/>
        <v>0.63641212121212132</v>
      </c>
    </row>
    <row r="137" spans="1:22" x14ac:dyDescent="0.3">
      <c r="A137" s="5" t="s">
        <v>288</v>
      </c>
      <c r="C137" s="5">
        <v>2013</v>
      </c>
      <c r="D137" s="5">
        <v>119.67</v>
      </c>
      <c r="E137" s="5">
        <v>31.5</v>
      </c>
      <c r="F137" s="5">
        <v>2012</v>
      </c>
      <c r="G137" s="29">
        <v>637.5</v>
      </c>
      <c r="H137" s="29">
        <v>766.5</v>
      </c>
      <c r="I137" s="29">
        <v>25.7</v>
      </c>
      <c r="J137" s="29">
        <v>1.38</v>
      </c>
      <c r="K137" s="29">
        <v>38</v>
      </c>
      <c r="L137" s="29">
        <v>37</v>
      </c>
      <c r="M137" s="29">
        <v>25</v>
      </c>
      <c r="N137" s="29">
        <v>6.7</v>
      </c>
      <c r="O137" s="29">
        <v>19.535962877030162</v>
      </c>
      <c r="P137" s="29">
        <v>1.78</v>
      </c>
      <c r="Q137" s="29">
        <f t="shared" si="8"/>
        <v>10.975260043275371</v>
      </c>
      <c r="R137" s="29">
        <v>75</v>
      </c>
      <c r="S137" s="79">
        <v>1.6004545454545456</v>
      </c>
      <c r="U137" s="80">
        <f>(S137-0.4028)/R137</f>
        <v>1.5968727272727273E-2</v>
      </c>
      <c r="V137" s="80">
        <f t="shared" si="9"/>
        <v>1.5968727272727272</v>
      </c>
    </row>
    <row r="138" spans="1:22" x14ac:dyDescent="0.3">
      <c r="A138" s="5" t="s">
        <v>288</v>
      </c>
      <c r="C138" s="5">
        <v>2013</v>
      </c>
      <c r="D138" s="5">
        <v>119.67</v>
      </c>
      <c r="E138" s="5">
        <v>31.5</v>
      </c>
      <c r="F138" s="5">
        <v>2012</v>
      </c>
      <c r="G138" s="29">
        <v>637.5</v>
      </c>
      <c r="H138" s="29">
        <v>766.5</v>
      </c>
      <c r="I138" s="29">
        <v>25.7</v>
      </c>
      <c r="J138" s="29">
        <v>1.38</v>
      </c>
      <c r="K138" s="29">
        <v>38</v>
      </c>
      <c r="L138" s="29">
        <v>37</v>
      </c>
      <c r="M138" s="29">
        <v>25</v>
      </c>
      <c r="N138" s="29">
        <v>6.7</v>
      </c>
      <c r="O138" s="29">
        <v>19.535962877030162</v>
      </c>
      <c r="P138" s="29">
        <v>1.78</v>
      </c>
      <c r="Q138" s="29">
        <f t="shared" si="8"/>
        <v>10.975260043275371</v>
      </c>
      <c r="R138" s="29">
        <v>112.5</v>
      </c>
      <c r="S138" s="79">
        <v>0.87309090909090914</v>
      </c>
      <c r="U138" s="80">
        <f>(S138-0.4028)/R138</f>
        <v>4.1803636363636366E-3</v>
      </c>
      <c r="V138" s="80">
        <f t="shared" si="9"/>
        <v>0.41803636363636365</v>
      </c>
    </row>
    <row r="139" spans="1:22" x14ac:dyDescent="0.3">
      <c r="A139" s="5" t="s">
        <v>288</v>
      </c>
      <c r="C139" s="5">
        <v>2013</v>
      </c>
      <c r="D139" s="5">
        <v>119.67</v>
      </c>
      <c r="E139" s="5">
        <v>31.5</v>
      </c>
      <c r="F139" s="5">
        <v>2012</v>
      </c>
      <c r="G139" s="29">
        <v>637.5</v>
      </c>
      <c r="H139" s="29">
        <v>766.5</v>
      </c>
      <c r="I139" s="29">
        <v>25.7</v>
      </c>
      <c r="J139" s="29">
        <v>1.38</v>
      </c>
      <c r="K139" s="29">
        <v>38</v>
      </c>
      <c r="L139" s="29">
        <v>37</v>
      </c>
      <c r="M139" s="29">
        <v>25</v>
      </c>
      <c r="N139" s="29">
        <v>6.7</v>
      </c>
      <c r="O139" s="29">
        <v>19.535962877030162</v>
      </c>
      <c r="P139" s="29">
        <v>1.78</v>
      </c>
      <c r="Q139" s="29">
        <f t="shared" si="8"/>
        <v>10.975260043275371</v>
      </c>
      <c r="R139" s="29">
        <v>150</v>
      </c>
      <c r="S139" s="79">
        <v>1.2619090909090909</v>
      </c>
      <c r="U139" s="80">
        <f>(S139-0.4028)/R139</f>
        <v>5.7273939393939384E-3</v>
      </c>
      <c r="V139" s="80">
        <f t="shared" si="9"/>
        <v>0.57273939393939388</v>
      </c>
    </row>
    <row r="140" spans="1:22" x14ac:dyDescent="0.3">
      <c r="A140" s="5" t="s">
        <v>288</v>
      </c>
      <c r="C140" s="5">
        <v>2013</v>
      </c>
      <c r="D140" s="5">
        <v>119.67</v>
      </c>
      <c r="E140" s="5">
        <v>31.5</v>
      </c>
      <c r="F140" s="5">
        <v>2012</v>
      </c>
      <c r="G140" s="29">
        <v>637.5</v>
      </c>
      <c r="H140" s="29">
        <v>766.5</v>
      </c>
      <c r="I140" s="29">
        <v>25.7</v>
      </c>
      <c r="J140" s="29">
        <v>1.38</v>
      </c>
      <c r="K140" s="29">
        <v>21</v>
      </c>
      <c r="L140" s="29">
        <v>29</v>
      </c>
      <c r="M140" s="29">
        <v>50</v>
      </c>
      <c r="N140" s="29">
        <v>6.7</v>
      </c>
      <c r="O140" s="29">
        <v>19.535962877030162</v>
      </c>
      <c r="P140" s="29">
        <v>1.78</v>
      </c>
      <c r="Q140" s="29">
        <f t="shared" si="8"/>
        <v>10.975260043275371</v>
      </c>
      <c r="R140" s="29">
        <v>0</v>
      </c>
      <c r="S140" s="79">
        <v>0.6611818181818182</v>
      </c>
      <c r="V140" s="80">
        <f t="shared" si="9"/>
        <v>0</v>
      </c>
    </row>
    <row r="141" spans="1:22" x14ac:dyDescent="0.3">
      <c r="A141" s="5" t="s">
        <v>288</v>
      </c>
      <c r="C141" s="5">
        <v>2013</v>
      </c>
      <c r="D141" s="5">
        <v>119.67</v>
      </c>
      <c r="E141" s="5">
        <v>31.5</v>
      </c>
      <c r="F141" s="5">
        <v>2012</v>
      </c>
      <c r="G141" s="29">
        <v>637.5</v>
      </c>
      <c r="H141" s="29">
        <v>766.5</v>
      </c>
      <c r="I141" s="29">
        <v>25.7</v>
      </c>
      <c r="J141" s="29">
        <v>1.38</v>
      </c>
      <c r="K141" s="29">
        <v>21</v>
      </c>
      <c r="L141" s="29">
        <v>29</v>
      </c>
      <c r="M141" s="29">
        <v>50</v>
      </c>
      <c r="N141" s="29">
        <v>6.7</v>
      </c>
      <c r="O141" s="29">
        <v>19.535962877030162</v>
      </c>
      <c r="P141" s="29">
        <v>1.78</v>
      </c>
      <c r="Q141" s="29">
        <f t="shared" si="8"/>
        <v>10.975260043275371</v>
      </c>
      <c r="R141" s="29">
        <v>52.5</v>
      </c>
      <c r="S141" s="79">
        <v>0.56572727272727275</v>
      </c>
      <c r="U141" s="80">
        <f>(S141-0.661182)/R141</f>
        <v>-1.818185281385282E-3</v>
      </c>
      <c r="V141" s="80">
        <f t="shared" si="9"/>
        <v>-0.1818185281385282</v>
      </c>
    </row>
    <row r="142" spans="1:22" x14ac:dyDescent="0.3">
      <c r="A142" s="5" t="s">
        <v>288</v>
      </c>
      <c r="C142" s="5">
        <v>2013</v>
      </c>
      <c r="D142" s="5">
        <v>119.67</v>
      </c>
      <c r="E142" s="5">
        <v>31.5</v>
      </c>
      <c r="F142" s="5">
        <v>2012</v>
      </c>
      <c r="G142" s="29">
        <v>637.5</v>
      </c>
      <c r="H142" s="29">
        <v>766.5</v>
      </c>
      <c r="I142" s="29">
        <v>25.7</v>
      </c>
      <c r="J142" s="29">
        <v>1.38</v>
      </c>
      <c r="K142" s="29">
        <v>21</v>
      </c>
      <c r="L142" s="29">
        <v>29</v>
      </c>
      <c r="M142" s="29">
        <v>50</v>
      </c>
      <c r="N142" s="29">
        <v>6.7</v>
      </c>
      <c r="O142" s="29">
        <v>19.535962877030162</v>
      </c>
      <c r="P142" s="29">
        <v>1.78</v>
      </c>
      <c r="Q142" s="29">
        <f t="shared" si="8"/>
        <v>10.975260043275371</v>
      </c>
      <c r="R142" s="29">
        <v>105</v>
      </c>
      <c r="S142" s="79">
        <v>0.54472727272727273</v>
      </c>
      <c r="U142" s="80">
        <f>(S142-0.661182)/R142</f>
        <v>-1.1090926406926412E-3</v>
      </c>
      <c r="V142" s="80">
        <f t="shared" si="9"/>
        <v>-0.11090926406926412</v>
      </c>
    </row>
    <row r="143" spans="1:22" x14ac:dyDescent="0.3">
      <c r="A143" s="5" t="s">
        <v>288</v>
      </c>
      <c r="C143" s="5">
        <v>2013</v>
      </c>
      <c r="D143" s="5">
        <v>119.67</v>
      </c>
      <c r="E143" s="5">
        <v>31.5</v>
      </c>
      <c r="F143" s="5">
        <v>2012</v>
      </c>
      <c r="G143" s="29">
        <v>637.5</v>
      </c>
      <c r="H143" s="29">
        <v>766.5</v>
      </c>
      <c r="I143" s="29">
        <v>25.7</v>
      </c>
      <c r="J143" s="29">
        <v>1.38</v>
      </c>
      <c r="K143" s="29">
        <v>38</v>
      </c>
      <c r="L143" s="29">
        <v>37</v>
      </c>
      <c r="M143" s="29">
        <v>25</v>
      </c>
      <c r="N143" s="29">
        <v>6.7</v>
      </c>
      <c r="O143" s="29">
        <v>19.535962877030162</v>
      </c>
      <c r="P143" s="29">
        <v>1.78</v>
      </c>
      <c r="Q143" s="29">
        <f t="shared" si="8"/>
        <v>10.975260043275371</v>
      </c>
      <c r="R143" s="29">
        <v>157.5</v>
      </c>
      <c r="S143" s="79">
        <v>0.75027272727272731</v>
      </c>
      <c r="U143" s="80">
        <f>(S143-0.661182)/R143</f>
        <v>5.6565541125541121E-4</v>
      </c>
      <c r="V143" s="80">
        <f t="shared" si="9"/>
        <v>5.6565541125541123E-2</v>
      </c>
    </row>
    <row r="144" spans="1:22" x14ac:dyDescent="0.3">
      <c r="A144" s="81" t="s">
        <v>288</v>
      </c>
      <c r="B144" s="81"/>
      <c r="C144" s="81">
        <v>2013</v>
      </c>
      <c r="D144" s="81">
        <v>119.67</v>
      </c>
      <c r="E144" s="81">
        <v>31.5</v>
      </c>
      <c r="F144" s="81">
        <v>2012</v>
      </c>
      <c r="G144" s="34">
        <v>637.5</v>
      </c>
      <c r="H144" s="34">
        <v>766.5</v>
      </c>
      <c r="I144" s="34">
        <v>25.7</v>
      </c>
      <c r="J144" s="34">
        <v>1.38</v>
      </c>
      <c r="K144" s="29">
        <v>38</v>
      </c>
      <c r="L144" s="29">
        <v>37</v>
      </c>
      <c r="M144" s="29">
        <v>25</v>
      </c>
      <c r="N144" s="34">
        <v>6.7</v>
      </c>
      <c r="O144" s="34">
        <v>19.535962877030162</v>
      </c>
      <c r="P144" s="34">
        <v>1.78</v>
      </c>
      <c r="Q144" s="34">
        <f t="shared" si="8"/>
        <v>10.975260043275371</v>
      </c>
      <c r="R144" s="34">
        <v>210</v>
      </c>
      <c r="S144" s="82">
        <v>0.86036363636363644</v>
      </c>
      <c r="T144" s="34"/>
      <c r="U144" s="83">
        <f>(S144-0.661182)/R144</f>
        <v>9.4848398268398287E-4</v>
      </c>
      <c r="V144" s="83">
        <f t="shared" si="9"/>
        <v>9.484839826839829E-2</v>
      </c>
    </row>
    <row r="145" spans="1:23" x14ac:dyDescent="0.3">
      <c r="A145" s="84" t="s">
        <v>289</v>
      </c>
      <c r="B145" s="84" t="s">
        <v>290</v>
      </c>
      <c r="C145" s="84">
        <v>2012</v>
      </c>
      <c r="D145" s="84">
        <v>119.68</v>
      </c>
      <c r="E145" s="84">
        <v>31.4</v>
      </c>
      <c r="F145" s="84">
        <v>2009</v>
      </c>
      <c r="G145" s="85">
        <v>747</v>
      </c>
      <c r="H145" s="85">
        <v>859.5</v>
      </c>
      <c r="I145" s="85">
        <v>25.81</v>
      </c>
      <c r="J145" s="85">
        <v>1.01</v>
      </c>
      <c r="K145" s="85">
        <v>17.333333329999999</v>
      </c>
      <c r="L145" s="85">
        <v>35.5</v>
      </c>
      <c r="M145" s="85">
        <v>36.055555560000002</v>
      </c>
      <c r="N145" s="85">
        <v>6.51</v>
      </c>
      <c r="O145" s="85">
        <v>23.5</v>
      </c>
      <c r="P145" s="85">
        <v>1.78</v>
      </c>
      <c r="Q145" s="85">
        <f t="shared" si="8"/>
        <v>13.202247191011235</v>
      </c>
      <c r="R145" s="85">
        <v>0</v>
      </c>
      <c r="S145" s="65">
        <v>0.76</v>
      </c>
      <c r="T145" s="85">
        <f>S145</f>
        <v>0.76</v>
      </c>
      <c r="U145" s="86"/>
      <c r="V145" s="86">
        <f t="shared" si="9"/>
        <v>0</v>
      </c>
    </row>
    <row r="146" spans="1:23" x14ac:dyDescent="0.3">
      <c r="A146" s="5" t="s">
        <v>291</v>
      </c>
      <c r="B146" s="5" t="s">
        <v>292</v>
      </c>
      <c r="C146" s="5">
        <v>2012</v>
      </c>
      <c r="D146" s="5">
        <v>113.65</v>
      </c>
      <c r="E146" s="5">
        <v>28.17</v>
      </c>
      <c r="F146" s="5">
        <v>2010</v>
      </c>
      <c r="G146" s="29">
        <v>1104</v>
      </c>
      <c r="H146" s="29">
        <v>496.5</v>
      </c>
      <c r="I146" s="29">
        <v>25.9</v>
      </c>
      <c r="J146" s="29">
        <v>1.35591836</v>
      </c>
      <c r="K146" s="29">
        <v>31.714285709999999</v>
      </c>
      <c r="L146" s="29">
        <v>36.6122449</v>
      </c>
      <c r="M146" s="29">
        <v>31.673469390000001</v>
      </c>
      <c r="N146" s="29">
        <v>5.7</v>
      </c>
      <c r="O146" s="29">
        <v>32.08</v>
      </c>
      <c r="P146" s="29">
        <v>1.1299999999999999</v>
      </c>
      <c r="Q146" s="29">
        <f t="shared" si="8"/>
        <v>28.389380530973451</v>
      </c>
      <c r="R146" s="29">
        <v>0</v>
      </c>
      <c r="S146" s="79">
        <v>5.2818181818181799E-2</v>
      </c>
      <c r="T146" s="44">
        <f>AVERAGE(S146,S151)</f>
        <v>5.9818181818181798E-2</v>
      </c>
      <c r="V146" s="80">
        <f t="shared" si="9"/>
        <v>0</v>
      </c>
    </row>
    <row r="147" spans="1:23" x14ac:dyDescent="0.3">
      <c r="A147" s="5" t="s">
        <v>291</v>
      </c>
      <c r="B147" s="5" t="s">
        <v>292</v>
      </c>
      <c r="C147" s="5">
        <v>2012</v>
      </c>
      <c r="D147" s="5">
        <v>113.65</v>
      </c>
      <c r="E147" s="5">
        <v>28.17</v>
      </c>
      <c r="F147" s="5">
        <v>2010</v>
      </c>
      <c r="G147" s="29">
        <v>1104</v>
      </c>
      <c r="H147" s="29">
        <v>496.5</v>
      </c>
      <c r="I147" s="29">
        <v>25.9</v>
      </c>
      <c r="J147" s="29">
        <v>1.4</v>
      </c>
      <c r="K147" s="29">
        <v>38</v>
      </c>
      <c r="L147" s="29">
        <v>37</v>
      </c>
      <c r="M147" s="29">
        <v>25</v>
      </c>
      <c r="N147" s="29">
        <v>6.3</v>
      </c>
      <c r="O147" s="29">
        <v>14.36</v>
      </c>
      <c r="P147" s="29">
        <v>1.1299999999999999</v>
      </c>
      <c r="Q147" s="29">
        <f t="shared" si="8"/>
        <v>12.707964601769913</v>
      </c>
      <c r="R147" s="29">
        <v>150</v>
      </c>
      <c r="S147" s="79">
        <v>0.12854545454545499</v>
      </c>
      <c r="U147" s="80">
        <f>(S147-0.052818)/R147</f>
        <v>5.0484969696969987E-4</v>
      </c>
      <c r="V147" s="80">
        <f t="shared" si="9"/>
        <v>5.0484969696969986E-2</v>
      </c>
    </row>
    <row r="148" spans="1:23" x14ac:dyDescent="0.3">
      <c r="A148" s="5" t="s">
        <v>291</v>
      </c>
      <c r="B148" s="5" t="s">
        <v>292</v>
      </c>
      <c r="C148" s="5">
        <v>2012</v>
      </c>
      <c r="D148" s="5">
        <v>113.65</v>
      </c>
      <c r="E148" s="5">
        <v>28.17</v>
      </c>
      <c r="F148" s="5">
        <v>2010</v>
      </c>
      <c r="G148" s="29">
        <v>1104</v>
      </c>
      <c r="H148" s="29">
        <v>496.5</v>
      </c>
      <c r="I148" s="29">
        <v>25.9</v>
      </c>
      <c r="J148" s="29">
        <v>1.4</v>
      </c>
      <c r="K148" s="29">
        <v>38</v>
      </c>
      <c r="L148" s="29">
        <v>37</v>
      </c>
      <c r="M148" s="29">
        <v>25</v>
      </c>
      <c r="N148" s="29">
        <v>6.3</v>
      </c>
      <c r="O148" s="29">
        <v>14.36</v>
      </c>
      <c r="P148" s="29">
        <v>1.1299999999999999</v>
      </c>
      <c r="Q148" s="29">
        <f t="shared" si="8"/>
        <v>12.707964601769913</v>
      </c>
      <c r="R148" s="29">
        <v>120</v>
      </c>
      <c r="S148" s="79">
        <v>0.115818181818182</v>
      </c>
      <c r="U148" s="80">
        <f>(S148-0.052818)/R148</f>
        <v>5.2500151515151681E-4</v>
      </c>
      <c r="V148" s="80">
        <f t="shared" si="9"/>
        <v>5.250015151515168E-2</v>
      </c>
    </row>
    <row r="149" spans="1:23" x14ac:dyDescent="0.3">
      <c r="A149" s="5" t="s">
        <v>291</v>
      </c>
      <c r="B149" s="5" t="s">
        <v>292</v>
      </c>
      <c r="C149" s="5">
        <v>2012</v>
      </c>
      <c r="D149" s="5">
        <v>113.65</v>
      </c>
      <c r="E149" s="5">
        <v>28.17</v>
      </c>
      <c r="F149" s="5">
        <v>2010</v>
      </c>
      <c r="G149" s="29">
        <v>1104</v>
      </c>
      <c r="H149" s="29">
        <v>496.5</v>
      </c>
      <c r="I149" s="29">
        <v>25.9</v>
      </c>
      <c r="J149" s="29">
        <v>1.4</v>
      </c>
      <c r="K149" s="29">
        <v>38</v>
      </c>
      <c r="L149" s="29">
        <v>37</v>
      </c>
      <c r="M149" s="29">
        <v>25</v>
      </c>
      <c r="N149" s="29">
        <v>6.3</v>
      </c>
      <c r="O149" s="29">
        <v>14.36</v>
      </c>
      <c r="P149" s="29">
        <v>1.1299999999999999</v>
      </c>
      <c r="Q149" s="29">
        <f t="shared" si="8"/>
        <v>12.707964601769913</v>
      </c>
      <c r="R149" s="29">
        <v>180</v>
      </c>
      <c r="S149" s="79">
        <v>0.10054545454545501</v>
      </c>
      <c r="U149" s="80">
        <f>(S149-0.052818)/R149</f>
        <v>2.6515252525252783E-4</v>
      </c>
      <c r="V149" s="80">
        <f t="shared" si="9"/>
        <v>2.6515252525252782E-2</v>
      </c>
    </row>
    <row r="150" spans="1:23" x14ac:dyDescent="0.3">
      <c r="A150" s="5" t="s">
        <v>291</v>
      </c>
      <c r="B150" s="5" t="s">
        <v>292</v>
      </c>
      <c r="C150" s="5">
        <v>2012</v>
      </c>
      <c r="D150" s="5">
        <v>113.65</v>
      </c>
      <c r="E150" s="5">
        <v>28.17</v>
      </c>
      <c r="F150" s="5">
        <v>2010</v>
      </c>
      <c r="G150" s="29">
        <v>1104</v>
      </c>
      <c r="H150" s="29">
        <v>496.5</v>
      </c>
      <c r="I150" s="29">
        <v>25.9</v>
      </c>
      <c r="J150" s="29">
        <v>1.4</v>
      </c>
      <c r="K150" s="29">
        <v>38</v>
      </c>
      <c r="L150" s="29">
        <v>37</v>
      </c>
      <c r="M150" s="29">
        <v>25</v>
      </c>
      <c r="N150" s="29">
        <v>6.3</v>
      </c>
      <c r="O150" s="29">
        <v>14.36</v>
      </c>
      <c r="P150" s="29">
        <v>1.1299999999999999</v>
      </c>
      <c r="Q150" s="29">
        <f t="shared" si="8"/>
        <v>12.707964601769913</v>
      </c>
      <c r="R150" s="29">
        <v>150</v>
      </c>
      <c r="S150" s="79">
        <v>0.13109090909090901</v>
      </c>
      <c r="U150" s="80">
        <f>(S150-0.052818)/R150</f>
        <v>5.2181939393939334E-4</v>
      </c>
      <c r="V150" s="80">
        <f t="shared" si="9"/>
        <v>5.2181939393939336E-2</v>
      </c>
    </row>
    <row r="151" spans="1:23" x14ac:dyDescent="0.3">
      <c r="A151" s="5" t="s">
        <v>291</v>
      </c>
      <c r="B151" s="5" t="s">
        <v>292</v>
      </c>
      <c r="C151" s="5">
        <v>2012</v>
      </c>
      <c r="D151" s="5">
        <v>113.65</v>
      </c>
      <c r="E151" s="5">
        <v>28.17</v>
      </c>
      <c r="F151" s="5">
        <v>2010</v>
      </c>
      <c r="G151" s="29">
        <v>1104</v>
      </c>
      <c r="H151" s="29">
        <v>496.5</v>
      </c>
      <c r="I151" s="29">
        <v>25.9</v>
      </c>
      <c r="J151" s="29">
        <v>1.35591836</v>
      </c>
      <c r="K151" s="29">
        <v>31.714285709999999</v>
      </c>
      <c r="L151" s="29">
        <v>36.6122449</v>
      </c>
      <c r="M151" s="29">
        <v>31.673469390000001</v>
      </c>
      <c r="N151" s="29">
        <v>5.7</v>
      </c>
      <c r="O151" s="29">
        <v>32.08</v>
      </c>
      <c r="P151" s="29">
        <v>1.1299999999999999</v>
      </c>
      <c r="Q151" s="29">
        <f t="shared" si="8"/>
        <v>28.389380530973451</v>
      </c>
      <c r="R151" s="29">
        <v>0</v>
      </c>
      <c r="S151" s="79">
        <v>6.6818181818181804E-2</v>
      </c>
      <c r="V151" s="80">
        <f t="shared" si="9"/>
        <v>0</v>
      </c>
    </row>
    <row r="152" spans="1:23" x14ac:dyDescent="0.3">
      <c r="A152" s="5" t="s">
        <v>291</v>
      </c>
      <c r="B152" s="5" t="s">
        <v>292</v>
      </c>
      <c r="C152" s="5">
        <v>2012</v>
      </c>
      <c r="D152" s="5">
        <v>113.65</v>
      </c>
      <c r="E152" s="5">
        <v>28.17</v>
      </c>
      <c r="F152" s="5">
        <v>2010</v>
      </c>
      <c r="G152" s="29">
        <v>1104</v>
      </c>
      <c r="H152" s="29">
        <v>496.5</v>
      </c>
      <c r="I152" s="29">
        <v>25.9</v>
      </c>
      <c r="J152" s="29">
        <v>1.4</v>
      </c>
      <c r="K152" s="29">
        <v>38</v>
      </c>
      <c r="L152" s="29">
        <v>37</v>
      </c>
      <c r="M152" s="29">
        <v>25</v>
      </c>
      <c r="N152" s="29">
        <v>6.3</v>
      </c>
      <c r="O152" s="29">
        <v>14.36</v>
      </c>
      <c r="P152" s="29">
        <v>1.1299999999999999</v>
      </c>
      <c r="Q152" s="29">
        <f t="shared" si="8"/>
        <v>12.707964601769913</v>
      </c>
      <c r="R152" s="29">
        <v>165</v>
      </c>
      <c r="S152" s="79">
        <v>0.11072727272727299</v>
      </c>
      <c r="U152" s="80">
        <f>(S152-0.066818)/R152</f>
        <v>2.6611680440771508E-4</v>
      </c>
      <c r="V152" s="80">
        <f t="shared" si="9"/>
        <v>2.6611680440771508E-2</v>
      </c>
    </row>
    <row r="153" spans="1:23" x14ac:dyDescent="0.3">
      <c r="A153" s="5" t="s">
        <v>291</v>
      </c>
      <c r="B153" s="5" t="s">
        <v>292</v>
      </c>
      <c r="C153" s="5">
        <v>2012</v>
      </c>
      <c r="D153" s="5">
        <v>113.65</v>
      </c>
      <c r="E153" s="5">
        <v>28.17</v>
      </c>
      <c r="F153" s="5">
        <v>2010</v>
      </c>
      <c r="G153" s="29">
        <v>1104</v>
      </c>
      <c r="H153" s="29">
        <v>496.5</v>
      </c>
      <c r="I153" s="29">
        <v>25.9</v>
      </c>
      <c r="J153" s="29">
        <v>1.4</v>
      </c>
      <c r="K153" s="29">
        <v>38</v>
      </c>
      <c r="L153" s="29">
        <v>37</v>
      </c>
      <c r="M153" s="29">
        <v>25</v>
      </c>
      <c r="N153" s="29">
        <v>6.3</v>
      </c>
      <c r="O153" s="29">
        <v>14.36</v>
      </c>
      <c r="P153" s="29">
        <v>1.1299999999999999</v>
      </c>
      <c r="Q153" s="29">
        <f t="shared" si="8"/>
        <v>12.707964601769913</v>
      </c>
      <c r="R153" s="29">
        <v>135</v>
      </c>
      <c r="S153" s="79">
        <v>0.146363636363636</v>
      </c>
      <c r="U153" s="80">
        <f>(S153-0.066818)/R153</f>
        <v>5.8922693602693336E-4</v>
      </c>
      <c r="V153" s="80">
        <f t="shared" si="9"/>
        <v>5.8922693602693338E-2</v>
      </c>
    </row>
    <row r="154" spans="1:23" x14ac:dyDescent="0.3">
      <c r="A154" s="5" t="s">
        <v>291</v>
      </c>
      <c r="B154" s="5" t="s">
        <v>292</v>
      </c>
      <c r="C154" s="5">
        <v>2012</v>
      </c>
      <c r="D154" s="5">
        <v>113.65</v>
      </c>
      <c r="E154" s="5">
        <v>28.17</v>
      </c>
      <c r="F154" s="5">
        <v>2010</v>
      </c>
      <c r="G154" s="29">
        <v>1104</v>
      </c>
      <c r="H154" s="29">
        <v>496.5</v>
      </c>
      <c r="I154" s="29">
        <v>25.9</v>
      </c>
      <c r="J154" s="29">
        <v>1.4</v>
      </c>
      <c r="K154" s="29">
        <v>38</v>
      </c>
      <c r="L154" s="29">
        <v>37</v>
      </c>
      <c r="M154" s="29">
        <v>25</v>
      </c>
      <c r="N154" s="29">
        <v>6.3</v>
      </c>
      <c r="O154" s="29">
        <v>14.36</v>
      </c>
      <c r="P154" s="29">
        <v>1.1299999999999999</v>
      </c>
      <c r="Q154" s="29">
        <f t="shared" si="8"/>
        <v>12.707964601769913</v>
      </c>
      <c r="R154" s="29">
        <v>195</v>
      </c>
      <c r="S154" s="79">
        <v>0.15463636363636399</v>
      </c>
      <c r="U154" s="80">
        <f>(S154-0.066818)/R154</f>
        <v>4.5035058275058452E-4</v>
      </c>
      <c r="V154" s="80">
        <f t="shared" si="9"/>
        <v>4.5035058275058451E-2</v>
      </c>
    </row>
    <row r="155" spans="1:23" s="6" customFormat="1" x14ac:dyDescent="0.3">
      <c r="A155" s="81" t="s">
        <v>291</v>
      </c>
      <c r="B155" s="81" t="s">
        <v>292</v>
      </c>
      <c r="C155" s="81">
        <v>2012</v>
      </c>
      <c r="D155" s="81">
        <v>113.65</v>
      </c>
      <c r="E155" s="81">
        <v>28.17</v>
      </c>
      <c r="F155" s="81">
        <v>2010</v>
      </c>
      <c r="G155" s="34">
        <v>1104</v>
      </c>
      <c r="H155" s="34">
        <v>496.5</v>
      </c>
      <c r="I155" s="34">
        <v>25.9</v>
      </c>
      <c r="J155" s="34">
        <v>1.4</v>
      </c>
      <c r="K155" s="34">
        <v>38</v>
      </c>
      <c r="L155" s="34">
        <v>37</v>
      </c>
      <c r="M155" s="34">
        <v>25</v>
      </c>
      <c r="N155" s="34">
        <v>6.3</v>
      </c>
      <c r="O155" s="34">
        <v>14.36</v>
      </c>
      <c r="P155" s="34">
        <v>1.1299999999999999</v>
      </c>
      <c r="Q155" s="34">
        <f t="shared" si="8"/>
        <v>12.707964601769913</v>
      </c>
      <c r="R155" s="34">
        <v>165</v>
      </c>
      <c r="S155" s="82">
        <v>0.14381818181818201</v>
      </c>
      <c r="T155" s="34"/>
      <c r="U155" s="83">
        <f>(S155-0.066818)/R155</f>
        <v>4.6666776859504247E-4</v>
      </c>
      <c r="V155" s="83">
        <f t="shared" si="9"/>
        <v>4.6666776859504246E-2</v>
      </c>
      <c r="W155" s="81"/>
    </row>
    <row r="156" spans="1:23" x14ac:dyDescent="0.3">
      <c r="A156" s="5" t="s">
        <v>293</v>
      </c>
      <c r="C156" s="5">
        <v>2013</v>
      </c>
      <c r="D156" s="5">
        <v>112.82</v>
      </c>
      <c r="E156" s="5">
        <v>28.36</v>
      </c>
      <c r="F156" s="5">
        <v>2010</v>
      </c>
      <c r="G156" s="29">
        <v>1002</v>
      </c>
      <c r="H156" s="29">
        <v>556.5</v>
      </c>
      <c r="I156" s="29">
        <v>27.67</v>
      </c>
      <c r="J156" s="29">
        <v>1.36923076</v>
      </c>
      <c r="K156" s="29">
        <v>25.46153846</v>
      </c>
      <c r="L156" s="29">
        <v>34.30769231</v>
      </c>
      <c r="M156" s="29">
        <v>40.23076923</v>
      </c>
      <c r="N156" s="29">
        <v>6.6</v>
      </c>
      <c r="O156" s="29">
        <v>20.6</v>
      </c>
      <c r="P156" s="29">
        <v>2.0499999999999998</v>
      </c>
      <c r="Q156" s="29">
        <f t="shared" si="8"/>
        <v>10.04878048780488</v>
      </c>
      <c r="R156" s="29">
        <v>0</v>
      </c>
      <c r="S156" s="79">
        <v>7.0000000000000007E-2</v>
      </c>
      <c r="T156" s="44">
        <f>AVERAGE(S156,S158)</f>
        <v>0.17181818181818201</v>
      </c>
      <c r="V156" s="80">
        <f t="shared" si="9"/>
        <v>0</v>
      </c>
    </row>
    <row r="157" spans="1:23" x14ac:dyDescent="0.3">
      <c r="A157" s="5" t="s">
        <v>293</v>
      </c>
      <c r="C157" s="5">
        <v>2013</v>
      </c>
      <c r="D157" s="5">
        <v>112.82</v>
      </c>
      <c r="E157" s="5">
        <v>28.36</v>
      </c>
      <c r="F157" s="5">
        <v>2010</v>
      </c>
      <c r="G157" s="29">
        <v>1002</v>
      </c>
      <c r="H157" s="29">
        <v>556.5</v>
      </c>
      <c r="I157" s="29">
        <v>27.67</v>
      </c>
      <c r="J157" s="29">
        <v>1.07</v>
      </c>
      <c r="K157" s="29">
        <v>53</v>
      </c>
      <c r="L157" s="29">
        <v>28</v>
      </c>
      <c r="M157" s="29">
        <v>19</v>
      </c>
      <c r="N157" s="29">
        <v>6.6</v>
      </c>
      <c r="O157" s="29">
        <v>20.6</v>
      </c>
      <c r="P157" s="29">
        <v>2.0499999999999998</v>
      </c>
      <c r="Q157" s="29">
        <f t="shared" si="8"/>
        <v>10.04878048780488</v>
      </c>
      <c r="R157" s="29">
        <v>330</v>
      </c>
      <c r="S157" s="79">
        <v>1.1963636363636401</v>
      </c>
      <c r="U157" s="80">
        <f>(S157-S156)/R157</f>
        <v>3.4132231404958788E-3</v>
      </c>
      <c r="V157" s="80">
        <f t="shared" si="9"/>
        <v>0.3413223140495879</v>
      </c>
    </row>
    <row r="158" spans="1:23" x14ac:dyDescent="0.3">
      <c r="A158" s="5" t="s">
        <v>293</v>
      </c>
      <c r="C158" s="5">
        <v>2013</v>
      </c>
      <c r="D158" s="5">
        <v>116.23</v>
      </c>
      <c r="E158" s="5">
        <v>28.38</v>
      </c>
      <c r="F158" s="5">
        <v>2010</v>
      </c>
      <c r="G158" s="29">
        <v>1730.9999999999998</v>
      </c>
      <c r="H158" s="29">
        <v>505.5</v>
      </c>
      <c r="I158" s="29">
        <v>21.64</v>
      </c>
      <c r="J158" s="29">
        <v>1.2472727100000001</v>
      </c>
      <c r="K158" s="29">
        <v>23.045454549999999</v>
      </c>
      <c r="L158" s="29">
        <v>32.363636360000001</v>
      </c>
      <c r="M158" s="29">
        <v>35.5</v>
      </c>
      <c r="N158" s="29">
        <v>6.9</v>
      </c>
      <c r="O158" s="29">
        <v>16.3</v>
      </c>
      <c r="P158" s="29">
        <v>1.49</v>
      </c>
      <c r="Q158" s="29">
        <f t="shared" si="8"/>
        <v>10.939597315436242</v>
      </c>
      <c r="R158" s="29">
        <v>0</v>
      </c>
      <c r="S158" s="79">
        <v>0.27363636363636401</v>
      </c>
      <c r="V158" s="80">
        <f t="shared" si="9"/>
        <v>0</v>
      </c>
    </row>
    <row r="159" spans="1:23" x14ac:dyDescent="0.3">
      <c r="A159" s="81" t="s">
        <v>293</v>
      </c>
      <c r="B159" s="81"/>
      <c r="C159" s="81">
        <v>2013</v>
      </c>
      <c r="D159" s="81">
        <v>116.23</v>
      </c>
      <c r="E159" s="81">
        <v>28.38</v>
      </c>
      <c r="F159" s="81">
        <v>2010</v>
      </c>
      <c r="G159" s="34">
        <v>1730.9999999999998</v>
      </c>
      <c r="H159" s="34">
        <v>505.5</v>
      </c>
      <c r="I159" s="34">
        <v>21.64</v>
      </c>
      <c r="J159" s="29">
        <v>1.07</v>
      </c>
      <c r="K159" s="29">
        <v>53</v>
      </c>
      <c r="L159" s="29">
        <v>28</v>
      </c>
      <c r="M159" s="29">
        <v>19</v>
      </c>
      <c r="N159" s="34">
        <v>6.9</v>
      </c>
      <c r="O159" s="34">
        <v>16.3</v>
      </c>
      <c r="P159" s="34">
        <v>1.49</v>
      </c>
      <c r="Q159" s="34">
        <f t="shared" si="8"/>
        <v>10.939597315436242</v>
      </c>
      <c r="R159" s="34">
        <v>180</v>
      </c>
      <c r="S159" s="82">
        <v>0.51545454545454505</v>
      </c>
      <c r="T159" s="34"/>
      <c r="U159" s="83">
        <f>(S159-S158)/R159</f>
        <v>1.343434343434339E-3</v>
      </c>
      <c r="V159" s="83">
        <f t="shared" si="9"/>
        <v>0.1343434343434339</v>
      </c>
    </row>
    <row r="160" spans="1:23" x14ac:dyDescent="0.3">
      <c r="A160" s="5" t="s">
        <v>168</v>
      </c>
      <c r="B160" s="5" t="s">
        <v>169</v>
      </c>
      <c r="C160" s="5">
        <v>2015</v>
      </c>
      <c r="D160" s="5">
        <v>105.47</v>
      </c>
      <c r="E160" s="5">
        <v>31.27</v>
      </c>
      <c r="F160" s="5" t="s">
        <v>162</v>
      </c>
      <c r="G160" s="29">
        <v>460.5</v>
      </c>
      <c r="H160" s="29">
        <v>895.5</v>
      </c>
      <c r="I160" s="29">
        <v>25.7</v>
      </c>
      <c r="J160" s="29">
        <v>1.4546666399999999</v>
      </c>
      <c r="K160" s="29">
        <v>18.2</v>
      </c>
      <c r="L160" s="29">
        <v>50.866666670000001</v>
      </c>
      <c r="M160" s="29">
        <v>30.93333333</v>
      </c>
      <c r="N160" s="29">
        <v>7.3</v>
      </c>
      <c r="O160" s="29">
        <v>8.6</v>
      </c>
      <c r="P160" s="29">
        <v>1.2</v>
      </c>
      <c r="Q160" s="29">
        <f t="shared" si="8"/>
        <v>7.166666666666667</v>
      </c>
      <c r="R160" s="29">
        <v>0</v>
      </c>
      <c r="S160" s="79">
        <v>0.4</v>
      </c>
      <c r="T160" s="44">
        <f>AVERAGE(S160:S161,S164)</f>
        <v>0.21000000000000005</v>
      </c>
      <c r="V160" s="80">
        <f t="shared" si="9"/>
        <v>0</v>
      </c>
    </row>
    <row r="161" spans="1:22" x14ac:dyDescent="0.3">
      <c r="A161" s="5" t="s">
        <v>168</v>
      </c>
      <c r="B161" s="5" t="s">
        <v>169</v>
      </c>
      <c r="C161" s="5">
        <v>2015</v>
      </c>
      <c r="D161" s="5">
        <v>105.47</v>
      </c>
      <c r="E161" s="5">
        <v>31.27</v>
      </c>
      <c r="F161" s="5">
        <v>2006</v>
      </c>
      <c r="G161" s="29">
        <v>460.5</v>
      </c>
      <c r="H161" s="29">
        <v>895.5</v>
      </c>
      <c r="I161" s="29">
        <v>25.7</v>
      </c>
      <c r="J161" s="29">
        <v>1.4546666399999999</v>
      </c>
      <c r="K161" s="29">
        <v>18.2</v>
      </c>
      <c r="L161" s="29">
        <v>50.866666670000001</v>
      </c>
      <c r="M161" s="29">
        <v>30.93333333</v>
      </c>
      <c r="N161" s="29">
        <v>7.3</v>
      </c>
      <c r="O161" s="29">
        <v>8.6</v>
      </c>
      <c r="P161" s="29">
        <v>1.2</v>
      </c>
      <c r="Q161" s="29">
        <f t="shared" si="8"/>
        <v>7.166666666666667</v>
      </c>
      <c r="R161" s="29">
        <v>0</v>
      </c>
      <c r="S161" s="79">
        <v>0.03</v>
      </c>
      <c r="V161" s="80">
        <f t="shared" si="9"/>
        <v>0</v>
      </c>
    </row>
    <row r="162" spans="1:22" x14ac:dyDescent="0.3">
      <c r="A162" s="5" t="s">
        <v>168</v>
      </c>
      <c r="B162" s="5" t="s">
        <v>169</v>
      </c>
      <c r="C162" s="5">
        <v>2015</v>
      </c>
      <c r="D162" s="5">
        <v>105.47</v>
      </c>
      <c r="E162" s="5">
        <v>31.27</v>
      </c>
      <c r="F162" s="5">
        <v>2006</v>
      </c>
      <c r="G162" s="29">
        <v>460.5</v>
      </c>
      <c r="H162" s="29">
        <v>895.5</v>
      </c>
      <c r="I162" s="29">
        <v>25.7</v>
      </c>
      <c r="J162" s="29">
        <v>1.1200000000000001</v>
      </c>
      <c r="K162" s="29">
        <v>44</v>
      </c>
      <c r="L162" s="29">
        <v>32</v>
      </c>
      <c r="M162" s="29">
        <v>24</v>
      </c>
      <c r="N162" s="29">
        <v>8.3000000000000007</v>
      </c>
      <c r="O162" s="29">
        <v>8.6</v>
      </c>
      <c r="P162" s="29">
        <v>1.2</v>
      </c>
      <c r="Q162" s="29">
        <f t="shared" ref="Q162:Q208" si="10">O162/P162</f>
        <v>7.166666666666667</v>
      </c>
      <c r="R162" s="29">
        <v>150</v>
      </c>
      <c r="S162" s="79">
        <v>1.17</v>
      </c>
      <c r="U162" s="80">
        <f>(S162-S161)/R162</f>
        <v>7.5999999999999991E-3</v>
      </c>
      <c r="V162" s="80">
        <f t="shared" si="9"/>
        <v>0.7599999999999999</v>
      </c>
    </row>
    <row r="163" spans="1:22" x14ac:dyDescent="0.3">
      <c r="A163" s="5" t="s">
        <v>168</v>
      </c>
      <c r="B163" s="5" t="s">
        <v>169</v>
      </c>
      <c r="C163" s="5">
        <v>2015</v>
      </c>
      <c r="D163" s="5">
        <v>105.47</v>
      </c>
      <c r="E163" s="5">
        <v>31.27</v>
      </c>
      <c r="F163" s="5">
        <v>2006</v>
      </c>
      <c r="G163" s="29">
        <v>460.5</v>
      </c>
      <c r="H163" s="29">
        <v>895.5</v>
      </c>
      <c r="I163" s="29">
        <v>25.7</v>
      </c>
      <c r="J163" s="29">
        <v>1.1200000000000001</v>
      </c>
      <c r="K163" s="29">
        <v>44</v>
      </c>
      <c r="L163" s="29">
        <v>32</v>
      </c>
      <c r="M163" s="29">
        <v>24</v>
      </c>
      <c r="N163" s="29">
        <v>8.3000000000000007</v>
      </c>
      <c r="O163" s="29">
        <v>8.6</v>
      </c>
      <c r="P163" s="29">
        <v>1.2</v>
      </c>
      <c r="Q163" s="29">
        <f t="shared" si="10"/>
        <v>7.166666666666667</v>
      </c>
      <c r="R163" s="29">
        <v>250</v>
      </c>
      <c r="S163" s="79">
        <v>2.34</v>
      </c>
      <c r="U163" s="80">
        <f>(S163-S161)/R163</f>
        <v>9.2399999999999999E-3</v>
      </c>
      <c r="V163" s="80">
        <f t="shared" ref="V163:V208" si="11">U163*100</f>
        <v>0.92400000000000004</v>
      </c>
    </row>
    <row r="164" spans="1:22" x14ac:dyDescent="0.3">
      <c r="A164" s="5" t="s">
        <v>168</v>
      </c>
      <c r="B164" s="5" t="s">
        <v>169</v>
      </c>
      <c r="C164" s="5">
        <v>2015</v>
      </c>
      <c r="D164" s="5">
        <v>105.47</v>
      </c>
      <c r="E164" s="5">
        <v>31.27</v>
      </c>
      <c r="F164" s="5">
        <v>2007</v>
      </c>
      <c r="G164" s="29">
        <v>727.5</v>
      </c>
      <c r="H164" s="29">
        <v>766.5</v>
      </c>
      <c r="I164" s="29">
        <v>25</v>
      </c>
      <c r="J164" s="29">
        <v>1.4546666399999999</v>
      </c>
      <c r="K164" s="29">
        <v>18.2</v>
      </c>
      <c r="L164" s="29">
        <v>50.866666670000001</v>
      </c>
      <c r="M164" s="29">
        <v>30.93333333</v>
      </c>
      <c r="N164" s="29">
        <v>7.3</v>
      </c>
      <c r="O164" s="29">
        <v>8.6</v>
      </c>
      <c r="P164" s="29">
        <v>1.2</v>
      </c>
      <c r="Q164" s="29">
        <f t="shared" si="10"/>
        <v>7.166666666666667</v>
      </c>
      <c r="R164" s="29">
        <v>0</v>
      </c>
      <c r="S164" s="79">
        <v>0.2</v>
      </c>
      <c r="V164" s="80">
        <f t="shared" si="11"/>
        <v>0</v>
      </c>
    </row>
    <row r="165" spans="1:22" x14ac:dyDescent="0.3">
      <c r="A165" s="5" t="s">
        <v>168</v>
      </c>
      <c r="B165" s="5" t="s">
        <v>169</v>
      </c>
      <c r="C165" s="5">
        <v>2015</v>
      </c>
      <c r="D165" s="5">
        <v>105.47</v>
      </c>
      <c r="E165" s="5">
        <v>31.27</v>
      </c>
      <c r="F165" s="5">
        <v>2007</v>
      </c>
      <c r="G165" s="29">
        <v>727.5</v>
      </c>
      <c r="H165" s="29">
        <v>766.5</v>
      </c>
      <c r="I165" s="29">
        <v>25</v>
      </c>
      <c r="J165" s="29">
        <v>1.1200000000000001</v>
      </c>
      <c r="K165" s="29">
        <v>44</v>
      </c>
      <c r="L165" s="29">
        <v>32</v>
      </c>
      <c r="M165" s="29">
        <v>24</v>
      </c>
      <c r="N165" s="29">
        <v>8.3000000000000007</v>
      </c>
      <c r="O165" s="29">
        <v>8.6</v>
      </c>
      <c r="P165" s="29">
        <v>1.2</v>
      </c>
      <c r="Q165" s="29">
        <f t="shared" si="10"/>
        <v>7.166666666666667</v>
      </c>
      <c r="R165" s="29">
        <v>150</v>
      </c>
      <c r="S165" s="79">
        <v>0.48</v>
      </c>
      <c r="U165" s="80">
        <f>(S165-S164)/R165</f>
        <v>1.8666666666666664E-3</v>
      </c>
      <c r="V165" s="80">
        <f t="shared" si="11"/>
        <v>0.18666666666666665</v>
      </c>
    </row>
    <row r="166" spans="1:22" x14ac:dyDescent="0.3">
      <c r="A166" s="81" t="s">
        <v>168</v>
      </c>
      <c r="B166" s="81" t="s">
        <v>169</v>
      </c>
      <c r="C166" s="81">
        <v>2015</v>
      </c>
      <c r="D166" s="81">
        <v>105.47</v>
      </c>
      <c r="E166" s="81">
        <v>31.27</v>
      </c>
      <c r="F166" s="81">
        <v>2007</v>
      </c>
      <c r="G166" s="34">
        <v>727.5</v>
      </c>
      <c r="H166" s="34">
        <v>766.5</v>
      </c>
      <c r="I166" s="34">
        <v>25</v>
      </c>
      <c r="J166" s="29">
        <v>1.1200000000000001</v>
      </c>
      <c r="K166" s="29">
        <v>44</v>
      </c>
      <c r="L166" s="29">
        <v>32</v>
      </c>
      <c r="M166" s="29">
        <v>24</v>
      </c>
      <c r="N166" s="29">
        <v>8.3000000000000007</v>
      </c>
      <c r="O166" s="34">
        <v>8.6</v>
      </c>
      <c r="P166" s="34">
        <v>1.2</v>
      </c>
      <c r="Q166" s="34">
        <f t="shared" si="10"/>
        <v>7.166666666666667</v>
      </c>
      <c r="R166" s="34">
        <v>250</v>
      </c>
      <c r="S166" s="82">
        <v>1.03</v>
      </c>
      <c r="T166" s="34"/>
      <c r="U166" s="83">
        <f>(S166-S164)/R166</f>
        <v>3.3200000000000005E-3</v>
      </c>
      <c r="V166" s="83">
        <f t="shared" si="11"/>
        <v>0.33200000000000007</v>
      </c>
    </row>
    <row r="167" spans="1:22" x14ac:dyDescent="0.3">
      <c r="A167" s="5" t="s">
        <v>170</v>
      </c>
      <c r="B167" s="5" t="s">
        <v>171</v>
      </c>
      <c r="C167" s="5">
        <v>2015</v>
      </c>
      <c r="D167" s="5">
        <v>121.13</v>
      </c>
      <c r="E167" s="5">
        <v>31.2</v>
      </c>
      <c r="F167" s="5">
        <v>2012</v>
      </c>
      <c r="G167" s="29">
        <v>675</v>
      </c>
      <c r="H167" s="29">
        <v>666.00000000000011</v>
      </c>
      <c r="I167" s="29">
        <v>25.66</v>
      </c>
      <c r="J167" s="29">
        <v>1.3638461500000001</v>
      </c>
      <c r="K167" s="29">
        <v>25</v>
      </c>
      <c r="L167" s="29">
        <v>30.46153846</v>
      </c>
      <c r="M167" s="29">
        <v>44.53846154</v>
      </c>
      <c r="N167" s="29">
        <v>7.06</v>
      </c>
      <c r="O167" s="29">
        <v>14.36</v>
      </c>
      <c r="P167" s="29">
        <v>1.2</v>
      </c>
      <c r="Q167" s="29">
        <f t="shared" si="10"/>
        <v>11.966666666666667</v>
      </c>
      <c r="R167" s="29">
        <v>0</v>
      </c>
      <c r="S167" s="79">
        <v>6.3636363636363602E-2</v>
      </c>
      <c r="T167" s="44">
        <f>AVERAGE(S167,S169)</f>
        <v>0.18454545454545429</v>
      </c>
      <c r="V167" s="80">
        <f t="shared" si="11"/>
        <v>0</v>
      </c>
    </row>
    <row r="168" spans="1:22" x14ac:dyDescent="0.3">
      <c r="A168" s="5" t="s">
        <v>170</v>
      </c>
      <c r="B168" s="5" t="s">
        <v>171</v>
      </c>
      <c r="C168" s="5">
        <v>2015</v>
      </c>
      <c r="D168" s="5">
        <v>121.13</v>
      </c>
      <c r="E168" s="5">
        <v>31.2</v>
      </c>
      <c r="F168" s="5">
        <v>2012</v>
      </c>
      <c r="G168" s="29">
        <v>675</v>
      </c>
      <c r="H168" s="29">
        <v>666.00000000000011</v>
      </c>
      <c r="I168" s="29">
        <v>25.66</v>
      </c>
      <c r="J168" s="29">
        <v>1.29</v>
      </c>
      <c r="K168" s="29">
        <v>68</v>
      </c>
      <c r="L168" s="29">
        <v>20</v>
      </c>
      <c r="M168" s="29">
        <v>12</v>
      </c>
      <c r="N168" s="29">
        <v>7.18</v>
      </c>
      <c r="O168" s="29">
        <v>14.81</v>
      </c>
      <c r="P168" s="29">
        <v>1.1499999999999999</v>
      </c>
      <c r="Q168" s="29">
        <f t="shared" si="10"/>
        <v>12.878260869565219</v>
      </c>
      <c r="R168" s="29">
        <v>300</v>
      </c>
      <c r="S168" s="79">
        <v>0.96727272727272695</v>
      </c>
      <c r="U168" s="80">
        <f>(S168-S167)/R168</f>
        <v>3.0121212121212112E-3</v>
      </c>
      <c r="V168" s="80">
        <f t="shared" si="11"/>
        <v>0.3012121212121211</v>
      </c>
    </row>
    <row r="169" spans="1:22" x14ac:dyDescent="0.3">
      <c r="A169" s="5" t="s">
        <v>170</v>
      </c>
      <c r="B169" s="5" t="s">
        <v>171</v>
      </c>
      <c r="C169" s="5">
        <v>2015</v>
      </c>
      <c r="D169" s="5">
        <v>121.13</v>
      </c>
      <c r="E169" s="5">
        <v>31.2</v>
      </c>
      <c r="F169" s="5">
        <v>2013</v>
      </c>
      <c r="G169" s="29">
        <v>598.5</v>
      </c>
      <c r="H169" s="29">
        <v>804</v>
      </c>
      <c r="I169" s="29">
        <v>26.65</v>
      </c>
      <c r="J169" s="29">
        <v>1.3638461500000001</v>
      </c>
      <c r="K169" s="29">
        <v>25</v>
      </c>
      <c r="L169" s="29">
        <v>30.46153846</v>
      </c>
      <c r="M169" s="29">
        <v>44.53846154</v>
      </c>
      <c r="N169" s="29">
        <v>7.06</v>
      </c>
      <c r="O169" s="29">
        <v>14.36</v>
      </c>
      <c r="P169" s="29">
        <v>1.2</v>
      </c>
      <c r="Q169" s="29">
        <f t="shared" si="10"/>
        <v>11.966666666666667</v>
      </c>
      <c r="R169" s="29">
        <v>0</v>
      </c>
      <c r="S169" s="79">
        <v>0.30545454545454498</v>
      </c>
      <c r="V169" s="80">
        <f t="shared" si="11"/>
        <v>0</v>
      </c>
    </row>
    <row r="170" spans="1:22" x14ac:dyDescent="0.3">
      <c r="A170" s="81" t="s">
        <v>170</v>
      </c>
      <c r="B170" s="81" t="s">
        <v>171</v>
      </c>
      <c r="C170" s="81">
        <v>2015</v>
      </c>
      <c r="D170" s="81">
        <v>121.13</v>
      </c>
      <c r="E170" s="81">
        <v>31.2</v>
      </c>
      <c r="F170" s="81">
        <v>2013</v>
      </c>
      <c r="G170" s="34">
        <v>598.5</v>
      </c>
      <c r="H170" s="34">
        <v>804</v>
      </c>
      <c r="I170" s="34">
        <v>26.65</v>
      </c>
      <c r="J170" s="34">
        <v>1.29</v>
      </c>
      <c r="K170" s="29">
        <v>68</v>
      </c>
      <c r="L170" s="29">
        <v>20</v>
      </c>
      <c r="M170" s="29">
        <v>12</v>
      </c>
      <c r="N170" s="34">
        <v>7.18</v>
      </c>
      <c r="O170" s="29">
        <v>14.81</v>
      </c>
      <c r="P170" s="34">
        <v>1.1499999999999999</v>
      </c>
      <c r="Q170" s="34">
        <f t="shared" si="10"/>
        <v>12.878260869565219</v>
      </c>
      <c r="R170" s="34">
        <v>300</v>
      </c>
      <c r="S170" s="82">
        <v>1.33636363636364</v>
      </c>
      <c r="T170" s="34"/>
      <c r="U170" s="83">
        <f>(S170-S169)/R170</f>
        <v>3.4363636363636501E-3</v>
      </c>
      <c r="V170" s="83">
        <f t="shared" si="11"/>
        <v>0.34363636363636502</v>
      </c>
    </row>
    <row r="171" spans="1:22" x14ac:dyDescent="0.3">
      <c r="A171" s="5" t="s">
        <v>172</v>
      </c>
      <c r="C171" s="5">
        <v>2015</v>
      </c>
      <c r="D171" s="5">
        <v>113.62</v>
      </c>
      <c r="E171" s="5">
        <v>28.15</v>
      </c>
      <c r="F171" s="5">
        <v>2011</v>
      </c>
      <c r="G171" s="29">
        <v>744</v>
      </c>
      <c r="H171" s="29">
        <v>624</v>
      </c>
      <c r="I171" s="29">
        <v>25.7</v>
      </c>
      <c r="J171" s="29">
        <v>1.1399999999999999</v>
      </c>
      <c r="K171" s="29">
        <v>31.714285709999999</v>
      </c>
      <c r="L171" s="29">
        <v>36.6122449</v>
      </c>
      <c r="M171" s="29">
        <v>31.673469390000001</v>
      </c>
      <c r="N171" s="29">
        <v>6.3</v>
      </c>
      <c r="O171" s="29">
        <v>18.399999999999999</v>
      </c>
      <c r="P171" s="29">
        <v>1.0900000000000001</v>
      </c>
      <c r="Q171" s="29">
        <f t="shared" si="10"/>
        <v>16.880733944954127</v>
      </c>
      <c r="R171" s="29">
        <v>0</v>
      </c>
      <c r="S171" s="79">
        <v>0.129</v>
      </c>
      <c r="T171" s="44">
        <f>AVERAGE(S171,S176,S181,S186,S191,S196)</f>
        <v>0.12283333333333334</v>
      </c>
      <c r="V171" s="80">
        <f t="shared" si="11"/>
        <v>0</v>
      </c>
    </row>
    <row r="172" spans="1:22" x14ac:dyDescent="0.3">
      <c r="A172" s="5" t="s">
        <v>172</v>
      </c>
      <c r="C172" s="5">
        <v>2015</v>
      </c>
      <c r="D172" s="5">
        <v>113.62</v>
      </c>
      <c r="E172" s="5">
        <v>28.15</v>
      </c>
      <c r="F172" s="5">
        <v>2011</v>
      </c>
      <c r="G172" s="29">
        <v>744</v>
      </c>
      <c r="H172" s="29">
        <v>624</v>
      </c>
      <c r="I172" s="29">
        <v>25.7</v>
      </c>
      <c r="J172" s="29">
        <v>1.1399999999999999</v>
      </c>
      <c r="K172" s="29">
        <v>38</v>
      </c>
      <c r="L172" s="29">
        <v>37</v>
      </c>
      <c r="M172" s="29">
        <v>25</v>
      </c>
      <c r="N172" s="29">
        <v>6.3</v>
      </c>
      <c r="O172" s="29">
        <v>18.399999999999999</v>
      </c>
      <c r="P172" s="29">
        <v>1.0900000000000001</v>
      </c>
      <c r="Q172" s="29">
        <f t="shared" si="10"/>
        <v>16.880733944954127</v>
      </c>
      <c r="R172" s="29">
        <v>150</v>
      </c>
      <c r="S172" s="79">
        <v>0.248</v>
      </c>
      <c r="U172" s="80">
        <f>(S172-0.129)/R172</f>
        <v>7.9333333333333328E-4</v>
      </c>
      <c r="V172" s="80">
        <f t="shared" si="11"/>
        <v>7.9333333333333325E-2</v>
      </c>
    </row>
    <row r="173" spans="1:22" x14ac:dyDescent="0.3">
      <c r="A173" s="5" t="s">
        <v>172</v>
      </c>
      <c r="C173" s="5">
        <v>2015</v>
      </c>
      <c r="D173" s="5">
        <v>113.62</v>
      </c>
      <c r="E173" s="5">
        <v>28.15</v>
      </c>
      <c r="F173" s="5">
        <v>2011</v>
      </c>
      <c r="G173" s="29">
        <v>744</v>
      </c>
      <c r="H173" s="29">
        <v>624</v>
      </c>
      <c r="I173" s="29">
        <v>25.7</v>
      </c>
      <c r="J173" s="29">
        <v>1.1399999999999999</v>
      </c>
      <c r="K173" s="29">
        <v>38</v>
      </c>
      <c r="L173" s="29">
        <v>37</v>
      </c>
      <c r="M173" s="29">
        <v>25</v>
      </c>
      <c r="N173" s="29">
        <v>6.3</v>
      </c>
      <c r="O173" s="29">
        <v>18.399999999999999</v>
      </c>
      <c r="P173" s="29">
        <v>1.0900000000000001</v>
      </c>
      <c r="Q173" s="29">
        <f t="shared" si="10"/>
        <v>16.880733944954127</v>
      </c>
      <c r="R173" s="29">
        <v>120</v>
      </c>
      <c r="S173" s="79">
        <v>0.21199999999999999</v>
      </c>
      <c r="U173" s="80">
        <f>(S173-0.129)/R173</f>
        <v>6.916666666666666E-4</v>
      </c>
      <c r="V173" s="80">
        <f t="shared" si="11"/>
        <v>6.9166666666666654E-2</v>
      </c>
    </row>
    <row r="174" spans="1:22" x14ac:dyDescent="0.3">
      <c r="A174" s="5" t="s">
        <v>172</v>
      </c>
      <c r="C174" s="5">
        <v>2015</v>
      </c>
      <c r="D174" s="5">
        <v>113.62</v>
      </c>
      <c r="E174" s="5">
        <v>28.15</v>
      </c>
      <c r="F174" s="5">
        <v>2011</v>
      </c>
      <c r="G174" s="29">
        <v>744</v>
      </c>
      <c r="H174" s="29">
        <v>624</v>
      </c>
      <c r="I174" s="29">
        <v>25.7</v>
      </c>
      <c r="J174" s="29">
        <v>1.1399999999999999</v>
      </c>
      <c r="K174" s="29">
        <v>38</v>
      </c>
      <c r="L174" s="29">
        <v>37</v>
      </c>
      <c r="M174" s="29">
        <v>25</v>
      </c>
      <c r="N174" s="29">
        <v>6.3</v>
      </c>
      <c r="O174" s="29">
        <v>18.399999999999999</v>
      </c>
      <c r="P174" s="29">
        <v>1.0900000000000001</v>
      </c>
      <c r="Q174" s="29">
        <f t="shared" si="10"/>
        <v>16.880733944954127</v>
      </c>
      <c r="R174" s="29">
        <v>150</v>
      </c>
      <c r="S174" s="79">
        <v>0.21299999999999999</v>
      </c>
      <c r="U174" s="80">
        <f>(S174-0.129)/R174</f>
        <v>5.5999999999999995E-4</v>
      </c>
      <c r="V174" s="80">
        <f t="shared" si="11"/>
        <v>5.5999999999999994E-2</v>
      </c>
    </row>
    <row r="175" spans="1:22" x14ac:dyDescent="0.3">
      <c r="A175" s="5" t="s">
        <v>172</v>
      </c>
      <c r="C175" s="5">
        <v>2015</v>
      </c>
      <c r="D175" s="5">
        <v>113.62</v>
      </c>
      <c r="E175" s="5">
        <v>28.15</v>
      </c>
      <c r="F175" s="5">
        <v>2011</v>
      </c>
      <c r="G175" s="29">
        <v>744</v>
      </c>
      <c r="H175" s="29">
        <v>624</v>
      </c>
      <c r="I175" s="29">
        <v>25.7</v>
      </c>
      <c r="J175" s="29">
        <v>1.1399999999999999</v>
      </c>
      <c r="K175" s="29">
        <v>38</v>
      </c>
      <c r="L175" s="29">
        <v>37</v>
      </c>
      <c r="M175" s="29">
        <v>25</v>
      </c>
      <c r="N175" s="29">
        <v>6.3</v>
      </c>
      <c r="O175" s="29">
        <v>18.399999999999999</v>
      </c>
      <c r="P175" s="29">
        <v>1.0900000000000001</v>
      </c>
      <c r="Q175" s="29">
        <f t="shared" si="10"/>
        <v>16.880733944954127</v>
      </c>
      <c r="R175" s="29">
        <v>180</v>
      </c>
      <c r="S175" s="79">
        <v>0.3</v>
      </c>
      <c r="U175" s="80">
        <f>(S175-0.129)/R175</f>
        <v>9.4999999999999989E-4</v>
      </c>
      <c r="V175" s="80">
        <f t="shared" si="11"/>
        <v>9.4999999999999987E-2</v>
      </c>
    </row>
    <row r="176" spans="1:22" x14ac:dyDescent="0.3">
      <c r="A176" s="5" t="s">
        <v>172</v>
      </c>
      <c r="C176" s="5">
        <v>2015</v>
      </c>
      <c r="D176" s="5">
        <v>113.62</v>
      </c>
      <c r="E176" s="5">
        <v>28.15</v>
      </c>
      <c r="F176" s="5">
        <v>2012</v>
      </c>
      <c r="G176" s="29">
        <v>1050</v>
      </c>
      <c r="H176" s="29">
        <v>438</v>
      </c>
      <c r="I176" s="29">
        <v>25.9</v>
      </c>
      <c r="J176" s="29">
        <v>1.1399999999999999</v>
      </c>
      <c r="K176" s="29">
        <v>31.714285709999999</v>
      </c>
      <c r="L176" s="29">
        <v>36.6122449</v>
      </c>
      <c r="M176" s="29">
        <v>31.673469390000001</v>
      </c>
      <c r="N176" s="29">
        <v>6.3</v>
      </c>
      <c r="O176" s="29">
        <v>18.399999999999999</v>
      </c>
      <c r="P176" s="29">
        <v>1.0900000000000001</v>
      </c>
      <c r="Q176" s="29">
        <f t="shared" si="10"/>
        <v>16.880733944954127</v>
      </c>
      <c r="R176" s="29">
        <v>0</v>
      </c>
      <c r="S176" s="79">
        <v>7.5999999999999998E-2</v>
      </c>
      <c r="V176" s="80">
        <f t="shared" si="11"/>
        <v>0</v>
      </c>
    </row>
    <row r="177" spans="1:22" x14ac:dyDescent="0.3">
      <c r="A177" s="5" t="s">
        <v>172</v>
      </c>
      <c r="C177" s="5">
        <v>2015</v>
      </c>
      <c r="D177" s="5">
        <v>113.62</v>
      </c>
      <c r="E177" s="5">
        <v>28.15</v>
      </c>
      <c r="F177" s="5">
        <v>2012</v>
      </c>
      <c r="G177" s="29">
        <v>1050</v>
      </c>
      <c r="H177" s="29">
        <v>438</v>
      </c>
      <c r="I177" s="29">
        <v>25.9</v>
      </c>
      <c r="J177" s="29">
        <v>1.1399999999999999</v>
      </c>
      <c r="K177" s="29">
        <v>38</v>
      </c>
      <c r="L177" s="29">
        <v>37</v>
      </c>
      <c r="M177" s="29">
        <v>25</v>
      </c>
      <c r="N177" s="29">
        <v>6.3</v>
      </c>
      <c r="O177" s="29">
        <v>18.399999999999999</v>
      </c>
      <c r="P177" s="29">
        <v>1.0900000000000001</v>
      </c>
      <c r="Q177" s="29">
        <f t="shared" si="10"/>
        <v>16.880733944954127</v>
      </c>
      <c r="R177" s="29">
        <v>150</v>
      </c>
      <c r="S177" s="79">
        <v>0.14399999999999999</v>
      </c>
      <c r="U177" s="80">
        <f>(S177-0.076)/R177</f>
        <v>4.5333333333333326E-4</v>
      </c>
      <c r="V177" s="80">
        <f t="shared" si="11"/>
        <v>4.5333333333333323E-2</v>
      </c>
    </row>
    <row r="178" spans="1:22" x14ac:dyDescent="0.3">
      <c r="A178" s="5" t="s">
        <v>172</v>
      </c>
      <c r="C178" s="5">
        <v>2015</v>
      </c>
      <c r="D178" s="5">
        <v>113.62</v>
      </c>
      <c r="E178" s="5">
        <v>28.15</v>
      </c>
      <c r="F178" s="5">
        <v>2012</v>
      </c>
      <c r="G178" s="29">
        <v>1050</v>
      </c>
      <c r="H178" s="29">
        <v>438</v>
      </c>
      <c r="I178" s="29">
        <v>25.9</v>
      </c>
      <c r="J178" s="29">
        <v>1.1399999999999999</v>
      </c>
      <c r="K178" s="29">
        <v>38</v>
      </c>
      <c r="L178" s="29">
        <v>37</v>
      </c>
      <c r="M178" s="29">
        <v>25</v>
      </c>
      <c r="N178" s="29">
        <v>6.3</v>
      </c>
      <c r="O178" s="29">
        <v>18.399999999999999</v>
      </c>
      <c r="P178" s="29">
        <v>1.0900000000000001</v>
      </c>
      <c r="Q178" s="29">
        <f t="shared" si="10"/>
        <v>16.880733944954127</v>
      </c>
      <c r="R178" s="29">
        <v>120</v>
      </c>
      <c r="S178" s="79">
        <v>0.14699999999999999</v>
      </c>
      <c r="U178" s="80">
        <f>(S178-0.076)/R178</f>
        <v>5.9166666666666666E-4</v>
      </c>
      <c r="V178" s="80">
        <f t="shared" si="11"/>
        <v>5.9166666666666666E-2</v>
      </c>
    </row>
    <row r="179" spans="1:22" x14ac:dyDescent="0.3">
      <c r="A179" s="5" t="s">
        <v>172</v>
      </c>
      <c r="C179" s="5">
        <v>2015</v>
      </c>
      <c r="D179" s="5">
        <v>113.62</v>
      </c>
      <c r="E179" s="5">
        <v>28.15</v>
      </c>
      <c r="F179" s="5">
        <v>2012</v>
      </c>
      <c r="G179" s="29">
        <v>1050</v>
      </c>
      <c r="H179" s="29">
        <v>438</v>
      </c>
      <c r="I179" s="29">
        <v>25.9</v>
      </c>
      <c r="J179" s="29">
        <v>1.1399999999999999</v>
      </c>
      <c r="K179" s="29">
        <v>38</v>
      </c>
      <c r="L179" s="29">
        <v>37</v>
      </c>
      <c r="M179" s="29">
        <v>25</v>
      </c>
      <c r="N179" s="29">
        <v>6.3</v>
      </c>
      <c r="O179" s="29">
        <v>18.399999999999999</v>
      </c>
      <c r="P179" s="29">
        <v>1.0900000000000001</v>
      </c>
      <c r="Q179" s="29">
        <f t="shared" si="10"/>
        <v>16.880733944954127</v>
      </c>
      <c r="R179" s="29">
        <v>150</v>
      </c>
      <c r="S179" s="79">
        <v>0.187</v>
      </c>
      <c r="U179" s="80">
        <f>(S179-0.076)/R179</f>
        <v>7.3999999999999999E-4</v>
      </c>
      <c r="V179" s="80">
        <f t="shared" si="11"/>
        <v>7.3999999999999996E-2</v>
      </c>
    </row>
    <row r="180" spans="1:22" x14ac:dyDescent="0.3">
      <c r="A180" s="5" t="s">
        <v>172</v>
      </c>
      <c r="C180" s="5">
        <v>2015</v>
      </c>
      <c r="D180" s="5">
        <v>113.62</v>
      </c>
      <c r="E180" s="5">
        <v>28.15</v>
      </c>
      <c r="F180" s="5">
        <v>2012</v>
      </c>
      <c r="G180" s="29">
        <v>1050</v>
      </c>
      <c r="H180" s="29">
        <v>438</v>
      </c>
      <c r="I180" s="29">
        <v>25.9</v>
      </c>
      <c r="J180" s="29">
        <v>1.1399999999999999</v>
      </c>
      <c r="K180" s="29">
        <v>38</v>
      </c>
      <c r="L180" s="29">
        <v>37</v>
      </c>
      <c r="M180" s="29">
        <v>25</v>
      </c>
      <c r="N180" s="29">
        <v>6.3</v>
      </c>
      <c r="O180" s="29">
        <v>18.399999999999999</v>
      </c>
      <c r="P180" s="29">
        <v>1.0900000000000001</v>
      </c>
      <c r="Q180" s="29">
        <f t="shared" si="10"/>
        <v>16.880733944954127</v>
      </c>
      <c r="R180" s="29">
        <v>180</v>
      </c>
      <c r="S180" s="79">
        <v>0.20799999999999999</v>
      </c>
      <c r="U180" s="80">
        <f>(S180-0.076)/R180</f>
        <v>7.3333333333333334E-4</v>
      </c>
      <c r="V180" s="80">
        <f t="shared" si="11"/>
        <v>7.3333333333333334E-2</v>
      </c>
    </row>
    <row r="181" spans="1:22" x14ac:dyDescent="0.3">
      <c r="A181" s="5" t="s">
        <v>172</v>
      </c>
      <c r="C181" s="5">
        <v>2015</v>
      </c>
      <c r="D181" s="5">
        <v>113.62</v>
      </c>
      <c r="E181" s="5">
        <v>28.15</v>
      </c>
      <c r="F181" s="5">
        <v>2013</v>
      </c>
      <c r="G181" s="29">
        <v>832.5</v>
      </c>
      <c r="H181" s="29">
        <v>624</v>
      </c>
      <c r="I181" s="29">
        <v>26.76</v>
      </c>
      <c r="J181" s="29">
        <v>1.1399999999999999</v>
      </c>
      <c r="K181" s="29">
        <v>31.714285709999999</v>
      </c>
      <c r="L181" s="29">
        <v>36.6122449</v>
      </c>
      <c r="M181" s="29">
        <v>31.673469390000001</v>
      </c>
      <c r="N181" s="29">
        <v>6.3</v>
      </c>
      <c r="O181" s="29">
        <v>18.399999999999999</v>
      </c>
      <c r="P181" s="29">
        <v>1.0900000000000001</v>
      </c>
      <c r="Q181" s="29">
        <f t="shared" si="10"/>
        <v>16.880733944954127</v>
      </c>
      <c r="R181" s="29">
        <v>0</v>
      </c>
      <c r="S181" s="79">
        <v>9.8000000000000004E-2</v>
      </c>
      <c r="V181" s="80">
        <f t="shared" si="11"/>
        <v>0</v>
      </c>
    </row>
    <row r="182" spans="1:22" x14ac:dyDescent="0.3">
      <c r="A182" s="5" t="s">
        <v>172</v>
      </c>
      <c r="C182" s="5">
        <v>2015</v>
      </c>
      <c r="D182" s="5">
        <v>113.62</v>
      </c>
      <c r="E182" s="5">
        <v>28.15</v>
      </c>
      <c r="F182" s="5">
        <v>2013</v>
      </c>
      <c r="G182" s="29">
        <v>832.5</v>
      </c>
      <c r="H182" s="29">
        <v>624</v>
      </c>
      <c r="I182" s="29">
        <v>25.41</v>
      </c>
      <c r="J182" s="29">
        <v>1.1399999999999999</v>
      </c>
      <c r="K182" s="29">
        <v>38</v>
      </c>
      <c r="L182" s="29">
        <v>37</v>
      </c>
      <c r="M182" s="29">
        <v>25</v>
      </c>
      <c r="N182" s="29">
        <v>6.3</v>
      </c>
      <c r="O182" s="29">
        <v>18.399999999999999</v>
      </c>
      <c r="P182" s="29">
        <v>1.0900000000000001</v>
      </c>
      <c r="Q182" s="29">
        <f t="shared" si="10"/>
        <v>16.880733944954127</v>
      </c>
      <c r="R182" s="29">
        <v>150</v>
      </c>
      <c r="S182" s="79">
        <v>0.157</v>
      </c>
      <c r="U182" s="80">
        <f>(S182-0.098)/R182</f>
        <v>3.9333333333333332E-4</v>
      </c>
      <c r="V182" s="80">
        <f t="shared" si="11"/>
        <v>3.9333333333333331E-2</v>
      </c>
    </row>
    <row r="183" spans="1:22" x14ac:dyDescent="0.3">
      <c r="A183" s="5" t="s">
        <v>172</v>
      </c>
      <c r="C183" s="5">
        <v>2015</v>
      </c>
      <c r="D183" s="5">
        <v>113.62</v>
      </c>
      <c r="E183" s="5">
        <v>28.15</v>
      </c>
      <c r="F183" s="5">
        <v>2013</v>
      </c>
      <c r="G183" s="29">
        <v>832.5</v>
      </c>
      <c r="H183" s="29">
        <v>624</v>
      </c>
      <c r="I183" s="29">
        <v>25.41</v>
      </c>
      <c r="J183" s="29">
        <v>1.1399999999999999</v>
      </c>
      <c r="K183" s="29">
        <v>38</v>
      </c>
      <c r="L183" s="29">
        <v>37</v>
      </c>
      <c r="M183" s="29">
        <v>25</v>
      </c>
      <c r="N183" s="29">
        <v>6.3</v>
      </c>
      <c r="O183" s="29">
        <v>18.399999999999999</v>
      </c>
      <c r="P183" s="29">
        <v>1.0900000000000001</v>
      </c>
      <c r="Q183" s="29">
        <f t="shared" si="10"/>
        <v>16.880733944954127</v>
      </c>
      <c r="R183" s="29">
        <v>120</v>
      </c>
      <c r="S183" s="79">
        <v>0.16800000000000001</v>
      </c>
      <c r="U183" s="80">
        <f>(S183-0.098)/R183</f>
        <v>5.8333333333333338E-4</v>
      </c>
      <c r="V183" s="80">
        <f t="shared" si="11"/>
        <v>5.8333333333333341E-2</v>
      </c>
    </row>
    <row r="184" spans="1:22" x14ac:dyDescent="0.3">
      <c r="A184" s="5" t="s">
        <v>172</v>
      </c>
      <c r="C184" s="5">
        <v>2015</v>
      </c>
      <c r="D184" s="5">
        <v>113.62</v>
      </c>
      <c r="E184" s="5">
        <v>28.15</v>
      </c>
      <c r="F184" s="5">
        <v>2013</v>
      </c>
      <c r="G184" s="29">
        <v>832.5</v>
      </c>
      <c r="H184" s="29">
        <v>624</v>
      </c>
      <c r="I184" s="29">
        <v>25.41</v>
      </c>
      <c r="J184" s="29">
        <v>1.1399999999999999</v>
      </c>
      <c r="K184" s="29">
        <v>38</v>
      </c>
      <c r="L184" s="29">
        <v>37</v>
      </c>
      <c r="M184" s="29">
        <v>25</v>
      </c>
      <c r="N184" s="29">
        <v>6.3</v>
      </c>
      <c r="O184" s="29">
        <v>18.399999999999999</v>
      </c>
      <c r="P184" s="29">
        <v>1.0900000000000001</v>
      </c>
      <c r="Q184" s="29">
        <f t="shared" si="10"/>
        <v>16.880733944954127</v>
      </c>
      <c r="R184" s="29">
        <v>150</v>
      </c>
      <c r="S184" s="79">
        <v>0.215</v>
      </c>
      <c r="U184" s="80">
        <f>(S184-0.098)/R184</f>
        <v>7.7999999999999999E-4</v>
      </c>
      <c r="V184" s="80">
        <f t="shared" si="11"/>
        <v>7.8E-2</v>
      </c>
    </row>
    <row r="185" spans="1:22" x14ac:dyDescent="0.3">
      <c r="A185" s="5" t="s">
        <v>172</v>
      </c>
      <c r="C185" s="5">
        <v>2015</v>
      </c>
      <c r="D185" s="5">
        <v>113.62</v>
      </c>
      <c r="E185" s="5">
        <v>28.15</v>
      </c>
      <c r="F185" s="5">
        <v>2013</v>
      </c>
      <c r="G185" s="29">
        <v>832.5</v>
      </c>
      <c r="H185" s="29">
        <v>624</v>
      </c>
      <c r="I185" s="29">
        <v>25.41</v>
      </c>
      <c r="J185" s="29">
        <v>1.1399999999999999</v>
      </c>
      <c r="K185" s="29">
        <v>38</v>
      </c>
      <c r="L185" s="29">
        <v>37</v>
      </c>
      <c r="M185" s="29">
        <v>25</v>
      </c>
      <c r="N185" s="29">
        <v>6.3</v>
      </c>
      <c r="O185" s="29">
        <v>18.399999999999999</v>
      </c>
      <c r="P185" s="29">
        <v>1.0900000000000001</v>
      </c>
      <c r="Q185" s="29">
        <f t="shared" si="10"/>
        <v>16.880733944954127</v>
      </c>
      <c r="R185" s="29">
        <v>180</v>
      </c>
      <c r="S185" s="79">
        <v>0.22</v>
      </c>
      <c r="U185" s="80">
        <f>(S185-0.098)/R185</f>
        <v>6.777777777777778E-4</v>
      </c>
      <c r="V185" s="80">
        <f t="shared" si="11"/>
        <v>6.7777777777777784E-2</v>
      </c>
    </row>
    <row r="186" spans="1:22" x14ac:dyDescent="0.3">
      <c r="A186" s="5" t="s">
        <v>172</v>
      </c>
      <c r="C186" s="5">
        <v>2015</v>
      </c>
      <c r="D186" s="5">
        <v>113.62</v>
      </c>
      <c r="E186" s="5">
        <v>28.15</v>
      </c>
      <c r="F186" s="5">
        <v>2011</v>
      </c>
      <c r="G186" s="29">
        <v>744</v>
      </c>
      <c r="H186" s="29">
        <v>624</v>
      </c>
      <c r="I186" s="29">
        <v>24.6</v>
      </c>
      <c r="J186" s="29">
        <v>1.1399999999999999</v>
      </c>
      <c r="K186" s="29">
        <v>31.714285709999999</v>
      </c>
      <c r="L186" s="29">
        <v>36.6122449</v>
      </c>
      <c r="M186" s="29">
        <v>31.673469390000001</v>
      </c>
      <c r="N186" s="29">
        <v>6.3</v>
      </c>
      <c r="O186" s="29">
        <v>18.399999999999999</v>
      </c>
      <c r="P186" s="29">
        <v>1.0900000000000001</v>
      </c>
      <c r="Q186" s="29">
        <f t="shared" si="10"/>
        <v>16.880733944954127</v>
      </c>
      <c r="R186" s="29">
        <v>0</v>
      </c>
      <c r="S186" s="79">
        <v>0.183</v>
      </c>
      <c r="V186" s="80">
        <f t="shared" si="11"/>
        <v>0</v>
      </c>
    </row>
    <row r="187" spans="1:22" x14ac:dyDescent="0.3">
      <c r="A187" s="5" t="s">
        <v>172</v>
      </c>
      <c r="C187" s="5">
        <v>2015</v>
      </c>
      <c r="D187" s="5">
        <v>113.62</v>
      </c>
      <c r="E187" s="5">
        <v>28.15</v>
      </c>
      <c r="F187" s="5">
        <v>2011</v>
      </c>
      <c r="G187" s="29">
        <v>744</v>
      </c>
      <c r="H187" s="29">
        <v>624</v>
      </c>
      <c r="I187" s="29">
        <v>24.6</v>
      </c>
      <c r="J187" s="29">
        <v>1.1399999999999999</v>
      </c>
      <c r="K187" s="29">
        <v>38</v>
      </c>
      <c r="L187" s="29">
        <v>37</v>
      </c>
      <c r="M187" s="29">
        <v>25</v>
      </c>
      <c r="N187" s="29">
        <v>6.3</v>
      </c>
      <c r="O187" s="29">
        <v>18.399999999999999</v>
      </c>
      <c r="P187" s="29">
        <v>1.0900000000000001</v>
      </c>
      <c r="Q187" s="29">
        <f t="shared" si="10"/>
        <v>16.880733944954127</v>
      </c>
      <c r="R187" s="29">
        <v>165</v>
      </c>
      <c r="S187" s="79">
        <v>0.441</v>
      </c>
      <c r="U187" s="80">
        <f>(S187-0.183)/R187</f>
        <v>1.5636363636363636E-3</v>
      </c>
      <c r="V187" s="80">
        <f t="shared" si="11"/>
        <v>0.15636363636363637</v>
      </c>
    </row>
    <row r="188" spans="1:22" x14ac:dyDescent="0.3">
      <c r="A188" s="5" t="s">
        <v>172</v>
      </c>
      <c r="C188" s="5">
        <v>2015</v>
      </c>
      <c r="D188" s="5">
        <v>113.62</v>
      </c>
      <c r="E188" s="5">
        <v>28.15</v>
      </c>
      <c r="F188" s="5">
        <v>2011</v>
      </c>
      <c r="G188" s="29">
        <v>744</v>
      </c>
      <c r="H188" s="29">
        <v>624</v>
      </c>
      <c r="I188" s="29">
        <v>24.6</v>
      </c>
      <c r="J188" s="29">
        <v>1.1399999999999999</v>
      </c>
      <c r="K188" s="29">
        <v>38</v>
      </c>
      <c r="L188" s="29">
        <v>37</v>
      </c>
      <c r="M188" s="29">
        <v>25</v>
      </c>
      <c r="N188" s="29">
        <v>6.3</v>
      </c>
      <c r="O188" s="29">
        <v>18.399999999999999</v>
      </c>
      <c r="P188" s="29">
        <v>1.0900000000000001</v>
      </c>
      <c r="Q188" s="29">
        <f t="shared" si="10"/>
        <v>16.880733944954127</v>
      </c>
      <c r="R188" s="29">
        <v>135</v>
      </c>
      <c r="S188" s="79">
        <v>0.34</v>
      </c>
      <c r="U188" s="80">
        <f>(S188-0.183)/R188</f>
        <v>1.1629629629629631E-3</v>
      </c>
      <c r="V188" s="80">
        <f t="shared" si="11"/>
        <v>0.11629629629629631</v>
      </c>
    </row>
    <row r="189" spans="1:22" x14ac:dyDescent="0.3">
      <c r="A189" s="5" t="s">
        <v>172</v>
      </c>
      <c r="C189" s="5">
        <v>2015</v>
      </c>
      <c r="D189" s="5">
        <v>113.62</v>
      </c>
      <c r="E189" s="5">
        <v>28.15</v>
      </c>
      <c r="F189" s="5">
        <v>2011</v>
      </c>
      <c r="G189" s="29">
        <v>744</v>
      </c>
      <c r="H189" s="29">
        <v>624</v>
      </c>
      <c r="I189" s="29">
        <v>24.6</v>
      </c>
      <c r="J189" s="29">
        <v>1.1399999999999999</v>
      </c>
      <c r="K189" s="29">
        <v>38</v>
      </c>
      <c r="L189" s="29">
        <v>37</v>
      </c>
      <c r="M189" s="29">
        <v>25</v>
      </c>
      <c r="N189" s="29">
        <v>6.3</v>
      </c>
      <c r="O189" s="29">
        <v>18.399999999999999</v>
      </c>
      <c r="P189" s="29">
        <v>1.0900000000000001</v>
      </c>
      <c r="Q189" s="29">
        <f t="shared" si="10"/>
        <v>16.880733944954127</v>
      </c>
      <c r="R189" s="29">
        <v>165</v>
      </c>
      <c r="S189" s="79">
        <v>0.64</v>
      </c>
      <c r="U189" s="80">
        <f>(S189-0.183)/R189</f>
        <v>2.7696969696969697E-3</v>
      </c>
      <c r="V189" s="80">
        <f t="shared" si="11"/>
        <v>0.27696969696969698</v>
      </c>
    </row>
    <row r="190" spans="1:22" x14ac:dyDescent="0.3">
      <c r="A190" s="5" t="s">
        <v>172</v>
      </c>
      <c r="C190" s="5">
        <v>2015</v>
      </c>
      <c r="D190" s="5">
        <v>113.62</v>
      </c>
      <c r="E190" s="5">
        <v>28.15</v>
      </c>
      <c r="F190" s="5">
        <v>2011</v>
      </c>
      <c r="G190" s="29">
        <v>744</v>
      </c>
      <c r="H190" s="29">
        <v>624</v>
      </c>
      <c r="I190" s="29">
        <v>24.6</v>
      </c>
      <c r="J190" s="29">
        <v>1.1399999999999999</v>
      </c>
      <c r="K190" s="29">
        <v>38</v>
      </c>
      <c r="L190" s="29">
        <v>37</v>
      </c>
      <c r="M190" s="29">
        <v>25</v>
      </c>
      <c r="N190" s="29">
        <v>6.3</v>
      </c>
      <c r="O190" s="29">
        <v>18.399999999999999</v>
      </c>
      <c r="P190" s="29">
        <v>1.0900000000000001</v>
      </c>
      <c r="Q190" s="29">
        <f t="shared" si="10"/>
        <v>16.880733944954127</v>
      </c>
      <c r="R190" s="29">
        <v>195</v>
      </c>
      <c r="S190" s="79">
        <v>0.67200000000000004</v>
      </c>
      <c r="U190" s="80">
        <f>(S190-0.183)/R190</f>
        <v>2.507692307692308E-3</v>
      </c>
      <c r="V190" s="80">
        <f t="shared" si="11"/>
        <v>0.2507692307692308</v>
      </c>
    </row>
    <row r="191" spans="1:22" x14ac:dyDescent="0.3">
      <c r="A191" s="5" t="s">
        <v>172</v>
      </c>
      <c r="C191" s="5">
        <v>2015</v>
      </c>
      <c r="D191" s="5">
        <v>113.62</v>
      </c>
      <c r="E191" s="5">
        <v>28.15</v>
      </c>
      <c r="F191" s="5">
        <v>2012</v>
      </c>
      <c r="G191" s="29">
        <v>1050</v>
      </c>
      <c r="H191" s="29">
        <v>438</v>
      </c>
      <c r="I191" s="29">
        <v>25.9</v>
      </c>
      <c r="J191" s="29">
        <v>1.1399999999999999</v>
      </c>
      <c r="K191" s="29">
        <v>31.714285709999999</v>
      </c>
      <c r="L191" s="29">
        <v>36.6122449</v>
      </c>
      <c r="M191" s="29">
        <v>31.673469390000001</v>
      </c>
      <c r="N191" s="29">
        <v>6.3</v>
      </c>
      <c r="O191" s="29">
        <v>18.399999999999999</v>
      </c>
      <c r="P191" s="29">
        <v>1.0900000000000001</v>
      </c>
      <c r="Q191" s="29">
        <f t="shared" si="10"/>
        <v>16.880733944954127</v>
      </c>
      <c r="R191" s="29">
        <v>0</v>
      </c>
      <c r="S191" s="79">
        <v>0.161</v>
      </c>
      <c r="V191" s="80">
        <f t="shared" si="11"/>
        <v>0</v>
      </c>
    </row>
    <row r="192" spans="1:22" x14ac:dyDescent="0.3">
      <c r="A192" s="5" t="s">
        <v>172</v>
      </c>
      <c r="C192" s="5">
        <v>2015</v>
      </c>
      <c r="D192" s="5">
        <v>113.62</v>
      </c>
      <c r="E192" s="5">
        <v>28.15</v>
      </c>
      <c r="F192" s="5">
        <v>2012</v>
      </c>
      <c r="G192" s="29">
        <v>1050</v>
      </c>
      <c r="H192" s="29">
        <v>438</v>
      </c>
      <c r="I192" s="29">
        <v>25.9</v>
      </c>
      <c r="J192" s="29">
        <v>1.1399999999999999</v>
      </c>
      <c r="K192" s="29">
        <v>38</v>
      </c>
      <c r="L192" s="29">
        <v>37</v>
      </c>
      <c r="M192" s="29">
        <v>25</v>
      </c>
      <c r="N192" s="29">
        <v>6.3</v>
      </c>
      <c r="O192" s="29">
        <v>18.399999999999999</v>
      </c>
      <c r="P192" s="29">
        <v>1.0900000000000001</v>
      </c>
      <c r="Q192" s="29">
        <f t="shared" si="10"/>
        <v>16.880733944954127</v>
      </c>
      <c r="R192" s="29">
        <v>165</v>
      </c>
      <c r="S192" s="79">
        <v>0.44</v>
      </c>
      <c r="U192" s="80">
        <f>(S192-0.161)/R192</f>
        <v>1.690909090909091E-3</v>
      </c>
      <c r="V192" s="80">
        <f t="shared" si="11"/>
        <v>0.1690909090909091</v>
      </c>
    </row>
    <row r="193" spans="1:22" x14ac:dyDescent="0.3">
      <c r="A193" s="5" t="s">
        <v>172</v>
      </c>
      <c r="C193" s="5">
        <v>2015</v>
      </c>
      <c r="D193" s="5">
        <v>113.62</v>
      </c>
      <c r="E193" s="5">
        <v>28.15</v>
      </c>
      <c r="F193" s="5">
        <v>2012</v>
      </c>
      <c r="G193" s="29">
        <v>1050</v>
      </c>
      <c r="H193" s="29">
        <v>438</v>
      </c>
      <c r="I193" s="29">
        <v>25.9</v>
      </c>
      <c r="J193" s="29">
        <v>1.1399999999999999</v>
      </c>
      <c r="K193" s="29">
        <v>38</v>
      </c>
      <c r="L193" s="29">
        <v>37</v>
      </c>
      <c r="M193" s="29">
        <v>25</v>
      </c>
      <c r="N193" s="29">
        <v>6.3</v>
      </c>
      <c r="O193" s="29">
        <v>18.399999999999999</v>
      </c>
      <c r="P193" s="29">
        <v>1.0900000000000001</v>
      </c>
      <c r="Q193" s="29">
        <f t="shared" si="10"/>
        <v>16.880733944954127</v>
      </c>
      <c r="R193" s="29">
        <v>135</v>
      </c>
      <c r="S193" s="79">
        <v>0.37</v>
      </c>
      <c r="U193" s="80">
        <f>(S193-0.161)/R193</f>
        <v>1.5481481481481481E-3</v>
      </c>
      <c r="V193" s="80">
        <f t="shared" si="11"/>
        <v>0.15481481481481482</v>
      </c>
    </row>
    <row r="194" spans="1:22" x14ac:dyDescent="0.3">
      <c r="A194" s="5" t="s">
        <v>172</v>
      </c>
      <c r="C194" s="5">
        <v>2015</v>
      </c>
      <c r="D194" s="5">
        <v>113.62</v>
      </c>
      <c r="E194" s="5">
        <v>28.15</v>
      </c>
      <c r="F194" s="5">
        <v>2012</v>
      </c>
      <c r="G194" s="29">
        <v>1050</v>
      </c>
      <c r="H194" s="29">
        <v>438</v>
      </c>
      <c r="I194" s="29">
        <v>25.9</v>
      </c>
      <c r="J194" s="29">
        <v>1.1399999999999999</v>
      </c>
      <c r="K194" s="29">
        <v>38</v>
      </c>
      <c r="L194" s="29">
        <v>37</v>
      </c>
      <c r="M194" s="29">
        <v>25</v>
      </c>
      <c r="N194" s="29">
        <v>6.3</v>
      </c>
      <c r="O194" s="29">
        <v>18.399999999999999</v>
      </c>
      <c r="P194" s="29">
        <v>1.0900000000000001</v>
      </c>
      <c r="Q194" s="29">
        <f t="shared" si="10"/>
        <v>16.880733944954127</v>
      </c>
      <c r="R194" s="29">
        <v>165</v>
      </c>
      <c r="S194" s="79">
        <v>0.63</v>
      </c>
      <c r="U194" s="80">
        <f>(S194-0.161)/R194</f>
        <v>2.8424242424242422E-3</v>
      </c>
      <c r="V194" s="80">
        <f t="shared" si="11"/>
        <v>0.28424242424242424</v>
      </c>
    </row>
    <row r="195" spans="1:22" x14ac:dyDescent="0.3">
      <c r="A195" s="5" t="s">
        <v>172</v>
      </c>
      <c r="C195" s="5">
        <v>2015</v>
      </c>
      <c r="D195" s="5">
        <v>113.62</v>
      </c>
      <c r="E195" s="5">
        <v>28.15</v>
      </c>
      <c r="F195" s="5">
        <v>2012</v>
      </c>
      <c r="G195" s="29">
        <v>1050</v>
      </c>
      <c r="H195" s="29">
        <v>438</v>
      </c>
      <c r="I195" s="29">
        <v>25.9</v>
      </c>
      <c r="J195" s="29">
        <v>1.1399999999999999</v>
      </c>
      <c r="K195" s="29">
        <v>38</v>
      </c>
      <c r="L195" s="29">
        <v>37</v>
      </c>
      <c r="M195" s="29">
        <v>25</v>
      </c>
      <c r="N195" s="29">
        <v>6.3</v>
      </c>
      <c r="O195" s="29">
        <v>18.399999999999999</v>
      </c>
      <c r="P195" s="29">
        <v>1.0900000000000001</v>
      </c>
      <c r="Q195" s="29">
        <f t="shared" si="10"/>
        <v>16.880733944954127</v>
      </c>
      <c r="R195" s="29">
        <v>195</v>
      </c>
      <c r="S195" s="79">
        <v>0.72</v>
      </c>
      <c r="U195" s="80">
        <f>(S195-0.161)/R195</f>
        <v>2.8666666666666662E-3</v>
      </c>
      <c r="V195" s="80">
        <f t="shared" si="11"/>
        <v>0.28666666666666663</v>
      </c>
    </row>
    <row r="196" spans="1:22" x14ac:dyDescent="0.3">
      <c r="A196" s="5" t="s">
        <v>172</v>
      </c>
      <c r="C196" s="5">
        <v>2015</v>
      </c>
      <c r="D196" s="5">
        <v>113.62</v>
      </c>
      <c r="E196" s="5">
        <v>28.15</v>
      </c>
      <c r="F196" s="5">
        <v>2013</v>
      </c>
      <c r="G196" s="29">
        <v>832.5</v>
      </c>
      <c r="H196" s="29">
        <v>624</v>
      </c>
      <c r="I196" s="29">
        <v>26.76</v>
      </c>
      <c r="J196" s="29">
        <v>1.1399999999999999</v>
      </c>
      <c r="K196" s="29">
        <v>31.714285709999999</v>
      </c>
      <c r="L196" s="29">
        <v>36.6122449</v>
      </c>
      <c r="M196" s="29">
        <v>31.673469390000001</v>
      </c>
      <c r="N196" s="29">
        <v>6.3</v>
      </c>
      <c r="O196" s="29">
        <v>18.399999999999999</v>
      </c>
      <c r="P196" s="29">
        <v>1.0900000000000001</v>
      </c>
      <c r="Q196" s="29">
        <f t="shared" si="10"/>
        <v>16.880733944954127</v>
      </c>
      <c r="R196" s="29">
        <v>0</v>
      </c>
      <c r="S196" s="79">
        <v>0.09</v>
      </c>
      <c r="V196" s="80">
        <f t="shared" si="11"/>
        <v>0</v>
      </c>
    </row>
    <row r="197" spans="1:22" x14ac:dyDescent="0.3">
      <c r="A197" s="5" t="s">
        <v>172</v>
      </c>
      <c r="C197" s="5">
        <v>2015</v>
      </c>
      <c r="D197" s="5">
        <v>113.62</v>
      </c>
      <c r="E197" s="5">
        <v>28.15</v>
      </c>
      <c r="F197" s="5">
        <v>2013</v>
      </c>
      <c r="G197" s="29">
        <v>832.5</v>
      </c>
      <c r="H197" s="29">
        <v>624</v>
      </c>
      <c r="I197" s="29">
        <v>26.76</v>
      </c>
      <c r="J197" s="29">
        <v>1.1399999999999999</v>
      </c>
      <c r="K197" s="29">
        <v>38</v>
      </c>
      <c r="L197" s="29">
        <v>37</v>
      </c>
      <c r="M197" s="29">
        <v>25</v>
      </c>
      <c r="N197" s="29">
        <v>6.3</v>
      </c>
      <c r="O197" s="29">
        <v>18.399999999999999</v>
      </c>
      <c r="P197" s="29">
        <v>1.0900000000000001</v>
      </c>
      <c r="Q197" s="29">
        <f t="shared" si="10"/>
        <v>16.880733944954127</v>
      </c>
      <c r="R197" s="29">
        <v>165</v>
      </c>
      <c r="S197" s="79">
        <v>0.37</v>
      </c>
      <c r="U197" s="80">
        <f>(S197-0.09)/R197</f>
        <v>1.6969696969696972E-3</v>
      </c>
      <c r="V197" s="80">
        <f t="shared" si="11"/>
        <v>0.16969696969696973</v>
      </c>
    </row>
    <row r="198" spans="1:22" x14ac:dyDescent="0.3">
      <c r="A198" s="5" t="s">
        <v>172</v>
      </c>
      <c r="C198" s="5">
        <v>2015</v>
      </c>
      <c r="D198" s="5">
        <v>113.62</v>
      </c>
      <c r="E198" s="5">
        <v>28.15</v>
      </c>
      <c r="F198" s="5">
        <v>2013</v>
      </c>
      <c r="G198" s="29">
        <v>832.5</v>
      </c>
      <c r="H198" s="29">
        <v>624</v>
      </c>
      <c r="I198" s="29">
        <v>26.76</v>
      </c>
      <c r="J198" s="29">
        <v>1.1399999999999999</v>
      </c>
      <c r="K198" s="29">
        <v>38</v>
      </c>
      <c r="L198" s="29">
        <v>37</v>
      </c>
      <c r="M198" s="29">
        <v>25</v>
      </c>
      <c r="N198" s="29">
        <v>6.3</v>
      </c>
      <c r="O198" s="29">
        <v>18.399999999999999</v>
      </c>
      <c r="P198" s="29">
        <v>1.0900000000000001</v>
      </c>
      <c r="Q198" s="29">
        <f t="shared" si="10"/>
        <v>16.880733944954127</v>
      </c>
      <c r="R198" s="29">
        <v>135</v>
      </c>
      <c r="S198" s="79">
        <v>0.14000000000000001</v>
      </c>
      <c r="U198" s="80">
        <f>(S198-0.09)/R198</f>
        <v>3.7037037037037051E-4</v>
      </c>
      <c r="V198" s="80">
        <f t="shared" si="11"/>
        <v>3.7037037037037049E-2</v>
      </c>
    </row>
    <row r="199" spans="1:22" x14ac:dyDescent="0.3">
      <c r="A199" s="5" t="s">
        <v>172</v>
      </c>
      <c r="C199" s="5">
        <v>2015</v>
      </c>
      <c r="D199" s="5">
        <v>113.62</v>
      </c>
      <c r="E199" s="5">
        <v>28.15</v>
      </c>
      <c r="F199" s="5">
        <v>2013</v>
      </c>
      <c r="G199" s="29">
        <v>832.5</v>
      </c>
      <c r="H199" s="29">
        <v>624</v>
      </c>
      <c r="I199" s="29">
        <v>26.76</v>
      </c>
      <c r="J199" s="29">
        <v>1.1399999999999999</v>
      </c>
      <c r="K199" s="29">
        <v>38</v>
      </c>
      <c r="L199" s="29">
        <v>37</v>
      </c>
      <c r="M199" s="29">
        <v>25</v>
      </c>
      <c r="N199" s="29">
        <v>6.3</v>
      </c>
      <c r="O199" s="29">
        <v>18.399999999999999</v>
      </c>
      <c r="P199" s="29">
        <v>1.0900000000000001</v>
      </c>
      <c r="Q199" s="29">
        <f t="shared" si="10"/>
        <v>16.880733944954127</v>
      </c>
      <c r="R199" s="29">
        <v>165</v>
      </c>
      <c r="S199" s="79">
        <v>0.39</v>
      </c>
      <c r="U199" s="80">
        <f>(S199-0.09)/R199</f>
        <v>1.8181818181818184E-3</v>
      </c>
      <c r="V199" s="80">
        <f t="shared" si="11"/>
        <v>0.18181818181818185</v>
      </c>
    </row>
    <row r="200" spans="1:22" x14ac:dyDescent="0.3">
      <c r="A200" s="81" t="s">
        <v>172</v>
      </c>
      <c r="B200" s="81"/>
      <c r="C200" s="81">
        <v>2015</v>
      </c>
      <c r="D200" s="81">
        <v>113.62</v>
      </c>
      <c r="E200" s="81">
        <v>28.15</v>
      </c>
      <c r="F200" s="81">
        <v>2013</v>
      </c>
      <c r="G200" s="34">
        <v>832.5</v>
      </c>
      <c r="H200" s="34">
        <v>624</v>
      </c>
      <c r="I200" s="34">
        <v>26.76</v>
      </c>
      <c r="J200" s="34">
        <v>1.1399999999999999</v>
      </c>
      <c r="K200" s="29">
        <v>38</v>
      </c>
      <c r="L200" s="29">
        <v>37</v>
      </c>
      <c r="M200" s="29">
        <v>25</v>
      </c>
      <c r="N200" s="34">
        <v>6.3</v>
      </c>
      <c r="O200" s="34">
        <v>18.399999999999999</v>
      </c>
      <c r="P200" s="34">
        <v>1.0900000000000001</v>
      </c>
      <c r="Q200" s="34">
        <f t="shared" si="10"/>
        <v>16.880733944954127</v>
      </c>
      <c r="R200" s="34">
        <v>195</v>
      </c>
      <c r="S200" s="82">
        <v>0.4</v>
      </c>
      <c r="T200" s="34"/>
      <c r="U200" s="83">
        <f>(S200-0.09)/R200</f>
        <v>1.5897435897435899E-3</v>
      </c>
      <c r="V200" s="83">
        <f t="shared" si="11"/>
        <v>0.15897435897435899</v>
      </c>
    </row>
    <row r="201" spans="1:22" x14ac:dyDescent="0.3">
      <c r="A201" s="5" t="s">
        <v>42</v>
      </c>
      <c r="C201" s="5">
        <v>2015</v>
      </c>
      <c r="D201" s="5">
        <v>120.7</v>
      </c>
      <c r="E201" s="5">
        <v>31.53</v>
      </c>
      <c r="F201" s="5">
        <v>2009</v>
      </c>
      <c r="G201" s="29">
        <v>822.00000000000011</v>
      </c>
      <c r="H201" s="29">
        <v>952.5</v>
      </c>
      <c r="I201" s="29">
        <v>25.9</v>
      </c>
      <c r="J201" s="29">
        <v>1.12181818</v>
      </c>
      <c r="K201" s="29">
        <v>20.81818182</v>
      </c>
      <c r="L201" s="29">
        <v>27.09090909</v>
      </c>
      <c r="M201" s="29">
        <v>33.909090910000003</v>
      </c>
      <c r="N201" s="29">
        <v>7.6</v>
      </c>
      <c r="O201" s="29">
        <v>35</v>
      </c>
      <c r="P201" s="29">
        <v>2.12</v>
      </c>
      <c r="Q201" s="29">
        <f t="shared" si="10"/>
        <v>16.509433962264151</v>
      </c>
      <c r="R201" s="29">
        <v>0</v>
      </c>
      <c r="S201" s="79">
        <v>0.13</v>
      </c>
      <c r="T201" s="44">
        <f>AVERAGE(S201,S205)</f>
        <v>0.28500000000000003</v>
      </c>
      <c r="V201" s="80">
        <f t="shared" si="11"/>
        <v>0</v>
      </c>
    </row>
    <row r="202" spans="1:22" x14ac:dyDescent="0.3">
      <c r="A202" s="5" t="s">
        <v>42</v>
      </c>
      <c r="C202" s="5">
        <v>2015</v>
      </c>
      <c r="D202" s="5">
        <v>120.7</v>
      </c>
      <c r="E202" s="5">
        <v>31.53</v>
      </c>
      <c r="F202" s="5">
        <v>2009</v>
      </c>
      <c r="G202" s="29">
        <v>822.00000000000011</v>
      </c>
      <c r="H202" s="29">
        <v>952.5</v>
      </c>
      <c r="I202" s="29">
        <v>25.9</v>
      </c>
      <c r="J202" s="29">
        <v>1.52</v>
      </c>
      <c r="K202" s="29">
        <v>36</v>
      </c>
      <c r="L202" s="29">
        <v>43</v>
      </c>
      <c r="M202" s="29">
        <v>21</v>
      </c>
      <c r="N202" s="29">
        <v>7.6</v>
      </c>
      <c r="O202" s="29">
        <v>20.3</v>
      </c>
      <c r="P202" s="29">
        <v>2.12</v>
      </c>
      <c r="Q202" s="29">
        <f t="shared" si="10"/>
        <v>9.5754716981132066</v>
      </c>
      <c r="R202" s="29">
        <v>300</v>
      </c>
      <c r="S202" s="79">
        <v>0.27</v>
      </c>
      <c r="U202" s="80">
        <f>(S202-0.13)/R202</f>
        <v>4.6666666666666672E-4</v>
      </c>
      <c r="V202" s="80">
        <f t="shared" si="11"/>
        <v>4.6666666666666669E-2</v>
      </c>
    </row>
    <row r="203" spans="1:22" x14ac:dyDescent="0.3">
      <c r="A203" s="5" t="s">
        <v>42</v>
      </c>
      <c r="C203" s="5">
        <v>2015</v>
      </c>
      <c r="D203" s="5">
        <v>120.7</v>
      </c>
      <c r="E203" s="5">
        <v>31.53</v>
      </c>
      <c r="F203" s="5">
        <v>2009</v>
      </c>
      <c r="G203" s="29">
        <v>822.00000000000011</v>
      </c>
      <c r="H203" s="29">
        <v>952.5</v>
      </c>
      <c r="I203" s="29">
        <v>25.9</v>
      </c>
      <c r="J203" s="29">
        <v>1.52</v>
      </c>
      <c r="K203" s="29">
        <v>36</v>
      </c>
      <c r="L203" s="29">
        <v>43</v>
      </c>
      <c r="M203" s="29">
        <v>21</v>
      </c>
      <c r="N203" s="29">
        <v>7.6</v>
      </c>
      <c r="O203" s="29">
        <v>20.3</v>
      </c>
      <c r="P203" s="29">
        <v>2.12</v>
      </c>
      <c r="Q203" s="29">
        <f t="shared" si="10"/>
        <v>9.5754716981132066</v>
      </c>
      <c r="R203" s="29">
        <v>225</v>
      </c>
      <c r="S203" s="79">
        <v>0.45</v>
      </c>
      <c r="U203" s="80">
        <f>(S203-0.13)/R203</f>
        <v>1.4222222222222223E-3</v>
      </c>
      <c r="V203" s="80">
        <f t="shared" si="11"/>
        <v>0.14222222222222222</v>
      </c>
    </row>
    <row r="204" spans="1:22" x14ac:dyDescent="0.3">
      <c r="A204" s="5" t="s">
        <v>42</v>
      </c>
      <c r="C204" s="5">
        <v>2015</v>
      </c>
      <c r="D204" s="5">
        <v>120.7</v>
      </c>
      <c r="E204" s="5">
        <v>31.53</v>
      </c>
      <c r="F204" s="5">
        <v>2009</v>
      </c>
      <c r="G204" s="29">
        <v>822.00000000000011</v>
      </c>
      <c r="H204" s="29">
        <v>952.5</v>
      </c>
      <c r="I204" s="29">
        <v>25.9</v>
      </c>
      <c r="J204" s="29">
        <v>1.52</v>
      </c>
      <c r="K204" s="29">
        <v>36</v>
      </c>
      <c r="L204" s="29">
        <v>43</v>
      </c>
      <c r="M204" s="29">
        <v>21</v>
      </c>
      <c r="N204" s="29">
        <v>7.6</v>
      </c>
      <c r="O204" s="29">
        <v>20.3</v>
      </c>
      <c r="P204" s="29">
        <v>2.12</v>
      </c>
      <c r="Q204" s="29">
        <f t="shared" si="10"/>
        <v>9.5754716981132066</v>
      </c>
      <c r="R204" s="29">
        <v>365</v>
      </c>
      <c r="S204" s="79">
        <v>1.07</v>
      </c>
      <c r="U204" s="80">
        <f>(S204-0.13)/R204</f>
        <v>2.575342465753425E-3</v>
      </c>
      <c r="V204" s="80">
        <f t="shared" si="11"/>
        <v>0.25753424657534252</v>
      </c>
    </row>
    <row r="205" spans="1:22" x14ac:dyDescent="0.3">
      <c r="A205" s="5" t="s">
        <v>42</v>
      </c>
      <c r="C205" s="5">
        <v>2015</v>
      </c>
      <c r="D205" s="5">
        <v>120.7</v>
      </c>
      <c r="E205" s="5">
        <v>31.53</v>
      </c>
      <c r="F205" s="5">
        <v>2010</v>
      </c>
      <c r="G205" s="29">
        <v>651</v>
      </c>
      <c r="H205" s="29">
        <v>774</v>
      </c>
      <c r="I205" s="29">
        <v>26.15</v>
      </c>
      <c r="J205" s="29">
        <v>1.12181818</v>
      </c>
      <c r="K205" s="29">
        <v>20.81818182</v>
      </c>
      <c r="L205" s="29">
        <v>27.09090909</v>
      </c>
      <c r="M205" s="29">
        <v>33.909090910000003</v>
      </c>
      <c r="N205" s="29">
        <v>7.6</v>
      </c>
      <c r="O205" s="29">
        <v>35</v>
      </c>
      <c r="P205" s="29">
        <v>2.12</v>
      </c>
      <c r="Q205" s="29">
        <f t="shared" si="10"/>
        <v>16.509433962264151</v>
      </c>
      <c r="R205" s="29">
        <v>0</v>
      </c>
      <c r="S205" s="79">
        <v>0.44</v>
      </c>
      <c r="V205" s="80">
        <f t="shared" si="11"/>
        <v>0</v>
      </c>
    </row>
    <row r="206" spans="1:22" x14ac:dyDescent="0.3">
      <c r="A206" s="5" t="s">
        <v>42</v>
      </c>
      <c r="C206" s="5">
        <v>2015</v>
      </c>
      <c r="D206" s="5">
        <v>120.7</v>
      </c>
      <c r="E206" s="5">
        <v>31.53</v>
      </c>
      <c r="F206" s="5">
        <v>2010</v>
      </c>
      <c r="G206" s="29">
        <v>651</v>
      </c>
      <c r="H206" s="29">
        <v>774</v>
      </c>
      <c r="I206" s="29">
        <v>26.15</v>
      </c>
      <c r="J206" s="29">
        <v>1.52</v>
      </c>
      <c r="K206" s="29">
        <v>36</v>
      </c>
      <c r="L206" s="29">
        <v>43</v>
      </c>
      <c r="M206" s="29">
        <v>21</v>
      </c>
      <c r="N206" s="29">
        <v>7.6</v>
      </c>
      <c r="O206" s="29">
        <v>20.3</v>
      </c>
      <c r="P206" s="29">
        <v>2.12</v>
      </c>
      <c r="Q206" s="29">
        <f t="shared" si="10"/>
        <v>9.5754716981132066</v>
      </c>
      <c r="R206" s="29">
        <v>300</v>
      </c>
      <c r="S206" s="79">
        <v>0.55000000000000004</v>
      </c>
      <c r="U206" s="80">
        <f>(S206-0.44)/R206</f>
        <v>3.6666666666666683E-4</v>
      </c>
      <c r="V206" s="80">
        <f t="shared" si="11"/>
        <v>3.6666666666666681E-2</v>
      </c>
    </row>
    <row r="207" spans="1:22" x14ac:dyDescent="0.3">
      <c r="A207" s="5" t="s">
        <v>42</v>
      </c>
      <c r="C207" s="5">
        <v>2015</v>
      </c>
      <c r="D207" s="5">
        <v>120.7</v>
      </c>
      <c r="E207" s="5">
        <v>31.53</v>
      </c>
      <c r="F207" s="5">
        <v>2010</v>
      </c>
      <c r="G207" s="29">
        <v>651</v>
      </c>
      <c r="H207" s="29">
        <v>774</v>
      </c>
      <c r="I207" s="29">
        <v>26.15</v>
      </c>
      <c r="J207" s="29">
        <v>1.52</v>
      </c>
      <c r="K207" s="29">
        <v>36</v>
      </c>
      <c r="L207" s="29">
        <v>43</v>
      </c>
      <c r="M207" s="29">
        <v>21</v>
      </c>
      <c r="N207" s="29">
        <v>7.6</v>
      </c>
      <c r="O207" s="29">
        <v>20.3</v>
      </c>
      <c r="P207" s="29">
        <v>2.12</v>
      </c>
      <c r="Q207" s="29">
        <f t="shared" si="10"/>
        <v>9.5754716981132066</v>
      </c>
      <c r="R207" s="29">
        <v>225</v>
      </c>
      <c r="S207" s="79">
        <v>0.62</v>
      </c>
      <c r="U207" s="80">
        <f>(S207-0.44)/R207</f>
        <v>7.9999999999999993E-4</v>
      </c>
      <c r="V207" s="80">
        <f t="shared" si="11"/>
        <v>7.9999999999999988E-2</v>
      </c>
    </row>
    <row r="208" spans="1:22" x14ac:dyDescent="0.3">
      <c r="A208" s="81" t="s">
        <v>42</v>
      </c>
      <c r="B208" s="81"/>
      <c r="C208" s="81">
        <v>2015</v>
      </c>
      <c r="D208" s="81">
        <v>120.7</v>
      </c>
      <c r="E208" s="81">
        <v>31.53</v>
      </c>
      <c r="F208" s="81">
        <v>2010</v>
      </c>
      <c r="G208" s="34">
        <v>651</v>
      </c>
      <c r="H208" s="34">
        <v>774</v>
      </c>
      <c r="I208" s="34">
        <v>26.15</v>
      </c>
      <c r="J208" s="29">
        <v>1.52</v>
      </c>
      <c r="K208" s="29">
        <v>36</v>
      </c>
      <c r="L208" s="29">
        <v>43</v>
      </c>
      <c r="M208" s="29">
        <v>21</v>
      </c>
      <c r="N208" s="34">
        <v>7.6</v>
      </c>
      <c r="O208" s="29">
        <v>20.3</v>
      </c>
      <c r="P208" s="34">
        <v>2.12</v>
      </c>
      <c r="Q208" s="34">
        <f t="shared" si="10"/>
        <v>9.5754716981132066</v>
      </c>
      <c r="R208" s="34">
        <v>365</v>
      </c>
      <c r="S208" s="82">
        <v>0.98</v>
      </c>
      <c r="T208" s="34"/>
      <c r="U208" s="83">
        <f>(S208-0.44)/R208</f>
        <v>1.4794520547945207E-3</v>
      </c>
      <c r="V208" s="83">
        <f t="shared" si="11"/>
        <v>0.14794520547945209</v>
      </c>
    </row>
    <row r="209" spans="1:22" x14ac:dyDescent="0.3">
      <c r="A209" s="5" t="s">
        <v>173</v>
      </c>
      <c r="B209" s="5" t="s">
        <v>174</v>
      </c>
      <c r="C209" s="5">
        <v>2014</v>
      </c>
      <c r="D209" s="5">
        <v>118.83</v>
      </c>
      <c r="E209" s="5">
        <v>31.87</v>
      </c>
      <c r="F209" s="5">
        <v>2011</v>
      </c>
      <c r="G209" s="29">
        <v>783</v>
      </c>
      <c r="H209" s="29">
        <v>841.5</v>
      </c>
      <c r="I209" s="29">
        <v>25.1</v>
      </c>
      <c r="J209" s="29">
        <v>1.2255555499999999</v>
      </c>
      <c r="K209" s="29">
        <v>6</v>
      </c>
      <c r="L209" s="29">
        <v>40</v>
      </c>
      <c r="M209" s="29">
        <v>54</v>
      </c>
      <c r="N209" s="29">
        <v>6.7</v>
      </c>
      <c r="O209" s="29">
        <v>14.8</v>
      </c>
      <c r="P209" s="29">
        <v>1.5</v>
      </c>
      <c r="Q209" s="29">
        <f t="shared" ref="Q209:Q256" si="12">O209/P209</f>
        <v>9.8666666666666671</v>
      </c>
      <c r="R209" s="29">
        <v>0</v>
      </c>
      <c r="S209" s="79">
        <v>0.65</v>
      </c>
      <c r="T209" s="44">
        <f>AVERAGE(S209,S211)</f>
        <v>0.8</v>
      </c>
      <c r="V209" s="80">
        <f t="shared" ref="V209:V257" si="13">U209*100</f>
        <v>0</v>
      </c>
    </row>
    <row r="210" spans="1:22" x14ac:dyDescent="0.3">
      <c r="A210" s="5" t="s">
        <v>173</v>
      </c>
      <c r="B210" s="5" t="s">
        <v>174</v>
      </c>
      <c r="C210" s="5">
        <v>2014</v>
      </c>
      <c r="D210" s="5">
        <v>118.83</v>
      </c>
      <c r="E210" s="5">
        <v>31.87</v>
      </c>
      <c r="F210" s="5">
        <v>2011</v>
      </c>
      <c r="G210" s="29">
        <v>783</v>
      </c>
      <c r="H210" s="29">
        <v>841.5</v>
      </c>
      <c r="I210" s="29">
        <v>25.1</v>
      </c>
      <c r="J210" s="29">
        <v>1.24</v>
      </c>
      <c r="K210" s="29">
        <v>38</v>
      </c>
      <c r="L210" s="29">
        <v>37</v>
      </c>
      <c r="M210" s="29">
        <v>25</v>
      </c>
      <c r="N210" s="29">
        <v>6.7</v>
      </c>
      <c r="O210" s="29">
        <v>14.8</v>
      </c>
      <c r="P210" s="29">
        <v>1.5</v>
      </c>
      <c r="Q210" s="29">
        <f t="shared" si="12"/>
        <v>9.8666666666666671</v>
      </c>
      <c r="R210" s="29">
        <v>250</v>
      </c>
      <c r="S210" s="79">
        <v>1.79</v>
      </c>
      <c r="U210" s="80">
        <f>(S210-S209)/R210</f>
        <v>4.5600000000000007E-3</v>
      </c>
      <c r="V210" s="80">
        <f t="shared" si="13"/>
        <v>0.45600000000000007</v>
      </c>
    </row>
    <row r="211" spans="1:22" x14ac:dyDescent="0.3">
      <c r="A211" s="5" t="s">
        <v>173</v>
      </c>
      <c r="B211" s="5" t="s">
        <v>174</v>
      </c>
      <c r="C211" s="5">
        <v>2014</v>
      </c>
      <c r="D211" s="5">
        <v>118.83</v>
      </c>
      <c r="E211" s="5">
        <v>31.87</v>
      </c>
      <c r="F211" s="5">
        <v>2011</v>
      </c>
      <c r="G211" s="29">
        <v>783</v>
      </c>
      <c r="H211" s="29">
        <v>841.5</v>
      </c>
      <c r="I211" s="29">
        <v>25.1</v>
      </c>
      <c r="J211" s="29">
        <v>1.2255555499999999</v>
      </c>
      <c r="K211" s="29">
        <v>6</v>
      </c>
      <c r="L211" s="29">
        <v>40</v>
      </c>
      <c r="M211" s="29">
        <v>54</v>
      </c>
      <c r="N211" s="29">
        <v>6.7</v>
      </c>
      <c r="O211" s="29">
        <v>14.8</v>
      </c>
      <c r="P211" s="29">
        <v>1.5</v>
      </c>
      <c r="Q211" s="29">
        <f t="shared" si="12"/>
        <v>9.8666666666666671</v>
      </c>
      <c r="R211" s="29">
        <v>0</v>
      </c>
      <c r="S211" s="79">
        <v>0.95</v>
      </c>
      <c r="V211" s="80">
        <f t="shared" si="13"/>
        <v>0</v>
      </c>
    </row>
    <row r="212" spans="1:22" x14ac:dyDescent="0.3">
      <c r="A212" s="5" t="s">
        <v>173</v>
      </c>
      <c r="B212" s="5" t="s">
        <v>174</v>
      </c>
      <c r="C212" s="5">
        <v>2014</v>
      </c>
      <c r="D212" s="5">
        <v>118.83</v>
      </c>
      <c r="E212" s="5">
        <v>31.87</v>
      </c>
      <c r="F212" s="5">
        <v>2011</v>
      </c>
      <c r="G212" s="29">
        <v>783</v>
      </c>
      <c r="H212" s="29">
        <v>841.5</v>
      </c>
      <c r="I212" s="29">
        <v>25.1</v>
      </c>
      <c r="J212" s="29">
        <v>1.24</v>
      </c>
      <c r="K212" s="29">
        <v>38</v>
      </c>
      <c r="L212" s="29">
        <v>37</v>
      </c>
      <c r="M212" s="29">
        <v>25</v>
      </c>
      <c r="N212" s="29">
        <v>6.7</v>
      </c>
      <c r="O212" s="29">
        <v>14.8</v>
      </c>
      <c r="P212" s="29">
        <v>1.5</v>
      </c>
      <c r="Q212" s="29">
        <f t="shared" si="12"/>
        <v>9.8666666666666671</v>
      </c>
      <c r="R212" s="29">
        <v>250</v>
      </c>
      <c r="S212" s="79">
        <v>2.69</v>
      </c>
      <c r="U212" s="80">
        <f>(S212-S211)/R212</f>
        <v>6.96E-3</v>
      </c>
      <c r="V212" s="80">
        <f t="shared" si="13"/>
        <v>0.69599999999999995</v>
      </c>
    </row>
    <row r="213" spans="1:22" x14ac:dyDescent="0.3">
      <c r="A213" s="5" t="s">
        <v>175</v>
      </c>
      <c r="C213" s="5">
        <v>2014</v>
      </c>
      <c r="D213" s="5">
        <v>119.26</v>
      </c>
      <c r="E213" s="5">
        <v>31.98</v>
      </c>
      <c r="F213" s="5">
        <v>2007</v>
      </c>
      <c r="G213" s="29">
        <v>760.5</v>
      </c>
      <c r="H213" s="29">
        <v>804</v>
      </c>
      <c r="I213" s="29">
        <v>25.94</v>
      </c>
      <c r="J213" s="29">
        <v>1.58</v>
      </c>
      <c r="K213" s="29">
        <v>54</v>
      </c>
      <c r="L213" s="29">
        <v>30</v>
      </c>
      <c r="M213" s="29">
        <v>16</v>
      </c>
      <c r="N213" s="29">
        <v>6.91</v>
      </c>
      <c r="O213" s="29">
        <v>11.59</v>
      </c>
      <c r="P213" s="29">
        <v>1.5</v>
      </c>
      <c r="Q213" s="29">
        <f t="shared" si="12"/>
        <v>7.7266666666666666</v>
      </c>
      <c r="R213" s="29">
        <v>150</v>
      </c>
      <c r="S213" s="79">
        <v>2.4818181818181801</v>
      </c>
      <c r="V213" s="80">
        <f t="shared" si="13"/>
        <v>0</v>
      </c>
    </row>
    <row r="214" spans="1:22" x14ac:dyDescent="0.3">
      <c r="A214" s="5" t="s">
        <v>175</v>
      </c>
      <c r="C214" s="5">
        <v>2014</v>
      </c>
      <c r="D214" s="5">
        <v>119.26</v>
      </c>
      <c r="E214" s="5">
        <v>31.98</v>
      </c>
      <c r="F214" s="5">
        <v>2007</v>
      </c>
      <c r="G214" s="29">
        <v>760.5</v>
      </c>
      <c r="H214" s="29">
        <v>804</v>
      </c>
      <c r="I214" s="29">
        <v>25.94</v>
      </c>
      <c r="J214" s="29">
        <v>1.58</v>
      </c>
      <c r="K214" s="29">
        <v>54</v>
      </c>
      <c r="L214" s="29">
        <v>30</v>
      </c>
      <c r="M214" s="29">
        <v>16</v>
      </c>
      <c r="N214" s="29">
        <v>6.91</v>
      </c>
      <c r="O214" s="29">
        <v>11.59</v>
      </c>
      <c r="P214" s="29">
        <v>1.5</v>
      </c>
      <c r="Q214" s="29">
        <f t="shared" si="12"/>
        <v>7.7266666666666666</v>
      </c>
      <c r="R214" s="29">
        <v>150</v>
      </c>
      <c r="S214" s="79">
        <v>1.47</v>
      </c>
      <c r="V214" s="80">
        <f t="shared" si="13"/>
        <v>0</v>
      </c>
    </row>
    <row r="215" spans="1:22" x14ac:dyDescent="0.3">
      <c r="A215" s="5" t="s">
        <v>175</v>
      </c>
      <c r="C215" s="5">
        <v>2014</v>
      </c>
      <c r="D215" s="5">
        <v>119.26</v>
      </c>
      <c r="E215" s="5">
        <v>31.98</v>
      </c>
      <c r="F215" s="5">
        <v>2008</v>
      </c>
      <c r="G215" s="29">
        <v>688.5</v>
      </c>
      <c r="H215" s="29">
        <v>855</v>
      </c>
      <c r="I215" s="29">
        <v>25.57</v>
      </c>
      <c r="J215" s="29">
        <v>1.58</v>
      </c>
      <c r="K215" s="29">
        <v>54</v>
      </c>
      <c r="L215" s="29">
        <v>30</v>
      </c>
      <c r="M215" s="29">
        <v>16</v>
      </c>
      <c r="N215" s="29">
        <v>6.91</v>
      </c>
      <c r="O215" s="29">
        <v>11.59</v>
      </c>
      <c r="P215" s="29">
        <v>1.5</v>
      </c>
      <c r="Q215" s="29">
        <f t="shared" si="12"/>
        <v>7.7266666666666666</v>
      </c>
      <c r="R215" s="29">
        <v>150</v>
      </c>
      <c r="S215" s="79">
        <v>2.2463636363636401</v>
      </c>
      <c r="V215" s="80">
        <f t="shared" si="13"/>
        <v>0</v>
      </c>
    </row>
    <row r="216" spans="1:22" x14ac:dyDescent="0.3">
      <c r="A216" s="5" t="s">
        <v>175</v>
      </c>
      <c r="C216" s="5">
        <v>2014</v>
      </c>
      <c r="D216" s="5">
        <v>119.26</v>
      </c>
      <c r="E216" s="5">
        <v>31.98</v>
      </c>
      <c r="F216" s="5">
        <v>2008</v>
      </c>
      <c r="G216" s="29">
        <v>688.5</v>
      </c>
      <c r="H216" s="29">
        <v>855</v>
      </c>
      <c r="I216" s="29">
        <v>25.57</v>
      </c>
      <c r="J216" s="29">
        <v>1.58</v>
      </c>
      <c r="K216" s="29">
        <v>54</v>
      </c>
      <c r="L216" s="29">
        <v>30</v>
      </c>
      <c r="M216" s="29">
        <v>16</v>
      </c>
      <c r="N216" s="29">
        <v>6.91</v>
      </c>
      <c r="O216" s="29">
        <v>11.59</v>
      </c>
      <c r="P216" s="29">
        <v>1.5</v>
      </c>
      <c r="Q216" s="29">
        <f t="shared" si="12"/>
        <v>7.7266666666666666</v>
      </c>
      <c r="R216" s="29">
        <v>150</v>
      </c>
      <c r="S216" s="79">
        <v>1.96</v>
      </c>
      <c r="V216" s="80">
        <f t="shared" si="13"/>
        <v>0</v>
      </c>
    </row>
    <row r="217" spans="1:22" x14ac:dyDescent="0.3">
      <c r="A217" s="81" t="s">
        <v>175</v>
      </c>
      <c r="B217" s="81"/>
      <c r="C217" s="81">
        <v>2014</v>
      </c>
      <c r="D217" s="81">
        <v>119.26</v>
      </c>
      <c r="E217" s="81">
        <v>31.98</v>
      </c>
      <c r="F217" s="81">
        <v>2008</v>
      </c>
      <c r="G217" s="34">
        <v>688.5</v>
      </c>
      <c r="H217" s="34">
        <v>855</v>
      </c>
      <c r="I217" s="34">
        <v>25.57</v>
      </c>
      <c r="J217" s="34">
        <v>1.58</v>
      </c>
      <c r="K217" s="34">
        <v>54</v>
      </c>
      <c r="L217" s="34">
        <v>30</v>
      </c>
      <c r="M217" s="34">
        <v>16</v>
      </c>
      <c r="N217" s="34">
        <v>6.91</v>
      </c>
      <c r="O217" s="34">
        <v>11.59</v>
      </c>
      <c r="P217" s="34">
        <v>1.5</v>
      </c>
      <c r="Q217" s="34">
        <f t="shared" si="12"/>
        <v>7.7266666666666666</v>
      </c>
      <c r="R217" s="34">
        <v>150</v>
      </c>
      <c r="S217" s="82">
        <v>2.2654545454545501</v>
      </c>
      <c r="T217" s="34"/>
      <c r="U217" s="83"/>
      <c r="V217" s="83">
        <f t="shared" si="13"/>
        <v>0</v>
      </c>
    </row>
    <row r="218" spans="1:22" x14ac:dyDescent="0.3">
      <c r="A218" s="5" t="s">
        <v>176</v>
      </c>
      <c r="C218" s="5">
        <v>2014</v>
      </c>
      <c r="D218" s="5">
        <v>110.8</v>
      </c>
      <c r="E218" s="5">
        <v>32.630000000000003</v>
      </c>
      <c r="F218" s="5">
        <v>2011</v>
      </c>
      <c r="G218" s="29">
        <v>661.5</v>
      </c>
      <c r="H218" s="29">
        <v>724.5</v>
      </c>
      <c r="I218" s="29">
        <v>22.9</v>
      </c>
      <c r="J218" s="29">
        <v>1.3</v>
      </c>
      <c r="K218" s="29">
        <v>18.81818182</v>
      </c>
      <c r="L218" s="29">
        <v>47.363636360000001</v>
      </c>
      <c r="M218" s="29">
        <v>33.81818182</v>
      </c>
      <c r="N218" s="29">
        <v>6.2</v>
      </c>
      <c r="O218" s="29">
        <v>3.5962877030162415</v>
      </c>
      <c r="P218" s="29">
        <v>1.18</v>
      </c>
      <c r="Q218" s="29">
        <f t="shared" si="12"/>
        <v>3.0477014432341032</v>
      </c>
      <c r="R218" s="29">
        <v>0</v>
      </c>
      <c r="S218" s="79">
        <v>8.8999999999999996E-2</v>
      </c>
      <c r="T218" s="44">
        <f>AVERAGE(S218,S220)</f>
        <v>0.1045</v>
      </c>
      <c r="V218" s="80">
        <f t="shared" si="13"/>
        <v>0</v>
      </c>
    </row>
    <row r="219" spans="1:22" x14ac:dyDescent="0.3">
      <c r="A219" s="5" t="s">
        <v>176</v>
      </c>
      <c r="C219" s="5">
        <v>2014</v>
      </c>
      <c r="D219" s="5">
        <v>110.8</v>
      </c>
      <c r="E219" s="5">
        <v>32.630000000000003</v>
      </c>
      <c r="F219" s="5">
        <v>2011</v>
      </c>
      <c r="G219" s="29">
        <v>661.5</v>
      </c>
      <c r="H219" s="29">
        <v>724.5</v>
      </c>
      <c r="I219" s="29">
        <v>22.9</v>
      </c>
      <c r="J219" s="29">
        <v>1.3</v>
      </c>
      <c r="K219" s="29">
        <v>61.1</v>
      </c>
      <c r="L219" s="29">
        <v>33.700000000000003</v>
      </c>
      <c r="M219" s="29">
        <v>5.2</v>
      </c>
      <c r="N219" s="29">
        <v>6.2</v>
      </c>
      <c r="O219" s="29">
        <v>10.3</v>
      </c>
      <c r="P219" s="29">
        <v>1.18</v>
      </c>
      <c r="Q219" s="29">
        <f t="shared" si="12"/>
        <v>8.7288135593220346</v>
      </c>
      <c r="R219" s="29">
        <v>150</v>
      </c>
      <c r="S219" s="79">
        <v>0.21</v>
      </c>
      <c r="U219" s="80">
        <f>(S219-S218)/R219</f>
        <v>8.0666666666666669E-4</v>
      </c>
      <c r="V219" s="80">
        <f t="shared" si="13"/>
        <v>8.0666666666666664E-2</v>
      </c>
    </row>
    <row r="220" spans="1:22" x14ac:dyDescent="0.3">
      <c r="A220" s="81" t="s">
        <v>176</v>
      </c>
      <c r="B220" s="81"/>
      <c r="C220" s="81">
        <v>2014</v>
      </c>
      <c r="D220" s="81">
        <v>110.8</v>
      </c>
      <c r="E220" s="81">
        <v>32.630000000000003</v>
      </c>
      <c r="F220" s="81">
        <v>2011</v>
      </c>
      <c r="G220" s="34">
        <v>661.5</v>
      </c>
      <c r="H220" s="34">
        <v>724.5</v>
      </c>
      <c r="I220" s="34">
        <v>22.9</v>
      </c>
      <c r="J220" s="34">
        <v>1.3</v>
      </c>
      <c r="K220" s="34">
        <v>18.81818182</v>
      </c>
      <c r="L220" s="34">
        <v>47.363636360000001</v>
      </c>
      <c r="M220" s="34">
        <v>33.81818182</v>
      </c>
      <c r="N220" s="34">
        <v>6.2</v>
      </c>
      <c r="O220" s="34">
        <v>3.5962877030162415</v>
      </c>
      <c r="P220" s="34">
        <v>1.18</v>
      </c>
      <c r="Q220" s="34">
        <f t="shared" si="12"/>
        <v>3.0477014432341032</v>
      </c>
      <c r="R220" s="34">
        <v>0</v>
      </c>
      <c r="S220" s="82">
        <v>0.12</v>
      </c>
      <c r="T220" s="34"/>
      <c r="U220" s="83"/>
      <c r="V220" s="83">
        <f t="shared" si="13"/>
        <v>0</v>
      </c>
    </row>
    <row r="221" spans="1:22" x14ac:dyDescent="0.3">
      <c r="A221" s="5" t="s">
        <v>177</v>
      </c>
      <c r="B221" s="5" t="s">
        <v>178</v>
      </c>
      <c r="C221" s="5">
        <v>2013</v>
      </c>
      <c r="D221" s="5">
        <v>119.3</v>
      </c>
      <c r="E221" s="5">
        <v>31.97</v>
      </c>
      <c r="F221" s="5">
        <v>2008</v>
      </c>
      <c r="G221" s="29">
        <v>688.5</v>
      </c>
      <c r="H221" s="29">
        <v>855</v>
      </c>
      <c r="I221" s="29">
        <v>25.57</v>
      </c>
      <c r="J221" s="29">
        <v>1.39230768</v>
      </c>
      <c r="K221" s="29">
        <v>21.46153846</v>
      </c>
      <c r="L221" s="29">
        <v>34.53846154</v>
      </c>
      <c r="M221" s="29">
        <v>44</v>
      </c>
      <c r="N221" s="29">
        <v>6.91</v>
      </c>
      <c r="O221" s="29">
        <v>4.0081206496519721</v>
      </c>
      <c r="P221" s="29">
        <v>1.7</v>
      </c>
      <c r="Q221" s="29">
        <f t="shared" si="12"/>
        <v>2.3577180292070423</v>
      </c>
      <c r="R221" s="29">
        <v>0</v>
      </c>
      <c r="S221" s="79">
        <v>0.1</v>
      </c>
      <c r="T221" s="44">
        <f>AVERAGE(S221,S223,S225,S227,S229)</f>
        <v>0.24921454999999998</v>
      </c>
      <c r="V221" s="80">
        <f t="shared" si="13"/>
        <v>0</v>
      </c>
    </row>
    <row r="222" spans="1:22" x14ac:dyDescent="0.3">
      <c r="A222" s="5" t="s">
        <v>177</v>
      </c>
      <c r="B222" s="5" t="s">
        <v>178</v>
      </c>
      <c r="C222" s="5">
        <v>2013</v>
      </c>
      <c r="D222" s="5">
        <v>119.3</v>
      </c>
      <c r="E222" s="5">
        <v>31.97</v>
      </c>
      <c r="F222" s="5">
        <v>2008</v>
      </c>
      <c r="G222" s="29">
        <v>688.5</v>
      </c>
      <c r="H222" s="29">
        <v>855</v>
      </c>
      <c r="I222" s="29">
        <v>25.57</v>
      </c>
      <c r="J222" s="29">
        <v>1.4</v>
      </c>
      <c r="K222" s="29">
        <v>17</v>
      </c>
      <c r="L222" s="29">
        <v>69</v>
      </c>
      <c r="M222" s="29">
        <v>14</v>
      </c>
      <c r="N222" s="29">
        <v>6.91</v>
      </c>
      <c r="O222" s="29">
        <v>11</v>
      </c>
      <c r="P222" s="29">
        <v>1.7</v>
      </c>
      <c r="Q222" s="29">
        <f t="shared" si="12"/>
        <v>6.4705882352941178</v>
      </c>
      <c r="R222" s="29">
        <v>240</v>
      </c>
      <c r="S222" s="79">
        <v>0.32816400000000001</v>
      </c>
      <c r="U222" s="80">
        <f>(S222-S221)/R222</f>
        <v>9.5068333333333339E-4</v>
      </c>
      <c r="V222" s="80">
        <f t="shared" si="13"/>
        <v>9.5068333333333338E-2</v>
      </c>
    </row>
    <row r="223" spans="1:22" x14ac:dyDescent="0.3">
      <c r="A223" s="5" t="s">
        <v>177</v>
      </c>
      <c r="B223" s="5" t="s">
        <v>178</v>
      </c>
      <c r="C223" s="5">
        <v>2013</v>
      </c>
      <c r="D223" s="5">
        <v>119.3</v>
      </c>
      <c r="E223" s="5">
        <v>31.97</v>
      </c>
      <c r="F223" s="5">
        <v>2009</v>
      </c>
      <c r="G223" s="29">
        <v>781.5</v>
      </c>
      <c r="H223" s="29">
        <v>907.5</v>
      </c>
      <c r="I223" s="29">
        <v>25.73</v>
      </c>
      <c r="J223" s="29">
        <v>1.39230768</v>
      </c>
      <c r="K223" s="29">
        <v>21.46153846</v>
      </c>
      <c r="L223" s="29">
        <v>34.53846154</v>
      </c>
      <c r="M223" s="29">
        <v>44</v>
      </c>
      <c r="N223" s="29">
        <v>6.91</v>
      </c>
      <c r="O223" s="29">
        <v>4.0081206496519721</v>
      </c>
      <c r="P223" s="29">
        <v>1.7</v>
      </c>
      <c r="Q223" s="29">
        <f t="shared" si="12"/>
        <v>2.3577180292070423</v>
      </c>
      <c r="R223" s="29">
        <v>0</v>
      </c>
      <c r="S223" s="79">
        <v>4.5222600000000002E-2</v>
      </c>
      <c r="V223" s="80">
        <f t="shared" si="13"/>
        <v>0</v>
      </c>
    </row>
    <row r="224" spans="1:22" x14ac:dyDescent="0.3">
      <c r="A224" s="5" t="s">
        <v>177</v>
      </c>
      <c r="B224" s="5" t="s">
        <v>178</v>
      </c>
      <c r="C224" s="5">
        <v>2013</v>
      </c>
      <c r="D224" s="5">
        <v>119.3</v>
      </c>
      <c r="E224" s="5">
        <v>31.97</v>
      </c>
      <c r="F224" s="5">
        <v>2009</v>
      </c>
      <c r="G224" s="29">
        <v>781.5</v>
      </c>
      <c r="H224" s="29">
        <v>907.5</v>
      </c>
      <c r="I224" s="29">
        <v>25.73</v>
      </c>
      <c r="J224" s="29">
        <v>1.4</v>
      </c>
      <c r="K224" s="29">
        <v>17</v>
      </c>
      <c r="L224" s="29">
        <v>69</v>
      </c>
      <c r="M224" s="29">
        <v>14</v>
      </c>
      <c r="N224" s="29">
        <v>6.91</v>
      </c>
      <c r="O224" s="29">
        <v>11</v>
      </c>
      <c r="P224" s="29">
        <v>1.7</v>
      </c>
      <c r="Q224" s="29">
        <f t="shared" si="12"/>
        <v>6.4705882352941178</v>
      </c>
      <c r="R224" s="29">
        <v>240</v>
      </c>
      <c r="S224" s="79">
        <v>0.22811400000000001</v>
      </c>
      <c r="U224" s="80">
        <f>(S224-S223)/R224</f>
        <v>7.6204750000000003E-4</v>
      </c>
      <c r="V224" s="80">
        <f t="shared" si="13"/>
        <v>7.6204750000000002E-2</v>
      </c>
    </row>
    <row r="225" spans="1:22" x14ac:dyDescent="0.3">
      <c r="A225" s="5" t="s">
        <v>177</v>
      </c>
      <c r="B225" s="5" t="s">
        <v>178</v>
      </c>
      <c r="C225" s="5">
        <v>2013</v>
      </c>
      <c r="D225" s="5">
        <v>119.3</v>
      </c>
      <c r="E225" s="5">
        <v>31.97</v>
      </c>
      <c r="F225" s="5">
        <v>2010</v>
      </c>
      <c r="G225" s="29">
        <v>642</v>
      </c>
      <c r="H225" s="29">
        <v>793.5</v>
      </c>
      <c r="I225" s="29">
        <v>25.63</v>
      </c>
      <c r="J225" s="29">
        <v>1.39230768</v>
      </c>
      <c r="K225" s="29">
        <v>21.46153846</v>
      </c>
      <c r="L225" s="29">
        <v>34.53846154</v>
      </c>
      <c r="M225" s="29">
        <v>44</v>
      </c>
      <c r="N225" s="29">
        <v>6.91</v>
      </c>
      <c r="O225" s="29">
        <v>4.0081206496519721</v>
      </c>
      <c r="P225" s="29">
        <v>1.7</v>
      </c>
      <c r="Q225" s="29">
        <f t="shared" si="12"/>
        <v>2.3577180292070423</v>
      </c>
      <c r="R225" s="29">
        <v>0</v>
      </c>
      <c r="S225" s="79">
        <v>0.18999495</v>
      </c>
      <c r="V225" s="80">
        <f t="shared" si="13"/>
        <v>0</v>
      </c>
    </row>
    <row r="226" spans="1:22" x14ac:dyDescent="0.3">
      <c r="A226" s="5" t="s">
        <v>177</v>
      </c>
      <c r="B226" s="5" t="s">
        <v>178</v>
      </c>
      <c r="C226" s="5">
        <v>2013</v>
      </c>
      <c r="D226" s="5">
        <v>119.3</v>
      </c>
      <c r="E226" s="5">
        <v>31.97</v>
      </c>
      <c r="F226" s="5">
        <v>2010</v>
      </c>
      <c r="G226" s="29">
        <v>642</v>
      </c>
      <c r="H226" s="29">
        <v>793.5</v>
      </c>
      <c r="I226" s="29">
        <v>25.63</v>
      </c>
      <c r="J226" s="29">
        <v>1.4</v>
      </c>
      <c r="K226" s="29">
        <v>17</v>
      </c>
      <c r="L226" s="29">
        <v>69</v>
      </c>
      <c r="M226" s="29">
        <v>14</v>
      </c>
      <c r="N226" s="29">
        <v>6.91</v>
      </c>
      <c r="O226" s="29">
        <v>11</v>
      </c>
      <c r="P226" s="29">
        <v>1.7</v>
      </c>
      <c r="Q226" s="29">
        <f t="shared" si="12"/>
        <v>6.4705882352941178</v>
      </c>
      <c r="R226" s="29">
        <v>240</v>
      </c>
      <c r="S226" s="79">
        <v>1.6838415</v>
      </c>
      <c r="U226" s="80">
        <f>(S226-S225)/R226</f>
        <v>6.2243606249999996E-3</v>
      </c>
      <c r="V226" s="80">
        <f t="shared" si="13"/>
        <v>0.62243606249999994</v>
      </c>
    </row>
    <row r="227" spans="1:22" x14ac:dyDescent="0.3">
      <c r="A227" s="5" t="s">
        <v>177</v>
      </c>
      <c r="B227" s="5" t="s">
        <v>178</v>
      </c>
      <c r="C227" s="5">
        <v>2013</v>
      </c>
      <c r="D227" s="5">
        <v>119.3</v>
      </c>
      <c r="E227" s="5">
        <v>31.97</v>
      </c>
      <c r="F227" s="5">
        <v>2011</v>
      </c>
      <c r="G227" s="29">
        <v>823.5</v>
      </c>
      <c r="H227" s="29">
        <v>837</v>
      </c>
      <c r="I227" s="29">
        <v>24.87</v>
      </c>
      <c r="J227" s="29">
        <v>1.4</v>
      </c>
      <c r="K227" s="29">
        <v>38</v>
      </c>
      <c r="L227" s="29">
        <v>37</v>
      </c>
      <c r="M227" s="29">
        <v>26</v>
      </c>
      <c r="N227" s="29">
        <v>6.91</v>
      </c>
      <c r="O227" s="29">
        <v>14.36</v>
      </c>
      <c r="P227" s="29">
        <v>1.7</v>
      </c>
      <c r="Q227" s="29">
        <f t="shared" si="12"/>
        <v>8.447058823529412</v>
      </c>
      <c r="R227" s="29">
        <v>0</v>
      </c>
      <c r="S227" s="79">
        <v>0.85742850000000004</v>
      </c>
      <c r="V227" s="80">
        <f t="shared" si="13"/>
        <v>0</v>
      </c>
    </row>
    <row r="228" spans="1:22" x14ac:dyDescent="0.3">
      <c r="A228" s="5" t="s">
        <v>177</v>
      </c>
      <c r="B228" s="5" t="s">
        <v>178</v>
      </c>
      <c r="C228" s="5">
        <v>2013</v>
      </c>
      <c r="D228" s="5">
        <v>119.3</v>
      </c>
      <c r="E228" s="5">
        <v>31.97</v>
      </c>
      <c r="F228" s="5">
        <v>2011</v>
      </c>
      <c r="G228" s="29">
        <v>823.5</v>
      </c>
      <c r="H228" s="29">
        <v>837</v>
      </c>
      <c r="I228" s="29">
        <v>24.87</v>
      </c>
      <c r="J228" s="29">
        <v>1.4</v>
      </c>
      <c r="K228" s="29">
        <v>38</v>
      </c>
      <c r="L228" s="29">
        <v>37</v>
      </c>
      <c r="M228" s="29">
        <v>26</v>
      </c>
      <c r="N228" s="29">
        <v>6.91</v>
      </c>
      <c r="O228" s="29">
        <v>14.36</v>
      </c>
      <c r="P228" s="29">
        <v>1.7</v>
      </c>
      <c r="Q228" s="29">
        <f t="shared" si="12"/>
        <v>8.447058823529412</v>
      </c>
      <c r="R228" s="29">
        <v>240</v>
      </c>
      <c r="S228" s="79">
        <v>0.64532250000000002</v>
      </c>
      <c r="U228" s="80">
        <f>(S228-S227)/R228</f>
        <v>-8.8377500000000006E-4</v>
      </c>
      <c r="V228" s="80">
        <f t="shared" si="13"/>
        <v>-8.8377500000000012E-2</v>
      </c>
    </row>
    <row r="229" spans="1:22" x14ac:dyDescent="0.3">
      <c r="A229" s="5" t="s">
        <v>177</v>
      </c>
      <c r="B229" s="5" t="s">
        <v>178</v>
      </c>
      <c r="C229" s="5">
        <v>2013</v>
      </c>
      <c r="D229" s="5">
        <v>119.3</v>
      </c>
      <c r="E229" s="5">
        <v>31.97</v>
      </c>
      <c r="F229" s="5">
        <v>2011</v>
      </c>
      <c r="G229" s="29">
        <v>823.5</v>
      </c>
      <c r="H229" s="29">
        <v>837</v>
      </c>
      <c r="I229" s="29">
        <v>24.87</v>
      </c>
      <c r="J229" s="29">
        <v>1.39230768</v>
      </c>
      <c r="K229" s="29">
        <v>17</v>
      </c>
      <c r="L229" s="29">
        <v>69</v>
      </c>
      <c r="M229" s="29">
        <v>14</v>
      </c>
      <c r="N229" s="29">
        <v>6.91</v>
      </c>
      <c r="O229" s="29">
        <v>11.051044083526682</v>
      </c>
      <c r="P229" s="29">
        <v>1.7</v>
      </c>
      <c r="Q229" s="29">
        <f t="shared" si="12"/>
        <v>6.5006141667804007</v>
      </c>
      <c r="R229" s="29">
        <v>0</v>
      </c>
      <c r="S229" s="79">
        <v>5.3426700000000001E-2</v>
      </c>
      <c r="V229" s="80">
        <f t="shared" si="13"/>
        <v>0</v>
      </c>
    </row>
    <row r="230" spans="1:22" x14ac:dyDescent="0.3">
      <c r="A230" s="81" t="s">
        <v>177</v>
      </c>
      <c r="B230" s="81" t="s">
        <v>178</v>
      </c>
      <c r="C230" s="81">
        <v>2013</v>
      </c>
      <c r="D230" s="81">
        <v>119.3</v>
      </c>
      <c r="E230" s="81">
        <v>31.97</v>
      </c>
      <c r="F230" s="81">
        <v>2011</v>
      </c>
      <c r="G230" s="34">
        <v>823.5</v>
      </c>
      <c r="H230" s="34">
        <v>837</v>
      </c>
      <c r="I230" s="34">
        <v>24.87</v>
      </c>
      <c r="J230" s="29">
        <v>1.4</v>
      </c>
      <c r="K230" s="29">
        <v>17</v>
      </c>
      <c r="L230" s="29">
        <v>69</v>
      </c>
      <c r="M230" s="29">
        <v>14</v>
      </c>
      <c r="N230" s="34">
        <v>6.91</v>
      </c>
      <c r="O230" s="29">
        <v>11</v>
      </c>
      <c r="P230" s="34">
        <v>1.7</v>
      </c>
      <c r="Q230" s="34">
        <f t="shared" si="12"/>
        <v>6.4705882352941178</v>
      </c>
      <c r="R230" s="34">
        <v>240</v>
      </c>
      <c r="S230" s="82">
        <v>0.49724849999999998</v>
      </c>
      <c r="T230" s="34"/>
      <c r="U230" s="83">
        <f>(S230-S229)/R230</f>
        <v>1.8492574999999999E-3</v>
      </c>
      <c r="V230" s="83">
        <f t="shared" si="13"/>
        <v>0.18492575</v>
      </c>
    </row>
    <row r="231" spans="1:22" x14ac:dyDescent="0.3">
      <c r="A231" s="5" t="s">
        <v>179</v>
      </c>
      <c r="B231" s="5" t="s">
        <v>180</v>
      </c>
      <c r="C231" s="5">
        <v>2013</v>
      </c>
      <c r="D231" s="5">
        <v>120.67</v>
      </c>
      <c r="E231" s="5">
        <v>30.83</v>
      </c>
      <c r="F231" s="5">
        <v>2005</v>
      </c>
      <c r="G231" s="29">
        <v>505.5</v>
      </c>
      <c r="H231" s="29">
        <v>879</v>
      </c>
      <c r="I231" s="29">
        <v>26.1</v>
      </c>
      <c r="J231" s="29">
        <v>1.33</v>
      </c>
      <c r="K231" s="29">
        <v>26.7</v>
      </c>
      <c r="L231" s="29">
        <v>30.9</v>
      </c>
      <c r="M231" s="29">
        <v>42.4</v>
      </c>
      <c r="N231" s="29">
        <v>6.9</v>
      </c>
      <c r="O231" s="29">
        <v>18.284454756380509</v>
      </c>
      <c r="P231" s="29">
        <v>2.65</v>
      </c>
      <c r="Q231" s="29">
        <f t="shared" si="12"/>
        <v>6.8997942476907586</v>
      </c>
      <c r="R231" s="29">
        <v>0</v>
      </c>
      <c r="S231" s="79">
        <v>5.9818181818181798E-2</v>
      </c>
      <c r="T231" s="44">
        <f>AVERAGE(S231,S243,S235,S247,S239,S251)</f>
        <v>7.9333333333333395E-2</v>
      </c>
      <c r="V231" s="80">
        <f t="shared" si="13"/>
        <v>0</v>
      </c>
    </row>
    <row r="232" spans="1:22" x14ac:dyDescent="0.3">
      <c r="A232" s="5" t="s">
        <v>181</v>
      </c>
      <c r="B232" s="5" t="s">
        <v>180</v>
      </c>
      <c r="C232" s="5">
        <v>2013</v>
      </c>
      <c r="D232" s="5">
        <v>120.67</v>
      </c>
      <c r="E232" s="5">
        <v>30.83</v>
      </c>
      <c r="F232" s="5">
        <v>2005</v>
      </c>
      <c r="G232" s="29">
        <v>505.5</v>
      </c>
      <c r="H232" s="29">
        <v>879</v>
      </c>
      <c r="I232" s="29">
        <v>26.1</v>
      </c>
      <c r="J232" s="29">
        <v>1.33</v>
      </c>
      <c r="K232" s="29">
        <v>12.1</v>
      </c>
      <c r="L232" s="29">
        <f>100-M232-K232</f>
        <v>36.199999999999996</v>
      </c>
      <c r="M232" s="29">
        <v>51.7</v>
      </c>
      <c r="N232" s="29">
        <v>6.9</v>
      </c>
      <c r="O232" s="29">
        <v>18.2</v>
      </c>
      <c r="P232" s="29">
        <v>2.65</v>
      </c>
      <c r="Q232" s="29">
        <f t="shared" si="12"/>
        <v>6.867924528301887</v>
      </c>
      <c r="R232" s="29">
        <v>90</v>
      </c>
      <c r="S232" s="79">
        <v>9.0999999999999998E-2</v>
      </c>
      <c r="U232" s="80">
        <f>(S232-0.059818)/R232</f>
        <v>3.4646666666666661E-4</v>
      </c>
      <c r="V232" s="80">
        <f t="shared" si="13"/>
        <v>3.4646666666666659E-2</v>
      </c>
    </row>
    <row r="233" spans="1:22" x14ac:dyDescent="0.3">
      <c r="A233" s="5" t="s">
        <v>181</v>
      </c>
      <c r="B233" s="5" t="s">
        <v>180</v>
      </c>
      <c r="C233" s="5">
        <v>2013</v>
      </c>
      <c r="D233" s="5">
        <v>120.67</v>
      </c>
      <c r="E233" s="5">
        <v>30.83</v>
      </c>
      <c r="F233" s="5">
        <v>2005</v>
      </c>
      <c r="G233" s="29">
        <v>505.5</v>
      </c>
      <c r="H233" s="29">
        <v>879</v>
      </c>
      <c r="I233" s="29">
        <v>26.1</v>
      </c>
      <c r="J233" s="29">
        <v>1.33</v>
      </c>
      <c r="K233" s="29">
        <v>12.1</v>
      </c>
      <c r="L233" s="29">
        <f t="shared" ref="L233:L234" si="14">100-M233-K233</f>
        <v>36.199999999999996</v>
      </c>
      <c r="M233" s="29">
        <v>51.7</v>
      </c>
      <c r="N233" s="29">
        <v>6.9</v>
      </c>
      <c r="O233" s="29">
        <v>18.2</v>
      </c>
      <c r="P233" s="29">
        <v>2.65</v>
      </c>
      <c r="Q233" s="29">
        <f t="shared" si="12"/>
        <v>6.867924528301887</v>
      </c>
      <c r="R233" s="29">
        <v>180</v>
      </c>
      <c r="S233" s="79">
        <v>0.11645454545454501</v>
      </c>
      <c r="U233" s="80">
        <f>(S233-0.059818)/R233</f>
        <v>3.1464747474747222E-4</v>
      </c>
      <c r="V233" s="80">
        <f t="shared" si="13"/>
        <v>3.1464747474747222E-2</v>
      </c>
    </row>
    <row r="234" spans="1:22" x14ac:dyDescent="0.3">
      <c r="A234" s="5" t="s">
        <v>181</v>
      </c>
      <c r="B234" s="5" t="s">
        <v>180</v>
      </c>
      <c r="C234" s="5">
        <v>2013</v>
      </c>
      <c r="D234" s="5">
        <v>120.67</v>
      </c>
      <c r="E234" s="5">
        <v>30.83</v>
      </c>
      <c r="F234" s="5">
        <v>2005</v>
      </c>
      <c r="G234" s="29">
        <v>505.5</v>
      </c>
      <c r="H234" s="29">
        <v>879</v>
      </c>
      <c r="I234" s="29">
        <v>26.1</v>
      </c>
      <c r="J234" s="29">
        <v>1.33</v>
      </c>
      <c r="K234" s="29">
        <v>12.1</v>
      </c>
      <c r="L234" s="29">
        <f t="shared" si="14"/>
        <v>36.199999999999996</v>
      </c>
      <c r="M234" s="29">
        <v>51.7</v>
      </c>
      <c r="N234" s="29">
        <v>6.9</v>
      </c>
      <c r="O234" s="29">
        <v>18.2</v>
      </c>
      <c r="P234" s="29">
        <v>2.65</v>
      </c>
      <c r="Q234" s="29">
        <f t="shared" si="12"/>
        <v>6.867924528301887</v>
      </c>
      <c r="R234" s="29">
        <v>270</v>
      </c>
      <c r="S234" s="79">
        <v>0.211272727272727</v>
      </c>
      <c r="U234" s="80">
        <f>(S234-0.059818)/R234</f>
        <v>5.6094343434343334E-4</v>
      </c>
      <c r="V234" s="80">
        <f t="shared" si="13"/>
        <v>5.6094343434343337E-2</v>
      </c>
    </row>
    <row r="235" spans="1:22" x14ac:dyDescent="0.3">
      <c r="A235" s="5" t="s">
        <v>181</v>
      </c>
      <c r="B235" s="5" t="s">
        <v>180</v>
      </c>
      <c r="C235" s="5">
        <v>2013</v>
      </c>
      <c r="D235" s="5">
        <v>120.67</v>
      </c>
      <c r="E235" s="5">
        <v>30.83</v>
      </c>
      <c r="F235" s="5">
        <v>2006</v>
      </c>
      <c r="G235" s="29">
        <v>505.5</v>
      </c>
      <c r="H235" s="29">
        <v>879</v>
      </c>
      <c r="I235" s="29">
        <v>26.1</v>
      </c>
      <c r="J235" s="29">
        <v>1.33</v>
      </c>
      <c r="K235" s="29">
        <v>26.7</v>
      </c>
      <c r="L235" s="29">
        <v>30.9</v>
      </c>
      <c r="M235" s="29">
        <v>42.4</v>
      </c>
      <c r="N235" s="29">
        <v>6.9</v>
      </c>
      <c r="O235" s="29">
        <v>18.284454756380509</v>
      </c>
      <c r="P235" s="29">
        <v>2.65</v>
      </c>
      <c r="Q235" s="29">
        <f t="shared" si="12"/>
        <v>6.8997942476907586</v>
      </c>
      <c r="R235" s="29">
        <v>0</v>
      </c>
      <c r="S235" s="79">
        <v>9.29090909090909E-2</v>
      </c>
      <c r="V235" s="80">
        <f t="shared" si="13"/>
        <v>0</v>
      </c>
    </row>
    <row r="236" spans="1:22" x14ac:dyDescent="0.3">
      <c r="A236" s="5" t="s">
        <v>181</v>
      </c>
      <c r="B236" s="5" t="s">
        <v>180</v>
      </c>
      <c r="C236" s="5">
        <v>2013</v>
      </c>
      <c r="D236" s="5">
        <v>120.67</v>
      </c>
      <c r="E236" s="5">
        <v>30.83</v>
      </c>
      <c r="F236" s="5">
        <v>2006</v>
      </c>
      <c r="G236" s="29">
        <v>505.5</v>
      </c>
      <c r="H236" s="29">
        <v>879</v>
      </c>
      <c r="I236" s="29">
        <v>26.1</v>
      </c>
      <c r="J236" s="29">
        <v>1.33</v>
      </c>
      <c r="K236" s="29">
        <v>12.1</v>
      </c>
      <c r="L236" s="29">
        <f t="shared" ref="L236:L238" si="15">100-M236-K236</f>
        <v>36.199999999999996</v>
      </c>
      <c r="M236" s="29">
        <v>51.7</v>
      </c>
      <c r="N236" s="29">
        <v>6.9</v>
      </c>
      <c r="O236" s="29">
        <v>18.2</v>
      </c>
      <c r="P236" s="29">
        <v>2.65</v>
      </c>
      <c r="Q236" s="29">
        <f t="shared" si="12"/>
        <v>6.867924528301887</v>
      </c>
      <c r="R236" s="29">
        <v>90</v>
      </c>
      <c r="S236" s="79">
        <v>0.112</v>
      </c>
      <c r="U236" s="80">
        <f>(S236-0.092909)/R236</f>
        <v>2.1212222222222218E-4</v>
      </c>
      <c r="V236" s="80">
        <f t="shared" si="13"/>
        <v>2.1212222222222219E-2</v>
      </c>
    </row>
    <row r="237" spans="1:22" x14ac:dyDescent="0.3">
      <c r="A237" s="5" t="s">
        <v>181</v>
      </c>
      <c r="B237" s="5" t="s">
        <v>180</v>
      </c>
      <c r="C237" s="5">
        <v>2013</v>
      </c>
      <c r="D237" s="5">
        <v>120.67</v>
      </c>
      <c r="E237" s="5">
        <v>30.83</v>
      </c>
      <c r="F237" s="5">
        <v>2006</v>
      </c>
      <c r="G237" s="29">
        <v>505.5</v>
      </c>
      <c r="H237" s="29">
        <v>879</v>
      </c>
      <c r="I237" s="29">
        <v>26.1</v>
      </c>
      <c r="J237" s="29">
        <v>1.33</v>
      </c>
      <c r="K237" s="29">
        <v>12.1</v>
      </c>
      <c r="L237" s="29">
        <f t="shared" si="15"/>
        <v>36.199999999999996</v>
      </c>
      <c r="M237" s="29">
        <v>51.7</v>
      </c>
      <c r="N237" s="29">
        <v>6.9</v>
      </c>
      <c r="O237" s="29">
        <v>18.2</v>
      </c>
      <c r="P237" s="29">
        <v>2.65</v>
      </c>
      <c r="Q237" s="29">
        <f t="shared" si="12"/>
        <v>6.867924528301887</v>
      </c>
      <c r="R237" s="29">
        <v>180</v>
      </c>
      <c r="S237" s="79">
        <v>0.16927272727272699</v>
      </c>
      <c r="U237" s="80">
        <f>(S237-0.092909)/R237</f>
        <v>4.2424292929292768E-4</v>
      </c>
      <c r="V237" s="80">
        <f t="shared" si="13"/>
        <v>4.242429292929277E-2</v>
      </c>
    </row>
    <row r="238" spans="1:22" x14ac:dyDescent="0.3">
      <c r="A238" s="5" t="s">
        <v>181</v>
      </c>
      <c r="B238" s="5" t="s">
        <v>180</v>
      </c>
      <c r="C238" s="5">
        <v>2013</v>
      </c>
      <c r="D238" s="5">
        <v>120.67</v>
      </c>
      <c r="E238" s="5">
        <v>30.83</v>
      </c>
      <c r="F238" s="5">
        <v>2006</v>
      </c>
      <c r="G238" s="29">
        <v>505.5</v>
      </c>
      <c r="H238" s="29">
        <v>879</v>
      </c>
      <c r="I238" s="29">
        <v>26.1</v>
      </c>
      <c r="J238" s="29">
        <v>1.33</v>
      </c>
      <c r="K238" s="29">
        <v>12.1</v>
      </c>
      <c r="L238" s="29">
        <f t="shared" si="15"/>
        <v>36.199999999999996</v>
      </c>
      <c r="M238" s="29">
        <v>51.7</v>
      </c>
      <c r="N238" s="29">
        <v>6.9</v>
      </c>
      <c r="O238" s="29">
        <v>18.2</v>
      </c>
      <c r="P238" s="29">
        <v>2.65</v>
      </c>
      <c r="Q238" s="29">
        <f t="shared" si="12"/>
        <v>6.867924528301887</v>
      </c>
      <c r="R238" s="29">
        <v>270</v>
      </c>
      <c r="S238" s="79">
        <v>0.21190909090909099</v>
      </c>
      <c r="U238" s="80">
        <f>(S238-0.092909)/R238</f>
        <v>4.4074107744107772E-4</v>
      </c>
      <c r="V238" s="80">
        <f t="shared" si="13"/>
        <v>4.407410774410777E-2</v>
      </c>
    </row>
    <row r="239" spans="1:22" x14ac:dyDescent="0.3">
      <c r="A239" s="5" t="s">
        <v>181</v>
      </c>
      <c r="B239" s="5" t="s">
        <v>180</v>
      </c>
      <c r="C239" s="5">
        <v>2013</v>
      </c>
      <c r="D239" s="5">
        <v>120.67</v>
      </c>
      <c r="E239" s="5">
        <v>30.83</v>
      </c>
      <c r="F239" s="5">
        <v>2007</v>
      </c>
      <c r="G239" s="29">
        <v>550.5</v>
      </c>
      <c r="H239" s="29">
        <v>901.5</v>
      </c>
      <c r="I239" s="29">
        <v>26.81</v>
      </c>
      <c r="J239" s="29">
        <v>1.33</v>
      </c>
      <c r="K239" s="29">
        <v>26.7</v>
      </c>
      <c r="L239" s="29">
        <v>30.9</v>
      </c>
      <c r="M239" s="29">
        <v>42.4</v>
      </c>
      <c r="N239" s="29">
        <v>6.9</v>
      </c>
      <c r="O239" s="29">
        <v>18.284454756380509</v>
      </c>
      <c r="P239" s="29">
        <v>2.65</v>
      </c>
      <c r="Q239" s="29">
        <f t="shared" si="12"/>
        <v>6.8997942476907586</v>
      </c>
      <c r="R239" s="29">
        <v>0</v>
      </c>
      <c r="S239" s="79">
        <v>8.7181818181818194E-2</v>
      </c>
      <c r="V239" s="80">
        <f t="shared" si="13"/>
        <v>0</v>
      </c>
    </row>
    <row r="240" spans="1:22" x14ac:dyDescent="0.3">
      <c r="A240" s="5" t="s">
        <v>181</v>
      </c>
      <c r="B240" s="5" t="s">
        <v>180</v>
      </c>
      <c r="C240" s="5">
        <v>2013</v>
      </c>
      <c r="D240" s="5">
        <v>120.67</v>
      </c>
      <c r="E240" s="5">
        <v>30.83</v>
      </c>
      <c r="F240" s="5">
        <v>2007</v>
      </c>
      <c r="G240" s="29">
        <v>550.5</v>
      </c>
      <c r="H240" s="29">
        <v>901.5</v>
      </c>
      <c r="I240" s="29">
        <v>26.81</v>
      </c>
      <c r="J240" s="29">
        <v>1.33</v>
      </c>
      <c r="K240" s="29">
        <v>12.1</v>
      </c>
      <c r="L240" s="29">
        <f t="shared" ref="L240:L242" si="16">100-M240-K240</f>
        <v>36.199999999999996</v>
      </c>
      <c r="M240" s="29">
        <v>51.7</v>
      </c>
      <c r="N240" s="29">
        <v>6.9</v>
      </c>
      <c r="O240" s="29">
        <v>18.2</v>
      </c>
      <c r="P240" s="29">
        <v>2.65</v>
      </c>
      <c r="Q240" s="29">
        <f t="shared" si="12"/>
        <v>6.867924528301887</v>
      </c>
      <c r="R240" s="29">
        <v>90</v>
      </c>
      <c r="S240" s="79">
        <v>9.8000000000000004E-2</v>
      </c>
      <c r="U240" s="80">
        <f>(S240-0.087182)/R240</f>
        <v>1.2020000000000009E-4</v>
      </c>
      <c r="V240" s="80">
        <f t="shared" si="13"/>
        <v>1.2020000000000008E-2</v>
      </c>
    </row>
    <row r="241" spans="1:22" x14ac:dyDescent="0.3">
      <c r="A241" s="5" t="s">
        <v>181</v>
      </c>
      <c r="B241" s="5" t="s">
        <v>180</v>
      </c>
      <c r="C241" s="5">
        <v>2013</v>
      </c>
      <c r="D241" s="5">
        <v>120.67</v>
      </c>
      <c r="E241" s="5">
        <v>30.83</v>
      </c>
      <c r="F241" s="5">
        <v>2007</v>
      </c>
      <c r="G241" s="29">
        <v>550.5</v>
      </c>
      <c r="H241" s="29">
        <v>901.5</v>
      </c>
      <c r="I241" s="29">
        <v>26.81</v>
      </c>
      <c r="J241" s="29">
        <v>1.33</v>
      </c>
      <c r="K241" s="29">
        <v>12.1</v>
      </c>
      <c r="L241" s="29">
        <f t="shared" si="16"/>
        <v>36.199999999999996</v>
      </c>
      <c r="M241" s="29">
        <v>51.7</v>
      </c>
      <c r="N241" s="29">
        <v>6.9</v>
      </c>
      <c r="O241" s="29">
        <v>18.2</v>
      </c>
      <c r="P241" s="29">
        <v>2.65</v>
      </c>
      <c r="Q241" s="29">
        <f t="shared" si="12"/>
        <v>6.867924528301887</v>
      </c>
      <c r="R241" s="29">
        <v>180</v>
      </c>
      <c r="S241" s="79">
        <v>0.15272727272727299</v>
      </c>
      <c r="U241" s="80">
        <f>(S241-0.087182)/R241</f>
        <v>3.6414040404040551E-4</v>
      </c>
      <c r="V241" s="80">
        <f t="shared" si="13"/>
        <v>3.6414040404040553E-2</v>
      </c>
    </row>
    <row r="242" spans="1:22" x14ac:dyDescent="0.3">
      <c r="A242" s="5" t="s">
        <v>181</v>
      </c>
      <c r="B242" s="5" t="s">
        <v>180</v>
      </c>
      <c r="C242" s="5">
        <v>2013</v>
      </c>
      <c r="D242" s="5">
        <v>120.67</v>
      </c>
      <c r="E242" s="5">
        <v>30.83</v>
      </c>
      <c r="F242" s="5">
        <v>2007</v>
      </c>
      <c r="G242" s="29">
        <v>550.5</v>
      </c>
      <c r="H242" s="29">
        <v>901.5</v>
      </c>
      <c r="I242" s="29">
        <v>26.81</v>
      </c>
      <c r="J242" s="29">
        <v>1.33</v>
      </c>
      <c r="K242" s="29">
        <v>12.1</v>
      </c>
      <c r="L242" s="29">
        <f t="shared" si="16"/>
        <v>36.199999999999996</v>
      </c>
      <c r="M242" s="29">
        <v>51.7</v>
      </c>
      <c r="N242" s="29">
        <v>6.9</v>
      </c>
      <c r="O242" s="29">
        <v>18.2</v>
      </c>
      <c r="P242" s="29">
        <v>2.65</v>
      </c>
      <c r="Q242" s="29">
        <f t="shared" si="12"/>
        <v>6.867924528301887</v>
      </c>
      <c r="R242" s="29">
        <v>270</v>
      </c>
      <c r="S242" s="79">
        <v>0.233545454545455</v>
      </c>
      <c r="U242" s="80">
        <f>(S242-0.087182)/R242</f>
        <v>5.4208686868687048E-4</v>
      </c>
      <c r="V242" s="80">
        <f t="shared" si="13"/>
        <v>5.4208686868687045E-2</v>
      </c>
    </row>
    <row r="243" spans="1:22" x14ac:dyDescent="0.3">
      <c r="A243" s="5" t="s">
        <v>181</v>
      </c>
      <c r="B243" s="5" t="s">
        <v>180</v>
      </c>
      <c r="C243" s="5">
        <v>2013</v>
      </c>
      <c r="D243" s="5">
        <v>120.67</v>
      </c>
      <c r="E243" s="5">
        <v>30.83</v>
      </c>
      <c r="F243" s="5">
        <v>2008</v>
      </c>
      <c r="G243" s="29">
        <v>916.5</v>
      </c>
      <c r="H243" s="29">
        <v>874.5</v>
      </c>
      <c r="I243" s="29">
        <v>26.34</v>
      </c>
      <c r="J243" s="29">
        <v>1.33</v>
      </c>
      <c r="K243" s="29">
        <v>26.7</v>
      </c>
      <c r="L243" s="29">
        <v>30.9</v>
      </c>
      <c r="M243" s="29">
        <v>42.4</v>
      </c>
      <c r="N243" s="29">
        <v>6.9</v>
      </c>
      <c r="O243" s="29">
        <v>18.284454756380509</v>
      </c>
      <c r="P243" s="29">
        <v>2.65</v>
      </c>
      <c r="Q243" s="29">
        <f t="shared" si="12"/>
        <v>6.8997942476907586</v>
      </c>
      <c r="R243" s="29">
        <v>0</v>
      </c>
      <c r="S243" s="79">
        <v>0.11263636363636401</v>
      </c>
      <c r="V243" s="80">
        <f t="shared" si="13"/>
        <v>0</v>
      </c>
    </row>
    <row r="244" spans="1:22" x14ac:dyDescent="0.3">
      <c r="A244" s="5" t="s">
        <v>181</v>
      </c>
      <c r="B244" s="5" t="s">
        <v>180</v>
      </c>
      <c r="C244" s="5">
        <v>2013</v>
      </c>
      <c r="D244" s="5">
        <v>120.67</v>
      </c>
      <c r="E244" s="5">
        <v>30.83</v>
      </c>
      <c r="F244" s="5">
        <v>2008</v>
      </c>
      <c r="G244" s="29">
        <v>916.5</v>
      </c>
      <c r="H244" s="29">
        <v>874.5</v>
      </c>
      <c r="I244" s="29">
        <v>26.34</v>
      </c>
      <c r="J244" s="29">
        <v>1.33</v>
      </c>
      <c r="K244" s="29">
        <v>26.7</v>
      </c>
      <c r="L244" s="29">
        <v>30.9</v>
      </c>
      <c r="M244" s="29">
        <v>42.4</v>
      </c>
      <c r="N244" s="29">
        <v>6.9</v>
      </c>
      <c r="O244" s="29">
        <v>18.284454756380509</v>
      </c>
      <c r="P244" s="29">
        <v>2.65</v>
      </c>
      <c r="Q244" s="29">
        <f t="shared" si="12"/>
        <v>6.8997942476907586</v>
      </c>
      <c r="R244" s="29">
        <v>90</v>
      </c>
      <c r="S244" s="79">
        <v>0.110090909090909</v>
      </c>
      <c r="U244" s="80">
        <f>(S244-0.112636)/R244</f>
        <v>-2.8278787878788852E-5</v>
      </c>
      <c r="V244" s="80">
        <f t="shared" si="13"/>
        <v>-2.8278787878788852E-3</v>
      </c>
    </row>
    <row r="245" spans="1:22" x14ac:dyDescent="0.3">
      <c r="A245" s="5" t="s">
        <v>181</v>
      </c>
      <c r="B245" s="5" t="s">
        <v>180</v>
      </c>
      <c r="C245" s="5">
        <v>2013</v>
      </c>
      <c r="D245" s="5">
        <v>120.67</v>
      </c>
      <c r="E245" s="5">
        <v>30.83</v>
      </c>
      <c r="F245" s="5">
        <v>2008</v>
      </c>
      <c r="G245" s="29">
        <v>916.5</v>
      </c>
      <c r="H245" s="29">
        <v>874.5</v>
      </c>
      <c r="I245" s="29">
        <v>26.34</v>
      </c>
      <c r="J245" s="29">
        <v>1.33</v>
      </c>
      <c r="K245" s="29">
        <v>12.1</v>
      </c>
      <c r="L245" s="29">
        <f t="shared" ref="L245:L246" si="17">100-M245-K245</f>
        <v>36.199999999999996</v>
      </c>
      <c r="M245" s="29">
        <v>51.7</v>
      </c>
      <c r="N245" s="29">
        <v>6.9</v>
      </c>
      <c r="O245" s="29">
        <v>18.2</v>
      </c>
      <c r="P245" s="29">
        <v>2.65</v>
      </c>
      <c r="Q245" s="29">
        <f t="shared" si="12"/>
        <v>6.867924528301887</v>
      </c>
      <c r="R245" s="29">
        <v>180</v>
      </c>
      <c r="S245" s="79">
        <v>0.205545454545455</v>
      </c>
      <c r="U245" s="80">
        <f>(S245-0.112636)/R245</f>
        <v>5.1616363636363891E-4</v>
      </c>
      <c r="V245" s="80">
        <f t="shared" si="13"/>
        <v>5.1616363636363891E-2</v>
      </c>
    </row>
    <row r="246" spans="1:22" x14ac:dyDescent="0.3">
      <c r="A246" s="5" t="s">
        <v>181</v>
      </c>
      <c r="B246" s="5" t="s">
        <v>180</v>
      </c>
      <c r="C246" s="5">
        <v>2013</v>
      </c>
      <c r="D246" s="5">
        <v>120.67</v>
      </c>
      <c r="E246" s="5">
        <v>30.83</v>
      </c>
      <c r="F246" s="5">
        <v>2008</v>
      </c>
      <c r="G246" s="29">
        <v>916.5</v>
      </c>
      <c r="H246" s="29">
        <v>874.5</v>
      </c>
      <c r="I246" s="29">
        <v>26.34</v>
      </c>
      <c r="J246" s="29">
        <v>1.33</v>
      </c>
      <c r="K246" s="29">
        <v>12.1</v>
      </c>
      <c r="L246" s="29">
        <f t="shared" si="17"/>
        <v>36.199999999999996</v>
      </c>
      <c r="M246" s="29">
        <v>51.7</v>
      </c>
      <c r="N246" s="29">
        <v>6.9</v>
      </c>
      <c r="O246" s="29">
        <v>18.2</v>
      </c>
      <c r="P246" s="29">
        <v>2.65</v>
      </c>
      <c r="Q246" s="29">
        <f t="shared" si="12"/>
        <v>6.867924528301887</v>
      </c>
      <c r="R246" s="29">
        <v>270</v>
      </c>
      <c r="S246" s="79">
        <v>0.28127272727272701</v>
      </c>
      <c r="U246" s="80">
        <f>(S246-0.112636)/R246</f>
        <v>6.2458047138047037E-4</v>
      </c>
      <c r="V246" s="80">
        <f t="shared" si="13"/>
        <v>6.2458047138047035E-2</v>
      </c>
    </row>
    <row r="247" spans="1:22" x14ac:dyDescent="0.3">
      <c r="A247" s="5" t="s">
        <v>181</v>
      </c>
      <c r="B247" s="5" t="s">
        <v>180</v>
      </c>
      <c r="C247" s="5">
        <v>2013</v>
      </c>
      <c r="D247" s="5">
        <v>120.67</v>
      </c>
      <c r="E247" s="5">
        <v>30.83</v>
      </c>
      <c r="F247" s="5">
        <v>2009</v>
      </c>
      <c r="G247" s="29">
        <v>697.5</v>
      </c>
      <c r="H247" s="29">
        <v>940.49999999999989</v>
      </c>
      <c r="I247" s="29">
        <v>26.5</v>
      </c>
      <c r="J247" s="29">
        <v>1.33</v>
      </c>
      <c r="K247" s="29">
        <v>26.7</v>
      </c>
      <c r="L247" s="29">
        <v>30.9</v>
      </c>
      <c r="M247" s="29">
        <v>42.4</v>
      </c>
      <c r="N247" s="29">
        <v>6.9</v>
      </c>
      <c r="O247" s="29">
        <v>18.284454756380509</v>
      </c>
      <c r="P247" s="29">
        <v>2.65</v>
      </c>
      <c r="Q247" s="29">
        <f t="shared" si="12"/>
        <v>6.8997942476907586</v>
      </c>
      <c r="R247" s="29">
        <v>0</v>
      </c>
      <c r="S247" s="79">
        <v>6.3E-2</v>
      </c>
      <c r="V247" s="80">
        <f t="shared" si="13"/>
        <v>0</v>
      </c>
    </row>
    <row r="248" spans="1:22" x14ac:dyDescent="0.3">
      <c r="A248" s="5" t="s">
        <v>181</v>
      </c>
      <c r="B248" s="5" t="s">
        <v>180</v>
      </c>
      <c r="C248" s="5">
        <v>2013</v>
      </c>
      <c r="D248" s="5">
        <v>120.67</v>
      </c>
      <c r="E248" s="5">
        <v>30.83</v>
      </c>
      <c r="F248" s="5">
        <v>2009</v>
      </c>
      <c r="G248" s="29">
        <v>697.5</v>
      </c>
      <c r="H248" s="29">
        <v>940.49999999999989</v>
      </c>
      <c r="I248" s="29">
        <v>26.5</v>
      </c>
      <c r="J248" s="29">
        <v>1.33</v>
      </c>
      <c r="K248" s="29">
        <v>12.1</v>
      </c>
      <c r="L248" s="29">
        <f t="shared" ref="L248:L250" si="18">100-M248-K248</f>
        <v>36.199999999999996</v>
      </c>
      <c r="M248" s="29">
        <v>51.7</v>
      </c>
      <c r="N248" s="29">
        <v>6.9</v>
      </c>
      <c r="O248" s="29">
        <v>18.2</v>
      </c>
      <c r="P248" s="29">
        <v>2.65</v>
      </c>
      <c r="Q248" s="29">
        <f t="shared" si="12"/>
        <v>6.867924528301887</v>
      </c>
      <c r="R248" s="29">
        <v>90</v>
      </c>
      <c r="S248" s="79">
        <v>0.10436363636363601</v>
      </c>
      <c r="U248" s="80">
        <f>(S248-0.063)/R248</f>
        <v>4.5959595959595563E-4</v>
      </c>
      <c r="V248" s="80">
        <f t="shared" si="13"/>
        <v>4.5959595959595562E-2</v>
      </c>
    </row>
    <row r="249" spans="1:22" x14ac:dyDescent="0.3">
      <c r="A249" s="5" t="s">
        <v>181</v>
      </c>
      <c r="B249" s="5" t="s">
        <v>180</v>
      </c>
      <c r="C249" s="5">
        <v>2013</v>
      </c>
      <c r="D249" s="5">
        <v>120.67</v>
      </c>
      <c r="E249" s="5">
        <v>30.83</v>
      </c>
      <c r="F249" s="5">
        <v>2009</v>
      </c>
      <c r="G249" s="29">
        <v>697.5</v>
      </c>
      <c r="H249" s="29">
        <v>940.49999999999989</v>
      </c>
      <c r="I249" s="29">
        <v>26.5</v>
      </c>
      <c r="J249" s="29">
        <v>1.33</v>
      </c>
      <c r="K249" s="29">
        <v>12.1</v>
      </c>
      <c r="L249" s="29">
        <f t="shared" si="18"/>
        <v>36.199999999999996</v>
      </c>
      <c r="M249" s="29">
        <v>51.7</v>
      </c>
      <c r="N249" s="29">
        <v>6.9</v>
      </c>
      <c r="O249" s="29">
        <v>18.2</v>
      </c>
      <c r="P249" s="29">
        <v>2.65</v>
      </c>
      <c r="Q249" s="29">
        <f t="shared" si="12"/>
        <v>6.867924528301887</v>
      </c>
      <c r="R249" s="29">
        <v>180</v>
      </c>
      <c r="S249" s="79">
        <v>0.15145454545454501</v>
      </c>
      <c r="U249" s="80">
        <f>(S249-0.063)/R249</f>
        <v>4.9141414141413888E-4</v>
      </c>
      <c r="V249" s="80">
        <f t="shared" si="13"/>
        <v>4.9141414141413889E-2</v>
      </c>
    </row>
    <row r="250" spans="1:22" x14ac:dyDescent="0.3">
      <c r="A250" s="5" t="s">
        <v>181</v>
      </c>
      <c r="B250" s="5" t="s">
        <v>180</v>
      </c>
      <c r="C250" s="5">
        <v>2013</v>
      </c>
      <c r="D250" s="5">
        <v>120.67</v>
      </c>
      <c r="E250" s="5">
        <v>30.83</v>
      </c>
      <c r="F250" s="5">
        <v>2009</v>
      </c>
      <c r="G250" s="29">
        <v>697.5</v>
      </c>
      <c r="H250" s="29">
        <v>940.49999999999989</v>
      </c>
      <c r="I250" s="29">
        <v>26.5</v>
      </c>
      <c r="J250" s="29">
        <v>1.33</v>
      </c>
      <c r="K250" s="29">
        <v>12.1</v>
      </c>
      <c r="L250" s="29">
        <f t="shared" si="18"/>
        <v>36.199999999999996</v>
      </c>
      <c r="M250" s="29">
        <v>51.7</v>
      </c>
      <c r="N250" s="29">
        <v>6.9</v>
      </c>
      <c r="O250" s="29">
        <v>18.2</v>
      </c>
      <c r="P250" s="29">
        <v>2.65</v>
      </c>
      <c r="Q250" s="29">
        <f t="shared" si="12"/>
        <v>6.867924528301887</v>
      </c>
      <c r="R250" s="29">
        <v>270</v>
      </c>
      <c r="S250" s="79">
        <v>0.20809090909090899</v>
      </c>
      <c r="U250" s="80">
        <f>(S250-0.063)/R250</f>
        <v>5.37373737373737E-4</v>
      </c>
      <c r="V250" s="80">
        <f t="shared" si="13"/>
        <v>5.3737373737373702E-2</v>
      </c>
    </row>
    <row r="251" spans="1:22" x14ac:dyDescent="0.3">
      <c r="A251" s="5" t="s">
        <v>181</v>
      </c>
      <c r="B251" s="5" t="s">
        <v>180</v>
      </c>
      <c r="C251" s="5">
        <v>2013</v>
      </c>
      <c r="D251" s="5">
        <v>120.67</v>
      </c>
      <c r="E251" s="5">
        <v>30.83</v>
      </c>
      <c r="F251" s="5">
        <v>2010</v>
      </c>
      <c r="G251" s="29">
        <v>675</v>
      </c>
      <c r="H251" s="29">
        <v>775.5</v>
      </c>
      <c r="I251" s="29">
        <v>26.1</v>
      </c>
      <c r="J251" s="29">
        <v>1.33</v>
      </c>
      <c r="K251" s="29">
        <v>26.7</v>
      </c>
      <c r="L251" s="29">
        <v>30.9</v>
      </c>
      <c r="M251" s="29">
        <v>42.4</v>
      </c>
      <c r="N251" s="29">
        <v>6.9</v>
      </c>
      <c r="O251" s="29">
        <v>18.284454756380509</v>
      </c>
      <c r="P251" s="29">
        <v>2.65</v>
      </c>
      <c r="Q251" s="29">
        <f t="shared" si="12"/>
        <v>6.8997942476907586</v>
      </c>
      <c r="R251" s="29">
        <v>0</v>
      </c>
      <c r="S251" s="79">
        <v>6.0454545454545497E-2</v>
      </c>
      <c r="V251" s="80">
        <f t="shared" si="13"/>
        <v>0</v>
      </c>
    </row>
    <row r="252" spans="1:22" x14ac:dyDescent="0.3">
      <c r="A252" s="5" t="s">
        <v>181</v>
      </c>
      <c r="B252" s="5" t="s">
        <v>180</v>
      </c>
      <c r="C252" s="5">
        <v>2013</v>
      </c>
      <c r="D252" s="5">
        <v>120.67</v>
      </c>
      <c r="E252" s="5">
        <v>30.83</v>
      </c>
      <c r="F252" s="5">
        <v>2010</v>
      </c>
      <c r="G252" s="29">
        <v>675</v>
      </c>
      <c r="H252" s="29">
        <v>775.5</v>
      </c>
      <c r="I252" s="29">
        <v>26.1</v>
      </c>
      <c r="J252" s="29">
        <v>1.33</v>
      </c>
      <c r="K252" s="29">
        <v>12.1</v>
      </c>
      <c r="L252" s="29">
        <f t="shared" ref="L252:L254" si="19">100-M252-K252</f>
        <v>36.199999999999996</v>
      </c>
      <c r="M252" s="29">
        <v>51.7</v>
      </c>
      <c r="N252" s="29">
        <v>6.9</v>
      </c>
      <c r="O252" s="29">
        <v>18.2</v>
      </c>
      <c r="P252" s="29">
        <v>2.65</v>
      </c>
      <c r="Q252" s="29">
        <f t="shared" si="12"/>
        <v>6.867924528301887</v>
      </c>
      <c r="R252" s="29">
        <v>90</v>
      </c>
      <c r="S252" s="79">
        <v>8.8454545454545494E-2</v>
      </c>
      <c r="U252" s="80">
        <f>(S252-0.060455)/R252</f>
        <v>3.1110606060606104E-4</v>
      </c>
      <c r="V252" s="80">
        <f t="shared" si="13"/>
        <v>3.1110606060606102E-2</v>
      </c>
    </row>
    <row r="253" spans="1:22" x14ac:dyDescent="0.3">
      <c r="A253" s="5" t="s">
        <v>181</v>
      </c>
      <c r="B253" s="5" t="s">
        <v>180</v>
      </c>
      <c r="C253" s="5">
        <v>2013</v>
      </c>
      <c r="D253" s="5">
        <v>120.67</v>
      </c>
      <c r="E253" s="5">
        <v>30.83</v>
      </c>
      <c r="F253" s="5">
        <v>2010</v>
      </c>
      <c r="G253" s="29">
        <v>675</v>
      </c>
      <c r="H253" s="29">
        <v>775.5</v>
      </c>
      <c r="I253" s="29">
        <v>26.1</v>
      </c>
      <c r="J253" s="29">
        <v>1.33</v>
      </c>
      <c r="K253" s="29">
        <v>12.1</v>
      </c>
      <c r="L253" s="29">
        <f t="shared" si="19"/>
        <v>36.199999999999996</v>
      </c>
      <c r="M253" s="29">
        <v>51.7</v>
      </c>
      <c r="N253" s="29">
        <v>6.9</v>
      </c>
      <c r="O253" s="29">
        <v>18.2</v>
      </c>
      <c r="P253" s="29">
        <v>2.65</v>
      </c>
      <c r="Q253" s="29">
        <f t="shared" si="12"/>
        <v>6.867924528301887</v>
      </c>
      <c r="R253" s="29">
        <v>180</v>
      </c>
      <c r="S253" s="79">
        <v>0.12090909090909099</v>
      </c>
      <c r="U253" s="80">
        <f>(S253-0.060455)/R253</f>
        <v>3.3585606060606107E-4</v>
      </c>
      <c r="V253" s="80">
        <f t="shared" si="13"/>
        <v>3.3585606060606107E-2</v>
      </c>
    </row>
    <row r="254" spans="1:22" x14ac:dyDescent="0.3">
      <c r="A254" s="81" t="s">
        <v>181</v>
      </c>
      <c r="B254" s="81" t="s">
        <v>180</v>
      </c>
      <c r="C254" s="81">
        <v>2013</v>
      </c>
      <c r="D254" s="81">
        <v>120.67</v>
      </c>
      <c r="E254" s="81">
        <v>30.83</v>
      </c>
      <c r="F254" s="81">
        <v>2010</v>
      </c>
      <c r="G254" s="34">
        <v>675</v>
      </c>
      <c r="H254" s="34">
        <v>775.5</v>
      </c>
      <c r="I254" s="34">
        <v>26.1</v>
      </c>
      <c r="J254" s="34">
        <v>1.33</v>
      </c>
      <c r="K254" s="29">
        <v>12.1</v>
      </c>
      <c r="L254" s="29">
        <f t="shared" si="19"/>
        <v>36.199999999999996</v>
      </c>
      <c r="M254" s="29">
        <v>51.7</v>
      </c>
      <c r="N254" s="34">
        <v>6.9</v>
      </c>
      <c r="O254" s="29">
        <v>18.2</v>
      </c>
      <c r="P254" s="34">
        <v>2.65</v>
      </c>
      <c r="Q254" s="34">
        <f t="shared" si="12"/>
        <v>6.867924528301887</v>
      </c>
      <c r="R254" s="34">
        <v>270</v>
      </c>
      <c r="S254" s="82">
        <v>0.211272727272727</v>
      </c>
      <c r="T254" s="34"/>
      <c r="U254" s="83">
        <f>(S254-0.060455)/R254</f>
        <v>5.5858417508417404E-4</v>
      </c>
      <c r="V254" s="83">
        <f t="shared" si="13"/>
        <v>5.5858417508417406E-2</v>
      </c>
    </row>
    <row r="255" spans="1:22" x14ac:dyDescent="0.3">
      <c r="A255" s="5" t="s">
        <v>182</v>
      </c>
      <c r="B255" s="5" t="s">
        <v>183</v>
      </c>
      <c r="C255" s="5">
        <v>2013</v>
      </c>
      <c r="D255" s="5">
        <v>120.7</v>
      </c>
      <c r="E255" s="5">
        <v>31.53</v>
      </c>
      <c r="F255" s="5">
        <v>2009</v>
      </c>
      <c r="G255" s="29">
        <v>822.00000000000011</v>
      </c>
      <c r="H255" s="29">
        <v>952.5</v>
      </c>
      <c r="I255" s="29">
        <v>25.9</v>
      </c>
      <c r="J255" s="29">
        <v>1.12181818</v>
      </c>
      <c r="K255" s="29">
        <v>20.81818182</v>
      </c>
      <c r="L255" s="29">
        <v>27.09090909</v>
      </c>
      <c r="M255" s="29">
        <v>33.909090910000003</v>
      </c>
      <c r="N255" s="29">
        <v>7.35</v>
      </c>
      <c r="O255" s="29">
        <v>20.394199535962876</v>
      </c>
      <c r="P255" s="29">
        <v>2.1</v>
      </c>
      <c r="Q255" s="29">
        <f t="shared" si="12"/>
        <v>9.7115235885537494</v>
      </c>
      <c r="R255" s="29">
        <v>0</v>
      </c>
      <c r="S255" s="79">
        <v>0.11</v>
      </c>
      <c r="T255" s="44">
        <f>AVERAGE(S255,S259)</f>
        <v>0.29499999999999998</v>
      </c>
      <c r="V255" s="80">
        <f t="shared" si="13"/>
        <v>0</v>
      </c>
    </row>
    <row r="256" spans="1:22" x14ac:dyDescent="0.3">
      <c r="A256" s="5" t="s">
        <v>182</v>
      </c>
      <c r="B256" s="5" t="s">
        <v>183</v>
      </c>
      <c r="C256" s="5">
        <v>2013</v>
      </c>
      <c r="D256" s="5">
        <v>120.7</v>
      </c>
      <c r="E256" s="5">
        <v>31.53</v>
      </c>
      <c r="F256" s="5">
        <v>2009</v>
      </c>
      <c r="G256" s="29">
        <v>822.00000000000011</v>
      </c>
      <c r="H256" s="29">
        <v>952.5</v>
      </c>
      <c r="I256" s="29">
        <v>25.9</v>
      </c>
      <c r="J256" s="29">
        <v>1.52</v>
      </c>
      <c r="K256" s="29">
        <v>36</v>
      </c>
      <c r="L256" s="29">
        <v>43</v>
      </c>
      <c r="M256" s="29">
        <v>21</v>
      </c>
      <c r="N256" s="29">
        <v>7.35</v>
      </c>
      <c r="O256" s="29">
        <v>20.3</v>
      </c>
      <c r="P256" s="29">
        <v>2.1</v>
      </c>
      <c r="Q256" s="29">
        <f t="shared" si="12"/>
        <v>9.6666666666666661</v>
      </c>
      <c r="R256" s="29">
        <v>300</v>
      </c>
      <c r="S256" s="79">
        <v>0.43</v>
      </c>
      <c r="U256" s="80">
        <f>(S256-0.11)/R256</f>
        <v>1.0666666666666667E-3</v>
      </c>
      <c r="V256" s="80">
        <f t="shared" si="13"/>
        <v>0.10666666666666667</v>
      </c>
    </row>
    <row r="257" spans="1:22" x14ac:dyDescent="0.3">
      <c r="A257" s="5" t="s">
        <v>182</v>
      </c>
      <c r="B257" s="5" t="s">
        <v>183</v>
      </c>
      <c r="C257" s="5">
        <v>2013</v>
      </c>
      <c r="D257" s="5">
        <v>120.7</v>
      </c>
      <c r="E257" s="5">
        <v>31.53</v>
      </c>
      <c r="F257" s="5">
        <v>2009</v>
      </c>
      <c r="G257" s="29">
        <v>822.00000000000011</v>
      </c>
      <c r="H257" s="29">
        <v>952.5</v>
      </c>
      <c r="I257" s="29">
        <v>25.9</v>
      </c>
      <c r="J257" s="29">
        <v>1.52</v>
      </c>
      <c r="K257" s="29">
        <v>36</v>
      </c>
      <c r="L257" s="29">
        <v>43</v>
      </c>
      <c r="M257" s="29">
        <v>21</v>
      </c>
      <c r="N257" s="29">
        <v>7.35</v>
      </c>
      <c r="O257" s="29">
        <v>20.3</v>
      </c>
      <c r="P257" s="29">
        <v>2.1</v>
      </c>
      <c r="Q257" s="29">
        <f t="shared" ref="Q257:Q286" si="20">O257/P257</f>
        <v>9.6666666666666661</v>
      </c>
      <c r="R257" s="29">
        <v>225</v>
      </c>
      <c r="S257" s="79">
        <v>0.25</v>
      </c>
      <c r="U257" s="80">
        <f>(S257-0.11)/R257</f>
        <v>6.2222222222222225E-4</v>
      </c>
      <c r="V257" s="80">
        <f t="shared" si="13"/>
        <v>6.2222222222222227E-2</v>
      </c>
    </row>
    <row r="258" spans="1:22" x14ac:dyDescent="0.3">
      <c r="A258" s="5" t="s">
        <v>182</v>
      </c>
      <c r="B258" s="5" t="s">
        <v>183</v>
      </c>
      <c r="C258" s="5">
        <v>2013</v>
      </c>
      <c r="D258" s="5">
        <v>120.7</v>
      </c>
      <c r="E258" s="5">
        <v>31.53</v>
      </c>
      <c r="F258" s="5">
        <v>2009</v>
      </c>
      <c r="G258" s="29">
        <v>822.00000000000011</v>
      </c>
      <c r="H258" s="29">
        <v>952.5</v>
      </c>
      <c r="I258" s="29">
        <v>25.9</v>
      </c>
      <c r="J258" s="29">
        <v>1.52</v>
      </c>
      <c r="K258" s="29">
        <v>36</v>
      </c>
      <c r="L258" s="29">
        <v>43</v>
      </c>
      <c r="M258" s="29">
        <v>21</v>
      </c>
      <c r="N258" s="29">
        <v>7.35</v>
      </c>
      <c r="O258" s="29">
        <v>20.3</v>
      </c>
      <c r="P258" s="29">
        <v>2.1</v>
      </c>
      <c r="Q258" s="29">
        <f t="shared" si="20"/>
        <v>9.6666666666666661</v>
      </c>
      <c r="R258" s="29">
        <v>270</v>
      </c>
      <c r="S258" s="79">
        <v>0.28000000000000003</v>
      </c>
      <c r="U258" s="80">
        <f>(S258-0.11)/R258</f>
        <v>6.2962962962962983E-4</v>
      </c>
      <c r="V258" s="80">
        <f t="shared" ref="V258:V287" si="21">U258*100</f>
        <v>6.2962962962962984E-2</v>
      </c>
    </row>
    <row r="259" spans="1:22" x14ac:dyDescent="0.3">
      <c r="A259" s="5" t="s">
        <v>182</v>
      </c>
      <c r="B259" s="5" t="s">
        <v>183</v>
      </c>
      <c r="C259" s="5">
        <v>2013</v>
      </c>
      <c r="D259" s="5">
        <v>120.7</v>
      </c>
      <c r="E259" s="5">
        <v>31.53</v>
      </c>
      <c r="F259" s="5">
        <v>2009</v>
      </c>
      <c r="G259" s="29">
        <v>822.00000000000011</v>
      </c>
      <c r="H259" s="29">
        <v>952.5</v>
      </c>
      <c r="I259" s="29">
        <v>25.9</v>
      </c>
      <c r="J259" s="29">
        <v>1.12181818</v>
      </c>
      <c r="K259" s="29">
        <v>20.81818182</v>
      </c>
      <c r="L259" s="29">
        <v>27.09090909</v>
      </c>
      <c r="M259" s="29">
        <v>33.909090910000003</v>
      </c>
      <c r="N259" s="29">
        <v>7.35</v>
      </c>
      <c r="O259" s="29">
        <v>20.394199535962876</v>
      </c>
      <c r="P259" s="29">
        <v>2.1</v>
      </c>
      <c r="Q259" s="29">
        <f t="shared" si="20"/>
        <v>9.7115235885537494</v>
      </c>
      <c r="R259" s="29">
        <v>0</v>
      </c>
      <c r="S259" s="79">
        <v>0.48</v>
      </c>
      <c r="V259" s="80">
        <f t="shared" si="21"/>
        <v>0</v>
      </c>
    </row>
    <row r="260" spans="1:22" x14ac:dyDescent="0.3">
      <c r="A260" s="5" t="s">
        <v>182</v>
      </c>
      <c r="B260" s="5" t="s">
        <v>183</v>
      </c>
      <c r="C260" s="5">
        <v>2013</v>
      </c>
      <c r="D260" s="5">
        <v>120.7</v>
      </c>
      <c r="E260" s="5">
        <v>31.53</v>
      </c>
      <c r="F260" s="5">
        <v>2009</v>
      </c>
      <c r="G260" s="29">
        <v>822.00000000000011</v>
      </c>
      <c r="H260" s="29">
        <v>952.5</v>
      </c>
      <c r="I260" s="29">
        <v>25.9</v>
      </c>
      <c r="J260" s="29">
        <v>1.52</v>
      </c>
      <c r="K260" s="29">
        <v>36</v>
      </c>
      <c r="L260" s="29">
        <v>43</v>
      </c>
      <c r="M260" s="29">
        <v>21</v>
      </c>
      <c r="N260" s="29">
        <v>7.35</v>
      </c>
      <c r="O260" s="29">
        <v>20.3</v>
      </c>
      <c r="P260" s="29">
        <v>2.1</v>
      </c>
      <c r="Q260" s="29">
        <f t="shared" si="20"/>
        <v>9.6666666666666661</v>
      </c>
      <c r="R260" s="29">
        <v>300</v>
      </c>
      <c r="S260" s="79">
        <v>0.61</v>
      </c>
      <c r="U260" s="80">
        <f>(S260-0.48)/R260</f>
        <v>4.3333333333333337E-4</v>
      </c>
      <c r="V260" s="80">
        <f t="shared" si="21"/>
        <v>4.3333333333333335E-2</v>
      </c>
    </row>
    <row r="261" spans="1:22" x14ac:dyDescent="0.3">
      <c r="A261" s="5" t="s">
        <v>182</v>
      </c>
      <c r="B261" s="5" t="s">
        <v>183</v>
      </c>
      <c r="C261" s="5">
        <v>2013</v>
      </c>
      <c r="D261" s="5">
        <v>120.7</v>
      </c>
      <c r="E261" s="5">
        <v>31.53</v>
      </c>
      <c r="F261" s="5">
        <v>2009</v>
      </c>
      <c r="G261" s="29">
        <v>822.00000000000011</v>
      </c>
      <c r="H261" s="29">
        <v>952.5</v>
      </c>
      <c r="I261" s="29">
        <v>25.9</v>
      </c>
      <c r="J261" s="29">
        <v>1.52</v>
      </c>
      <c r="K261" s="29">
        <v>36</v>
      </c>
      <c r="L261" s="29">
        <v>43</v>
      </c>
      <c r="M261" s="29">
        <v>21</v>
      </c>
      <c r="N261" s="29">
        <v>7.35</v>
      </c>
      <c r="O261" s="29">
        <v>20.3</v>
      </c>
      <c r="P261" s="29">
        <v>2.1</v>
      </c>
      <c r="Q261" s="29">
        <f t="shared" si="20"/>
        <v>9.6666666666666661</v>
      </c>
      <c r="R261" s="29">
        <v>225</v>
      </c>
      <c r="S261" s="79">
        <v>0.56000000000000005</v>
      </c>
      <c r="U261" s="80">
        <f>(S261-0.48)/R261</f>
        <v>3.555555555555559E-4</v>
      </c>
      <c r="V261" s="80">
        <f t="shared" si="21"/>
        <v>3.555555555555559E-2</v>
      </c>
    </row>
    <row r="262" spans="1:22" x14ac:dyDescent="0.3">
      <c r="A262" s="81" t="s">
        <v>182</v>
      </c>
      <c r="B262" s="81" t="s">
        <v>183</v>
      </c>
      <c r="C262" s="81">
        <v>2013</v>
      </c>
      <c r="D262" s="81">
        <v>120.7</v>
      </c>
      <c r="E262" s="81">
        <v>31.53</v>
      </c>
      <c r="F262" s="81">
        <v>2009</v>
      </c>
      <c r="G262" s="34">
        <v>822.00000000000011</v>
      </c>
      <c r="H262" s="34">
        <v>952.5</v>
      </c>
      <c r="I262" s="34">
        <v>25.9</v>
      </c>
      <c r="J262" s="29">
        <v>1.52</v>
      </c>
      <c r="K262" s="29">
        <v>36</v>
      </c>
      <c r="L262" s="29">
        <v>43</v>
      </c>
      <c r="M262" s="29">
        <v>21</v>
      </c>
      <c r="N262" s="34">
        <v>7.35</v>
      </c>
      <c r="O262" s="29">
        <v>20.3</v>
      </c>
      <c r="P262" s="34">
        <v>2.1</v>
      </c>
      <c r="Q262" s="34">
        <f t="shared" si="20"/>
        <v>9.6666666666666661</v>
      </c>
      <c r="R262" s="34">
        <v>270</v>
      </c>
      <c r="S262" s="82">
        <v>0.66</v>
      </c>
      <c r="T262" s="34"/>
      <c r="U262" s="83">
        <f>(S262-0.48)/R262</f>
        <v>6.6666666666666686E-4</v>
      </c>
      <c r="V262" s="83">
        <f t="shared" si="21"/>
        <v>6.666666666666668E-2</v>
      </c>
    </row>
    <row r="263" spans="1:22" x14ac:dyDescent="0.3">
      <c r="A263" s="5" t="s">
        <v>184</v>
      </c>
      <c r="B263" s="5" t="s">
        <v>185</v>
      </c>
      <c r="C263" s="5">
        <v>2013</v>
      </c>
      <c r="D263" s="5">
        <v>120.72</v>
      </c>
      <c r="E263" s="5">
        <v>31.55</v>
      </c>
      <c r="F263" s="5">
        <v>2011</v>
      </c>
      <c r="G263" s="29">
        <v>835.5</v>
      </c>
      <c r="H263" s="29">
        <v>883.5</v>
      </c>
      <c r="I263" s="29">
        <v>25.5</v>
      </c>
      <c r="J263" s="29">
        <v>1.2</v>
      </c>
      <c r="K263" s="29">
        <v>20.81818182</v>
      </c>
      <c r="L263" s="29">
        <v>27.09090909</v>
      </c>
      <c r="M263" s="29">
        <v>33.909090910000003</v>
      </c>
      <c r="N263" s="29">
        <v>7.9</v>
      </c>
      <c r="O263" s="29">
        <v>11.3</v>
      </c>
      <c r="P263" s="29">
        <v>1.96</v>
      </c>
      <c r="Q263" s="29">
        <f t="shared" si="20"/>
        <v>5.7653061224489797</v>
      </c>
      <c r="R263" s="29">
        <v>0</v>
      </c>
      <c r="S263" s="79">
        <v>0.18</v>
      </c>
      <c r="T263" s="44">
        <f>S263</f>
        <v>0.18</v>
      </c>
      <c r="V263" s="80">
        <f t="shared" si="21"/>
        <v>0</v>
      </c>
    </row>
    <row r="264" spans="1:22" x14ac:dyDescent="0.3">
      <c r="A264" s="5" t="s">
        <v>184</v>
      </c>
      <c r="B264" s="5" t="s">
        <v>185</v>
      </c>
      <c r="C264" s="5">
        <v>2013</v>
      </c>
      <c r="D264" s="5">
        <v>120.72</v>
      </c>
      <c r="E264" s="5">
        <v>31.55</v>
      </c>
      <c r="F264" s="5">
        <v>2011</v>
      </c>
      <c r="G264" s="29">
        <v>835.5</v>
      </c>
      <c r="H264" s="29">
        <v>883.5</v>
      </c>
      <c r="I264" s="29">
        <v>25.5</v>
      </c>
      <c r="J264" s="29">
        <v>1.2</v>
      </c>
      <c r="K264" s="29">
        <v>68</v>
      </c>
      <c r="L264" s="29">
        <v>20</v>
      </c>
      <c r="M264" s="29">
        <v>12</v>
      </c>
      <c r="N264" s="29">
        <v>7.9</v>
      </c>
      <c r="O264" s="29">
        <v>11.3</v>
      </c>
      <c r="P264" s="29">
        <v>1.96</v>
      </c>
      <c r="Q264" s="29">
        <f t="shared" si="20"/>
        <v>5.7653061224489797</v>
      </c>
      <c r="R264" s="29">
        <v>180</v>
      </c>
      <c r="S264" s="79">
        <v>0.23</v>
      </c>
      <c r="U264" s="80">
        <f>(S264-0.18)/R264</f>
        <v>2.7777777777777789E-4</v>
      </c>
      <c r="V264" s="80">
        <f t="shared" si="21"/>
        <v>2.777777777777779E-2</v>
      </c>
    </row>
    <row r="265" spans="1:22" x14ac:dyDescent="0.3">
      <c r="A265" s="81" t="s">
        <v>184</v>
      </c>
      <c r="B265" s="81" t="s">
        <v>185</v>
      </c>
      <c r="C265" s="81">
        <v>2013</v>
      </c>
      <c r="D265" s="81">
        <v>120.72</v>
      </c>
      <c r="E265" s="81">
        <v>31.55</v>
      </c>
      <c r="F265" s="81">
        <v>2011</v>
      </c>
      <c r="G265" s="34">
        <v>835.5</v>
      </c>
      <c r="H265" s="34">
        <v>883.5</v>
      </c>
      <c r="I265" s="34">
        <v>25.5</v>
      </c>
      <c r="J265" s="34">
        <v>1.2</v>
      </c>
      <c r="K265" s="29">
        <v>68</v>
      </c>
      <c r="L265" s="29">
        <v>20</v>
      </c>
      <c r="M265" s="29">
        <v>12</v>
      </c>
      <c r="N265" s="34">
        <v>7.9</v>
      </c>
      <c r="O265" s="34">
        <v>11.3</v>
      </c>
      <c r="P265" s="34">
        <v>1.96</v>
      </c>
      <c r="Q265" s="34">
        <f t="shared" si="20"/>
        <v>5.7653061224489797</v>
      </c>
      <c r="R265" s="34">
        <v>180</v>
      </c>
      <c r="S265" s="82">
        <v>0.24</v>
      </c>
      <c r="T265" s="34"/>
      <c r="U265" s="83">
        <f>(S265-0.18)/R265</f>
        <v>3.3333333333333332E-4</v>
      </c>
      <c r="V265" s="83">
        <f t="shared" si="21"/>
        <v>3.3333333333333333E-2</v>
      </c>
    </row>
    <row r="266" spans="1:22" x14ac:dyDescent="0.3">
      <c r="A266" s="5" t="s">
        <v>186</v>
      </c>
      <c r="B266" s="5" t="s">
        <v>187</v>
      </c>
      <c r="C266" s="5">
        <v>2013</v>
      </c>
      <c r="D266" s="5">
        <v>120.95</v>
      </c>
      <c r="E266" s="5">
        <v>31.25</v>
      </c>
      <c r="F266" s="5">
        <v>2009</v>
      </c>
      <c r="G266" s="29">
        <v>781.5</v>
      </c>
      <c r="H266" s="29">
        <v>907.5</v>
      </c>
      <c r="I266" s="29">
        <v>25.73</v>
      </c>
      <c r="J266" s="29">
        <v>1.4</v>
      </c>
      <c r="K266" s="29">
        <v>38</v>
      </c>
      <c r="L266" s="29">
        <v>37</v>
      </c>
      <c r="M266" s="29">
        <v>25</v>
      </c>
      <c r="N266" s="29">
        <v>7.4</v>
      </c>
      <c r="O266" s="29">
        <v>12.703016241299304</v>
      </c>
      <c r="P266" s="29">
        <v>1.03</v>
      </c>
      <c r="Q266" s="29">
        <f t="shared" si="20"/>
        <v>12.333025476989615</v>
      </c>
      <c r="R266" s="29">
        <v>324.60000000000002</v>
      </c>
      <c r="S266" s="79">
        <v>1</v>
      </c>
      <c r="T266" s="44">
        <f>AVERAGE(S269,S272,S275,S278)</f>
        <v>0.3725</v>
      </c>
      <c r="V266" s="80">
        <f t="shared" si="21"/>
        <v>0</v>
      </c>
    </row>
    <row r="267" spans="1:22" x14ac:dyDescent="0.3">
      <c r="A267" s="5" t="s">
        <v>186</v>
      </c>
      <c r="B267" s="5" t="s">
        <v>187</v>
      </c>
      <c r="C267" s="5">
        <v>2013</v>
      </c>
      <c r="D267" s="5">
        <v>120.95</v>
      </c>
      <c r="E267" s="5">
        <v>31.25</v>
      </c>
      <c r="F267" s="5">
        <v>2009</v>
      </c>
      <c r="G267" s="29">
        <v>781.5</v>
      </c>
      <c r="H267" s="29">
        <v>907.5</v>
      </c>
      <c r="I267" s="29">
        <v>25.73</v>
      </c>
      <c r="J267" s="29">
        <v>1.4</v>
      </c>
      <c r="K267" s="29">
        <v>38</v>
      </c>
      <c r="L267" s="29">
        <v>37</v>
      </c>
      <c r="M267" s="29">
        <v>25</v>
      </c>
      <c r="N267" s="29">
        <v>7.4</v>
      </c>
      <c r="O267" s="29">
        <v>12.703016241299304</v>
      </c>
      <c r="P267" s="29">
        <v>1.03</v>
      </c>
      <c r="Q267" s="29">
        <f t="shared" si="20"/>
        <v>12.333025476989615</v>
      </c>
      <c r="R267" s="29">
        <v>324.60000000000002</v>
      </c>
      <c r="S267" s="79">
        <v>2.4300000000000002</v>
      </c>
      <c r="V267" s="80">
        <f t="shared" si="21"/>
        <v>0</v>
      </c>
    </row>
    <row r="268" spans="1:22" x14ac:dyDescent="0.3">
      <c r="A268" s="5" t="s">
        <v>186</v>
      </c>
      <c r="B268" s="5" t="s">
        <v>187</v>
      </c>
      <c r="C268" s="5">
        <v>2013</v>
      </c>
      <c r="D268" s="5">
        <v>120.95</v>
      </c>
      <c r="E268" s="5">
        <v>31.25</v>
      </c>
      <c r="F268" s="5">
        <v>2010</v>
      </c>
      <c r="G268" s="29">
        <v>642</v>
      </c>
      <c r="H268" s="29">
        <v>793.5</v>
      </c>
      <c r="I268" s="29">
        <v>25.63</v>
      </c>
      <c r="J268" s="29">
        <v>1.4</v>
      </c>
      <c r="K268" s="29">
        <v>38</v>
      </c>
      <c r="L268" s="29">
        <v>37</v>
      </c>
      <c r="M268" s="29">
        <v>25</v>
      </c>
      <c r="N268" s="29">
        <v>7.4</v>
      </c>
      <c r="O268" s="29">
        <v>12.703016241299304</v>
      </c>
      <c r="P268" s="29">
        <v>1.03</v>
      </c>
      <c r="Q268" s="29">
        <f t="shared" si="20"/>
        <v>12.333025476989615</v>
      </c>
      <c r="R268" s="29">
        <v>302.7</v>
      </c>
      <c r="S268" s="79">
        <v>1.48</v>
      </c>
      <c r="V268" s="80">
        <f t="shared" si="21"/>
        <v>0</v>
      </c>
    </row>
    <row r="269" spans="1:22" x14ac:dyDescent="0.3">
      <c r="A269" s="5" t="s">
        <v>188</v>
      </c>
      <c r="B269" s="5" t="s">
        <v>189</v>
      </c>
      <c r="C269" s="5">
        <v>2013</v>
      </c>
      <c r="D269" s="5">
        <v>119.7</v>
      </c>
      <c r="E269" s="5">
        <v>32.58</v>
      </c>
      <c r="F269" s="5" t="s">
        <v>190</v>
      </c>
      <c r="G269" s="29">
        <v>697.5</v>
      </c>
      <c r="H269" s="29">
        <v>892.5</v>
      </c>
      <c r="I269" s="29">
        <v>25.5</v>
      </c>
      <c r="J269" s="29">
        <v>1.43</v>
      </c>
      <c r="K269" s="29">
        <v>19.214285709999999</v>
      </c>
      <c r="L269" s="29">
        <v>39.571428570000002</v>
      </c>
      <c r="M269" s="29">
        <v>41.214285709999999</v>
      </c>
      <c r="N269" s="29">
        <v>6.9</v>
      </c>
      <c r="O269" s="29">
        <v>18.399999999999999</v>
      </c>
      <c r="P269" s="29">
        <v>1.45</v>
      </c>
      <c r="Q269" s="29">
        <f t="shared" si="20"/>
        <v>12.689655172413792</v>
      </c>
      <c r="R269" s="29">
        <v>0</v>
      </c>
      <c r="S269" s="79">
        <v>0.34</v>
      </c>
      <c r="V269" s="80">
        <f t="shared" si="21"/>
        <v>0</v>
      </c>
    </row>
    <row r="270" spans="1:22" x14ac:dyDescent="0.3">
      <c r="A270" s="5" t="s">
        <v>188</v>
      </c>
      <c r="B270" s="5" t="s">
        <v>189</v>
      </c>
      <c r="C270" s="5">
        <v>2013</v>
      </c>
      <c r="D270" s="5">
        <v>119.7</v>
      </c>
      <c r="E270" s="5">
        <v>32.58</v>
      </c>
      <c r="F270" s="5" t="s">
        <v>190</v>
      </c>
      <c r="G270" s="29">
        <v>697.5</v>
      </c>
      <c r="H270" s="29">
        <v>892.5</v>
      </c>
      <c r="I270" s="29">
        <v>25.5</v>
      </c>
      <c r="J270" s="29">
        <v>1.4</v>
      </c>
      <c r="K270" s="29">
        <v>58</v>
      </c>
      <c r="L270" s="29">
        <f>100-M270-K270</f>
        <v>28</v>
      </c>
      <c r="M270" s="29">
        <v>14</v>
      </c>
      <c r="N270" s="29">
        <v>8</v>
      </c>
      <c r="O270" s="29">
        <v>18.399999999999999</v>
      </c>
      <c r="P270" s="29">
        <v>1.45</v>
      </c>
      <c r="Q270" s="29">
        <f t="shared" si="20"/>
        <v>12.689655172413792</v>
      </c>
      <c r="R270" s="29">
        <v>150</v>
      </c>
      <c r="S270" s="79">
        <v>0.65</v>
      </c>
      <c r="U270" s="80">
        <f>(S270-0.34)/R270</f>
        <v>2.0666666666666667E-3</v>
      </c>
      <c r="V270" s="80">
        <f t="shared" si="21"/>
        <v>0.20666666666666667</v>
      </c>
    </row>
    <row r="271" spans="1:22" x14ac:dyDescent="0.3">
      <c r="A271" s="5" t="s">
        <v>188</v>
      </c>
      <c r="B271" s="5" t="s">
        <v>189</v>
      </c>
      <c r="C271" s="5">
        <v>2013</v>
      </c>
      <c r="D271" s="5">
        <v>119.7</v>
      </c>
      <c r="E271" s="5">
        <v>32.58</v>
      </c>
      <c r="F271" s="5" t="s">
        <v>190</v>
      </c>
      <c r="G271" s="29">
        <v>697.5</v>
      </c>
      <c r="H271" s="29">
        <v>892.5</v>
      </c>
      <c r="I271" s="29">
        <v>25.5</v>
      </c>
      <c r="J271" s="29">
        <v>1.4</v>
      </c>
      <c r="K271" s="29">
        <v>58</v>
      </c>
      <c r="L271" s="29">
        <f>100-M271-K271</f>
        <v>28</v>
      </c>
      <c r="M271" s="29">
        <v>14</v>
      </c>
      <c r="N271" s="29">
        <v>8</v>
      </c>
      <c r="O271" s="29">
        <v>18.399999999999999</v>
      </c>
      <c r="P271" s="29">
        <v>1.45</v>
      </c>
      <c r="Q271" s="29">
        <f t="shared" si="20"/>
        <v>12.689655172413792</v>
      </c>
      <c r="R271" s="29">
        <v>250</v>
      </c>
      <c r="S271" s="79">
        <v>1.08</v>
      </c>
      <c r="U271" s="80">
        <f>(S271-0.34)/R271</f>
        <v>2.96E-3</v>
      </c>
      <c r="V271" s="80">
        <f t="shared" si="21"/>
        <v>0.29599999999999999</v>
      </c>
    </row>
    <row r="272" spans="1:22" x14ac:dyDescent="0.3">
      <c r="A272" s="5" t="s">
        <v>188</v>
      </c>
      <c r="B272" s="5" t="s">
        <v>189</v>
      </c>
      <c r="C272" s="5">
        <v>2013</v>
      </c>
      <c r="D272" s="5">
        <v>119.7</v>
      </c>
      <c r="E272" s="5">
        <v>32.58</v>
      </c>
      <c r="F272" s="5" t="s">
        <v>162</v>
      </c>
      <c r="G272" s="29">
        <v>697.5</v>
      </c>
      <c r="H272" s="29">
        <v>892.5</v>
      </c>
      <c r="I272" s="29">
        <v>25.5</v>
      </c>
      <c r="J272" s="29">
        <v>1.43</v>
      </c>
      <c r="K272" s="29">
        <v>19.214285709999999</v>
      </c>
      <c r="L272" s="29">
        <v>39.571428570000002</v>
      </c>
      <c r="M272" s="29">
        <v>41.214285709999999</v>
      </c>
      <c r="N272" s="29">
        <v>6.9</v>
      </c>
      <c r="O272" s="29">
        <v>18.399999999999999</v>
      </c>
      <c r="P272" s="29">
        <v>1.45</v>
      </c>
      <c r="Q272" s="29">
        <f t="shared" si="20"/>
        <v>12.689655172413792</v>
      </c>
      <c r="R272" s="29">
        <v>0</v>
      </c>
      <c r="S272" s="79">
        <v>0.4</v>
      </c>
      <c r="V272" s="80">
        <f t="shared" si="21"/>
        <v>0</v>
      </c>
    </row>
    <row r="273" spans="1:22" x14ac:dyDescent="0.3">
      <c r="A273" s="5" t="s">
        <v>188</v>
      </c>
      <c r="B273" s="5" t="s">
        <v>189</v>
      </c>
      <c r="C273" s="5">
        <v>2013</v>
      </c>
      <c r="D273" s="5">
        <v>119.7</v>
      </c>
      <c r="E273" s="5">
        <v>32.58</v>
      </c>
      <c r="F273" s="5" t="s">
        <v>162</v>
      </c>
      <c r="G273" s="29">
        <v>697.5</v>
      </c>
      <c r="H273" s="29">
        <v>892.5</v>
      </c>
      <c r="I273" s="29">
        <v>25.5</v>
      </c>
      <c r="J273" s="29">
        <v>1.4</v>
      </c>
      <c r="K273" s="29">
        <v>58</v>
      </c>
      <c r="L273" s="29">
        <f t="shared" ref="L273:L274" si="22">100-M273-K273</f>
        <v>28</v>
      </c>
      <c r="M273" s="29">
        <v>14</v>
      </c>
      <c r="N273" s="29">
        <v>8</v>
      </c>
      <c r="O273" s="29">
        <v>18.399999999999999</v>
      </c>
      <c r="P273" s="29">
        <v>1.45</v>
      </c>
      <c r="Q273" s="29">
        <f t="shared" si="20"/>
        <v>12.689655172413792</v>
      </c>
      <c r="R273" s="29">
        <v>150</v>
      </c>
      <c r="S273" s="79">
        <v>1.1599999999999999</v>
      </c>
      <c r="U273" s="80">
        <f>(S273-0.4)/R273</f>
        <v>5.0666666666666664E-3</v>
      </c>
      <c r="V273" s="80">
        <f t="shared" si="21"/>
        <v>0.5066666666666666</v>
      </c>
    </row>
    <row r="274" spans="1:22" x14ac:dyDescent="0.3">
      <c r="A274" s="5" t="s">
        <v>188</v>
      </c>
      <c r="B274" s="5" t="s">
        <v>189</v>
      </c>
      <c r="C274" s="5">
        <v>2013</v>
      </c>
      <c r="D274" s="5">
        <v>119.7</v>
      </c>
      <c r="E274" s="5">
        <v>32.58</v>
      </c>
      <c r="F274" s="5" t="s">
        <v>162</v>
      </c>
      <c r="G274" s="29">
        <v>697.5</v>
      </c>
      <c r="H274" s="29">
        <v>892.5</v>
      </c>
      <c r="I274" s="29">
        <v>25.5</v>
      </c>
      <c r="J274" s="29">
        <v>1.4</v>
      </c>
      <c r="K274" s="29">
        <v>58</v>
      </c>
      <c r="L274" s="29">
        <f t="shared" si="22"/>
        <v>28</v>
      </c>
      <c r="M274" s="29">
        <v>14</v>
      </c>
      <c r="N274" s="29">
        <v>8</v>
      </c>
      <c r="O274" s="29">
        <v>18.399999999999999</v>
      </c>
      <c r="P274" s="29">
        <v>1.45</v>
      </c>
      <c r="Q274" s="29">
        <f t="shared" si="20"/>
        <v>12.689655172413792</v>
      </c>
      <c r="R274" s="29">
        <v>250</v>
      </c>
      <c r="S274" s="79">
        <v>2.34</v>
      </c>
      <c r="U274" s="80">
        <f>(S274-0.4)/R274</f>
        <v>7.7599999999999995E-3</v>
      </c>
      <c r="V274" s="80">
        <f t="shared" si="21"/>
        <v>0.77599999999999991</v>
      </c>
    </row>
    <row r="275" spans="1:22" x14ac:dyDescent="0.3">
      <c r="A275" s="5" t="s">
        <v>188</v>
      </c>
      <c r="B275" s="5" t="s">
        <v>189</v>
      </c>
      <c r="C275" s="5">
        <v>2013</v>
      </c>
      <c r="D275" s="5">
        <v>119.7</v>
      </c>
      <c r="E275" s="5">
        <v>32.58</v>
      </c>
      <c r="F275" s="5">
        <v>2006</v>
      </c>
      <c r="G275" s="29">
        <v>697.5</v>
      </c>
      <c r="H275" s="29">
        <v>892.5</v>
      </c>
      <c r="I275" s="29">
        <v>25.5</v>
      </c>
      <c r="J275" s="29">
        <v>1.43</v>
      </c>
      <c r="K275" s="29">
        <v>19.214285709999999</v>
      </c>
      <c r="L275" s="29">
        <v>39.571428570000002</v>
      </c>
      <c r="M275" s="29">
        <v>41.214285709999999</v>
      </c>
      <c r="N275" s="29">
        <v>6.9</v>
      </c>
      <c r="O275" s="29">
        <v>18.399999999999999</v>
      </c>
      <c r="P275" s="29">
        <v>1.45</v>
      </c>
      <c r="Q275" s="29">
        <f t="shared" si="20"/>
        <v>12.689655172413792</v>
      </c>
      <c r="R275" s="29">
        <v>0</v>
      </c>
      <c r="S275" s="79">
        <v>0.42</v>
      </c>
      <c r="V275" s="80">
        <f t="shared" si="21"/>
        <v>0</v>
      </c>
    </row>
    <row r="276" spans="1:22" x14ac:dyDescent="0.3">
      <c r="A276" s="5" t="s">
        <v>188</v>
      </c>
      <c r="B276" s="5" t="s">
        <v>189</v>
      </c>
      <c r="C276" s="5">
        <v>2013</v>
      </c>
      <c r="D276" s="5">
        <v>119.7</v>
      </c>
      <c r="E276" s="5">
        <v>32.58</v>
      </c>
      <c r="F276" s="5">
        <v>2006</v>
      </c>
      <c r="G276" s="29">
        <v>697.5</v>
      </c>
      <c r="H276" s="29">
        <v>892.5</v>
      </c>
      <c r="I276" s="29">
        <v>25.5</v>
      </c>
      <c r="J276" s="29">
        <v>1.4</v>
      </c>
      <c r="K276" s="29">
        <v>58</v>
      </c>
      <c r="L276" s="29">
        <f t="shared" ref="L276:L277" si="23">100-M276-K276</f>
        <v>28</v>
      </c>
      <c r="M276" s="29">
        <v>14</v>
      </c>
      <c r="N276" s="29">
        <v>8</v>
      </c>
      <c r="O276" s="29">
        <v>18.399999999999999</v>
      </c>
      <c r="P276" s="29">
        <v>1.45</v>
      </c>
      <c r="Q276" s="29">
        <f t="shared" si="20"/>
        <v>12.689655172413792</v>
      </c>
      <c r="R276" s="29">
        <v>150</v>
      </c>
      <c r="S276" s="79">
        <v>1</v>
      </c>
      <c r="U276" s="80">
        <f>(S276-0.42)/R276</f>
        <v>3.8666666666666671E-3</v>
      </c>
      <c r="V276" s="80">
        <f t="shared" si="21"/>
        <v>0.38666666666666671</v>
      </c>
    </row>
    <row r="277" spans="1:22" x14ac:dyDescent="0.3">
      <c r="A277" s="5" t="s">
        <v>188</v>
      </c>
      <c r="B277" s="5" t="s">
        <v>189</v>
      </c>
      <c r="C277" s="5">
        <v>2013</v>
      </c>
      <c r="D277" s="5">
        <v>119.7</v>
      </c>
      <c r="E277" s="5">
        <v>32.58</v>
      </c>
      <c r="F277" s="5">
        <v>2006</v>
      </c>
      <c r="G277" s="29">
        <v>697.5</v>
      </c>
      <c r="H277" s="29">
        <v>892.5</v>
      </c>
      <c r="I277" s="29">
        <v>25.5</v>
      </c>
      <c r="J277" s="29">
        <v>1.4</v>
      </c>
      <c r="K277" s="29">
        <v>58</v>
      </c>
      <c r="L277" s="29">
        <f t="shared" si="23"/>
        <v>28</v>
      </c>
      <c r="M277" s="29">
        <v>14</v>
      </c>
      <c r="N277" s="29">
        <v>8</v>
      </c>
      <c r="O277" s="29">
        <v>18.399999999999999</v>
      </c>
      <c r="P277" s="29">
        <v>1.45</v>
      </c>
      <c r="Q277" s="29">
        <f t="shared" si="20"/>
        <v>12.689655172413792</v>
      </c>
      <c r="R277" s="29">
        <v>250</v>
      </c>
      <c r="S277" s="79">
        <v>2.2799999999999998</v>
      </c>
      <c r="U277" s="80">
        <f>(S277-0.42)/R277</f>
        <v>7.4399999999999996E-3</v>
      </c>
      <c r="V277" s="80">
        <f t="shared" si="21"/>
        <v>0.74399999999999999</v>
      </c>
    </row>
    <row r="278" spans="1:22" x14ac:dyDescent="0.3">
      <c r="A278" s="5" t="s">
        <v>188</v>
      </c>
      <c r="B278" s="5" t="s">
        <v>189</v>
      </c>
      <c r="C278" s="5">
        <v>2013</v>
      </c>
      <c r="D278" s="5">
        <v>119.7</v>
      </c>
      <c r="E278" s="5">
        <v>32.58</v>
      </c>
      <c r="F278" s="5">
        <v>2007</v>
      </c>
      <c r="G278" s="29">
        <v>775.5</v>
      </c>
      <c r="H278" s="29">
        <v>831</v>
      </c>
      <c r="I278" s="29">
        <v>25.9</v>
      </c>
      <c r="J278" s="29">
        <v>1.43</v>
      </c>
      <c r="K278" s="29">
        <v>19.214285709999999</v>
      </c>
      <c r="L278" s="29">
        <v>39.571428570000002</v>
      </c>
      <c r="M278" s="29">
        <v>41.214285709999999</v>
      </c>
      <c r="N278" s="29">
        <v>6.9</v>
      </c>
      <c r="O278" s="29">
        <v>18.399999999999999</v>
      </c>
      <c r="P278" s="29">
        <v>1.45</v>
      </c>
      <c r="Q278" s="29">
        <f t="shared" si="20"/>
        <v>12.689655172413792</v>
      </c>
      <c r="R278" s="29">
        <v>0</v>
      </c>
      <c r="S278" s="79">
        <v>0.33</v>
      </c>
      <c r="V278" s="80">
        <f t="shared" si="21"/>
        <v>0</v>
      </c>
    </row>
    <row r="279" spans="1:22" x14ac:dyDescent="0.3">
      <c r="A279" s="81" t="s">
        <v>188</v>
      </c>
      <c r="B279" s="81" t="s">
        <v>189</v>
      </c>
      <c r="C279" s="81">
        <v>2013</v>
      </c>
      <c r="D279" s="81">
        <v>119.7</v>
      </c>
      <c r="E279" s="81">
        <v>32.58</v>
      </c>
      <c r="F279" s="81">
        <v>2007</v>
      </c>
      <c r="G279" s="34">
        <v>775.5</v>
      </c>
      <c r="H279" s="34">
        <v>831</v>
      </c>
      <c r="I279" s="34">
        <v>25.9</v>
      </c>
      <c r="J279" s="29">
        <v>1.4</v>
      </c>
      <c r="K279" s="29">
        <v>58</v>
      </c>
      <c r="L279" s="29">
        <f>100-M279-K279</f>
        <v>28</v>
      </c>
      <c r="M279" s="29">
        <v>14</v>
      </c>
      <c r="N279" s="29">
        <v>8</v>
      </c>
      <c r="O279" s="34">
        <v>18.399999999999999</v>
      </c>
      <c r="P279" s="34">
        <v>1.45</v>
      </c>
      <c r="Q279" s="34">
        <f t="shared" si="20"/>
        <v>12.689655172413792</v>
      </c>
      <c r="R279" s="34">
        <v>150</v>
      </c>
      <c r="S279" s="82">
        <v>1.83</v>
      </c>
      <c r="T279" s="34"/>
      <c r="U279" s="83">
        <f>(S279-0.33)/R279</f>
        <v>0.01</v>
      </c>
      <c r="V279" s="83">
        <f t="shared" si="21"/>
        <v>1</v>
      </c>
    </row>
    <row r="280" spans="1:22" x14ac:dyDescent="0.3">
      <c r="A280" s="5" t="s">
        <v>191</v>
      </c>
      <c r="B280" s="5" t="s">
        <v>192</v>
      </c>
      <c r="C280" s="5">
        <v>2016</v>
      </c>
      <c r="D280" s="5">
        <v>113.75</v>
      </c>
      <c r="E280" s="5">
        <v>30.08</v>
      </c>
      <c r="F280" s="5">
        <v>2011</v>
      </c>
      <c r="G280" s="29">
        <v>853.50000000000011</v>
      </c>
      <c r="H280" s="29">
        <v>862.5</v>
      </c>
      <c r="I280" s="29">
        <v>26.1</v>
      </c>
      <c r="J280" s="29">
        <v>1.27374999</v>
      </c>
      <c r="K280" s="29">
        <v>20.208333329999999</v>
      </c>
      <c r="L280" s="29">
        <v>30.875</v>
      </c>
      <c r="M280" s="29">
        <v>40.583333330000002</v>
      </c>
      <c r="N280" s="29">
        <v>7.84</v>
      </c>
      <c r="O280" s="29">
        <v>18.25</v>
      </c>
      <c r="P280" s="29">
        <v>1.97</v>
      </c>
      <c r="Q280" s="29">
        <f t="shared" si="20"/>
        <v>9.2639593908629436</v>
      </c>
      <c r="R280" s="29">
        <v>0</v>
      </c>
      <c r="S280" s="79">
        <v>0.46</v>
      </c>
      <c r="T280" s="44">
        <f>AVERAGE(S280,S282)</f>
        <v>0.30000000000000004</v>
      </c>
      <c r="V280" s="80">
        <f t="shared" si="21"/>
        <v>0</v>
      </c>
    </row>
    <row r="281" spans="1:22" x14ac:dyDescent="0.3">
      <c r="A281" s="5" t="s">
        <v>191</v>
      </c>
      <c r="B281" s="5" t="s">
        <v>192</v>
      </c>
      <c r="C281" s="5">
        <v>2016</v>
      </c>
      <c r="D281" s="5">
        <v>113.75</v>
      </c>
      <c r="E281" s="5">
        <v>30.08</v>
      </c>
      <c r="F281" s="5">
        <v>2011</v>
      </c>
      <c r="G281" s="29">
        <v>853.50000000000011</v>
      </c>
      <c r="H281" s="29">
        <v>862.5</v>
      </c>
      <c r="I281" s="29">
        <v>26.1</v>
      </c>
      <c r="J281" s="29">
        <v>1.218</v>
      </c>
      <c r="K281" s="29">
        <v>38</v>
      </c>
      <c r="L281" s="29">
        <v>37</v>
      </c>
      <c r="M281" s="29">
        <v>25</v>
      </c>
      <c r="N281" s="29">
        <v>7.84</v>
      </c>
      <c r="O281" s="29">
        <v>18.25</v>
      </c>
      <c r="P281" s="29">
        <v>1.97</v>
      </c>
      <c r="Q281" s="29">
        <f t="shared" si="20"/>
        <v>9.2639593908629436</v>
      </c>
      <c r="R281" s="29">
        <v>165</v>
      </c>
      <c r="S281" s="79">
        <v>0.63</v>
      </c>
      <c r="U281" s="80">
        <f>(S281-S280)/R281</f>
        <v>1.0303030303030303E-3</v>
      </c>
      <c r="V281" s="80">
        <f t="shared" si="21"/>
        <v>0.10303030303030303</v>
      </c>
    </row>
    <row r="282" spans="1:22" x14ac:dyDescent="0.3">
      <c r="A282" s="5" t="s">
        <v>191</v>
      </c>
      <c r="B282" s="5" t="s">
        <v>192</v>
      </c>
      <c r="C282" s="5">
        <v>2016</v>
      </c>
      <c r="D282" s="5">
        <v>113.75</v>
      </c>
      <c r="E282" s="5">
        <v>30.08</v>
      </c>
      <c r="F282" s="5">
        <v>2012</v>
      </c>
      <c r="G282" s="29">
        <v>757.5</v>
      </c>
      <c r="H282" s="29">
        <v>562.5</v>
      </c>
      <c r="I282" s="29">
        <v>26.62</v>
      </c>
      <c r="J282" s="29">
        <v>1.27374999</v>
      </c>
      <c r="K282" s="29">
        <v>20.208333329999999</v>
      </c>
      <c r="L282" s="29">
        <v>30.875</v>
      </c>
      <c r="M282" s="29">
        <v>40.583333330000002</v>
      </c>
      <c r="N282" s="29">
        <v>7.84</v>
      </c>
      <c r="O282" s="29">
        <v>18.25</v>
      </c>
      <c r="P282" s="29">
        <v>1.97</v>
      </c>
      <c r="Q282" s="29">
        <f t="shared" si="20"/>
        <v>9.2639593908629436</v>
      </c>
      <c r="R282" s="29">
        <v>0</v>
      </c>
      <c r="S282" s="79">
        <v>0.14000000000000001</v>
      </c>
      <c r="V282" s="80">
        <f t="shared" si="21"/>
        <v>0</v>
      </c>
    </row>
    <row r="283" spans="1:22" x14ac:dyDescent="0.3">
      <c r="A283" s="81" t="s">
        <v>191</v>
      </c>
      <c r="B283" s="81" t="s">
        <v>192</v>
      </c>
      <c r="C283" s="81">
        <v>2016</v>
      </c>
      <c r="D283" s="81">
        <v>113.75</v>
      </c>
      <c r="E283" s="81">
        <v>30.08</v>
      </c>
      <c r="F283" s="81">
        <v>2012</v>
      </c>
      <c r="G283" s="34">
        <v>757.5</v>
      </c>
      <c r="H283" s="34">
        <v>562.5</v>
      </c>
      <c r="I283" s="34">
        <v>26.62</v>
      </c>
      <c r="J283" s="29">
        <v>1.218</v>
      </c>
      <c r="K283" s="29">
        <v>38</v>
      </c>
      <c r="L283" s="29">
        <v>37</v>
      </c>
      <c r="M283" s="29">
        <v>25</v>
      </c>
      <c r="N283" s="34">
        <v>7.84</v>
      </c>
      <c r="O283" s="34">
        <v>18.25</v>
      </c>
      <c r="P283" s="34">
        <v>1.97</v>
      </c>
      <c r="Q283" s="34">
        <f t="shared" si="20"/>
        <v>9.2639593908629436</v>
      </c>
      <c r="R283" s="34">
        <v>165</v>
      </c>
      <c r="S283" s="82">
        <v>0.17</v>
      </c>
      <c r="T283" s="34"/>
      <c r="U283" s="83">
        <f>(S283-S282)/R283</f>
        <v>1.8181818181818181E-4</v>
      </c>
      <c r="V283" s="83">
        <f t="shared" si="21"/>
        <v>1.8181818181818181E-2</v>
      </c>
    </row>
    <row r="284" spans="1:22" x14ac:dyDescent="0.3">
      <c r="A284" s="5" t="s">
        <v>193</v>
      </c>
      <c r="B284" s="5" t="s">
        <v>189</v>
      </c>
      <c r="C284" s="5">
        <v>2012</v>
      </c>
      <c r="D284" s="5">
        <v>119.7</v>
      </c>
      <c r="E284" s="5">
        <v>32.58</v>
      </c>
      <c r="F284" s="5" t="s">
        <v>162</v>
      </c>
      <c r="G284" s="29">
        <v>697.5</v>
      </c>
      <c r="H284" s="29">
        <v>892.5</v>
      </c>
      <c r="I284" s="29">
        <v>25.5</v>
      </c>
      <c r="J284" s="29">
        <v>1.4672727299999999</v>
      </c>
      <c r="K284" s="29">
        <v>19.214285709999999</v>
      </c>
      <c r="L284" s="29">
        <v>39.571428570000002</v>
      </c>
      <c r="M284" s="29">
        <v>41.214285709999999</v>
      </c>
      <c r="N284" s="29">
        <v>6.9</v>
      </c>
      <c r="O284" s="29">
        <v>18.399999999999999</v>
      </c>
      <c r="P284" s="29">
        <v>1.45</v>
      </c>
      <c r="Q284" s="29">
        <f t="shared" si="20"/>
        <v>12.689655172413792</v>
      </c>
      <c r="R284" s="29">
        <v>0</v>
      </c>
      <c r="S284" s="79">
        <v>0.4</v>
      </c>
      <c r="T284" s="44">
        <f>AVERAGE(S284,S287,S290)</f>
        <v>0.38333333333333336</v>
      </c>
      <c r="V284" s="80">
        <f t="shared" si="21"/>
        <v>0</v>
      </c>
    </row>
    <row r="285" spans="1:22" x14ac:dyDescent="0.3">
      <c r="A285" s="5" t="s">
        <v>193</v>
      </c>
      <c r="B285" s="5" t="s">
        <v>189</v>
      </c>
      <c r="C285" s="5">
        <v>2012</v>
      </c>
      <c r="D285" s="5">
        <v>119.7</v>
      </c>
      <c r="E285" s="5">
        <v>32.58</v>
      </c>
      <c r="F285" s="5" t="s">
        <v>162</v>
      </c>
      <c r="G285" s="29">
        <v>697.5</v>
      </c>
      <c r="H285" s="29">
        <v>892.5</v>
      </c>
      <c r="I285" s="29">
        <v>25.5</v>
      </c>
      <c r="J285" s="29">
        <v>1.1599999999999999</v>
      </c>
      <c r="K285" s="29">
        <v>57.8</v>
      </c>
      <c r="L285" s="29">
        <v>28.5</v>
      </c>
      <c r="M285" s="29">
        <v>13.6</v>
      </c>
      <c r="N285" s="29">
        <v>8</v>
      </c>
      <c r="O285" s="29">
        <v>18.399999999999999</v>
      </c>
      <c r="P285" s="29">
        <v>1.45</v>
      </c>
      <c r="Q285" s="29">
        <f t="shared" si="20"/>
        <v>12.689655172413792</v>
      </c>
      <c r="R285" s="29">
        <v>150</v>
      </c>
      <c r="S285" s="79">
        <v>1.1599999999999999</v>
      </c>
      <c r="U285" s="80">
        <f>(S285-S284)/R285</f>
        <v>5.0666666666666664E-3</v>
      </c>
      <c r="V285" s="80">
        <f t="shared" si="21"/>
        <v>0.5066666666666666</v>
      </c>
    </row>
    <row r="286" spans="1:22" x14ac:dyDescent="0.3">
      <c r="A286" s="5" t="s">
        <v>193</v>
      </c>
      <c r="B286" s="5" t="s">
        <v>189</v>
      </c>
      <c r="C286" s="5">
        <v>2012</v>
      </c>
      <c r="D286" s="5">
        <v>119.7</v>
      </c>
      <c r="E286" s="5">
        <v>32.58</v>
      </c>
      <c r="F286" s="5" t="s">
        <v>162</v>
      </c>
      <c r="G286" s="29">
        <v>697.5</v>
      </c>
      <c r="H286" s="29">
        <v>892.5</v>
      </c>
      <c r="I286" s="29">
        <v>25.5</v>
      </c>
      <c r="J286" s="29">
        <v>1.1599999999999999</v>
      </c>
      <c r="K286" s="29">
        <v>57.8</v>
      </c>
      <c r="L286" s="29">
        <v>28.5</v>
      </c>
      <c r="M286" s="29">
        <v>13.6</v>
      </c>
      <c r="N286" s="29">
        <v>8</v>
      </c>
      <c r="O286" s="29">
        <v>18.399999999999999</v>
      </c>
      <c r="P286" s="29">
        <v>1.45</v>
      </c>
      <c r="Q286" s="29">
        <f t="shared" si="20"/>
        <v>12.689655172413792</v>
      </c>
      <c r="R286" s="29">
        <v>250</v>
      </c>
      <c r="S286" s="79">
        <v>2.34</v>
      </c>
      <c r="U286" s="80">
        <f>(S286-S284)/R286</f>
        <v>7.7599999999999995E-3</v>
      </c>
      <c r="V286" s="80">
        <f t="shared" si="21"/>
        <v>0.77599999999999991</v>
      </c>
    </row>
    <row r="287" spans="1:22" x14ac:dyDescent="0.3">
      <c r="A287" s="5" t="s">
        <v>193</v>
      </c>
      <c r="B287" s="5" t="s">
        <v>189</v>
      </c>
      <c r="C287" s="5">
        <v>2012</v>
      </c>
      <c r="D287" s="5">
        <v>119.7</v>
      </c>
      <c r="E287" s="5">
        <v>32.58</v>
      </c>
      <c r="F287" s="5">
        <v>2006</v>
      </c>
      <c r="G287" s="29">
        <v>697.5</v>
      </c>
      <c r="H287" s="29">
        <v>892.5</v>
      </c>
      <c r="I287" s="29">
        <v>25.5</v>
      </c>
      <c r="J287" s="29">
        <v>1.4672727299999999</v>
      </c>
      <c r="K287" s="29">
        <v>19.214285709999999</v>
      </c>
      <c r="L287" s="29">
        <v>39.571428570000002</v>
      </c>
      <c r="M287" s="29">
        <v>41.214285709999999</v>
      </c>
      <c r="N287" s="29">
        <v>6.9</v>
      </c>
      <c r="O287" s="29">
        <v>18.399999999999999</v>
      </c>
      <c r="P287" s="29">
        <v>1.45</v>
      </c>
      <c r="Q287" s="29">
        <f t="shared" ref="Q287:Q344" si="24">O287/P287</f>
        <v>12.689655172413792</v>
      </c>
      <c r="R287" s="29">
        <v>0</v>
      </c>
      <c r="S287" s="79">
        <v>0.42</v>
      </c>
      <c r="V287" s="80">
        <f t="shared" si="21"/>
        <v>0</v>
      </c>
    </row>
    <row r="288" spans="1:22" x14ac:dyDescent="0.3">
      <c r="A288" s="5" t="s">
        <v>193</v>
      </c>
      <c r="B288" s="5" t="s">
        <v>189</v>
      </c>
      <c r="C288" s="5">
        <v>2012</v>
      </c>
      <c r="D288" s="5">
        <v>119.7</v>
      </c>
      <c r="E288" s="5">
        <v>32.58</v>
      </c>
      <c r="F288" s="5">
        <v>2006</v>
      </c>
      <c r="G288" s="29">
        <v>697.5</v>
      </c>
      <c r="H288" s="29">
        <v>892.5</v>
      </c>
      <c r="I288" s="29">
        <v>25.5</v>
      </c>
      <c r="J288" s="29">
        <v>1.1599999999999999</v>
      </c>
      <c r="K288" s="29">
        <v>57.8</v>
      </c>
      <c r="L288" s="29">
        <v>28.5</v>
      </c>
      <c r="M288" s="29">
        <v>13.6</v>
      </c>
      <c r="N288" s="29">
        <v>8</v>
      </c>
      <c r="O288" s="29">
        <v>18.399999999999999</v>
      </c>
      <c r="P288" s="29">
        <v>1.45</v>
      </c>
      <c r="Q288" s="29">
        <f t="shared" si="24"/>
        <v>12.689655172413792</v>
      </c>
      <c r="R288" s="29">
        <v>150</v>
      </c>
      <c r="S288" s="79">
        <v>1</v>
      </c>
      <c r="U288" s="80">
        <f>(S288-S287)/R288</f>
        <v>3.8666666666666671E-3</v>
      </c>
      <c r="V288" s="80">
        <f t="shared" ref="V288:V344" si="25">U288*100</f>
        <v>0.38666666666666671</v>
      </c>
    </row>
    <row r="289" spans="1:22" x14ac:dyDescent="0.3">
      <c r="A289" s="5" t="s">
        <v>193</v>
      </c>
      <c r="B289" s="5" t="s">
        <v>189</v>
      </c>
      <c r="C289" s="5">
        <v>2012</v>
      </c>
      <c r="D289" s="5">
        <v>119.7</v>
      </c>
      <c r="E289" s="5">
        <v>32.58</v>
      </c>
      <c r="F289" s="5">
        <v>2006</v>
      </c>
      <c r="G289" s="29">
        <v>697.5</v>
      </c>
      <c r="H289" s="29">
        <v>892.5</v>
      </c>
      <c r="I289" s="29">
        <v>25.5</v>
      </c>
      <c r="J289" s="29">
        <v>1.1599999999999999</v>
      </c>
      <c r="K289" s="29">
        <v>57.8</v>
      </c>
      <c r="L289" s="29">
        <v>28.5</v>
      </c>
      <c r="M289" s="29">
        <v>13.6</v>
      </c>
      <c r="N289" s="29">
        <v>8</v>
      </c>
      <c r="O289" s="29">
        <v>18.399999999999999</v>
      </c>
      <c r="P289" s="29">
        <v>1.45</v>
      </c>
      <c r="Q289" s="29">
        <f t="shared" si="24"/>
        <v>12.689655172413792</v>
      </c>
      <c r="R289" s="29">
        <v>250</v>
      </c>
      <c r="S289" s="79">
        <v>2.2799999999999998</v>
      </c>
      <c r="U289" s="80">
        <f>(S289-S287)/R289</f>
        <v>7.4399999999999996E-3</v>
      </c>
      <c r="V289" s="80">
        <f t="shared" si="25"/>
        <v>0.74399999999999999</v>
      </c>
    </row>
    <row r="290" spans="1:22" x14ac:dyDescent="0.3">
      <c r="A290" s="5" t="s">
        <v>193</v>
      </c>
      <c r="B290" s="5" t="s">
        <v>189</v>
      </c>
      <c r="C290" s="5">
        <v>2012</v>
      </c>
      <c r="D290" s="5">
        <v>119.7</v>
      </c>
      <c r="E290" s="5">
        <v>32.58</v>
      </c>
      <c r="F290" s="5">
        <v>2007</v>
      </c>
      <c r="G290" s="29">
        <v>775.5</v>
      </c>
      <c r="H290" s="29">
        <v>831</v>
      </c>
      <c r="I290" s="29">
        <v>25.9</v>
      </c>
      <c r="J290" s="29">
        <v>1.4672727299999999</v>
      </c>
      <c r="K290" s="29">
        <v>19.214285709999999</v>
      </c>
      <c r="L290" s="29">
        <v>39.571428570000002</v>
      </c>
      <c r="M290" s="29">
        <v>41.214285709999999</v>
      </c>
      <c r="N290" s="29">
        <v>6.9</v>
      </c>
      <c r="O290" s="29">
        <v>18.399999999999999</v>
      </c>
      <c r="P290" s="29">
        <v>1.45</v>
      </c>
      <c r="Q290" s="29">
        <f t="shared" si="24"/>
        <v>12.689655172413792</v>
      </c>
      <c r="R290" s="29">
        <v>0</v>
      </c>
      <c r="S290" s="79">
        <v>0.33</v>
      </c>
      <c r="V290" s="80">
        <f t="shared" si="25"/>
        <v>0</v>
      </c>
    </row>
    <row r="291" spans="1:22" x14ac:dyDescent="0.3">
      <c r="A291" s="81" t="s">
        <v>193</v>
      </c>
      <c r="B291" s="81" t="s">
        <v>189</v>
      </c>
      <c r="C291" s="81">
        <v>2012</v>
      </c>
      <c r="D291" s="81">
        <v>119.7</v>
      </c>
      <c r="E291" s="81">
        <v>32.58</v>
      </c>
      <c r="F291" s="81">
        <v>2007</v>
      </c>
      <c r="G291" s="34">
        <v>775.5</v>
      </c>
      <c r="H291" s="34">
        <v>831</v>
      </c>
      <c r="I291" s="34">
        <v>25.9</v>
      </c>
      <c r="J291" s="29">
        <v>1.1599999999999999</v>
      </c>
      <c r="K291" s="29">
        <v>57.8</v>
      </c>
      <c r="L291" s="29">
        <v>28.5</v>
      </c>
      <c r="M291" s="29">
        <v>13.6</v>
      </c>
      <c r="N291" s="29">
        <v>8</v>
      </c>
      <c r="O291" s="34">
        <v>18.399999999999999</v>
      </c>
      <c r="P291" s="34">
        <v>1.45</v>
      </c>
      <c r="Q291" s="34">
        <f t="shared" si="24"/>
        <v>12.689655172413792</v>
      </c>
      <c r="R291" s="34">
        <v>150</v>
      </c>
      <c r="S291" s="82">
        <v>1.83</v>
      </c>
      <c r="T291" s="34"/>
      <c r="U291" s="83">
        <f>(S291-S290)/R291</f>
        <v>0.01</v>
      </c>
      <c r="V291" s="83">
        <f t="shared" si="25"/>
        <v>1</v>
      </c>
    </row>
    <row r="292" spans="1:22" x14ac:dyDescent="0.3">
      <c r="A292" s="5" t="s">
        <v>194</v>
      </c>
      <c r="B292" s="5" t="s">
        <v>195</v>
      </c>
      <c r="C292" s="5">
        <v>2011</v>
      </c>
      <c r="D292" s="5">
        <v>111.5</v>
      </c>
      <c r="E292" s="5">
        <v>28.92</v>
      </c>
      <c r="F292" s="5">
        <v>2007</v>
      </c>
      <c r="G292" s="29">
        <v>638.4</v>
      </c>
      <c r="H292" s="29">
        <v>583.20000000000005</v>
      </c>
      <c r="I292" s="29">
        <v>23.8</v>
      </c>
      <c r="J292" s="29">
        <v>1.3924444300000001</v>
      </c>
      <c r="K292" s="29">
        <v>24.82222222</v>
      </c>
      <c r="L292" s="29">
        <v>40.488888889999998</v>
      </c>
      <c r="M292" s="29">
        <v>34.688888890000001</v>
      </c>
      <c r="N292" s="29">
        <v>5.6</v>
      </c>
      <c r="O292" s="29">
        <v>18.938515081206496</v>
      </c>
      <c r="P292" s="29">
        <v>1.4</v>
      </c>
      <c r="Q292" s="29">
        <f t="shared" si="24"/>
        <v>13.527510772290356</v>
      </c>
      <c r="R292" s="29">
        <v>0</v>
      </c>
      <c r="S292" s="79">
        <v>0.04</v>
      </c>
      <c r="T292" s="44">
        <f>AVERAGE(S292,S302,S298,S308,S312,S318)</f>
        <v>4.8333333333333339E-2</v>
      </c>
      <c r="V292" s="80">
        <f t="shared" si="25"/>
        <v>0</v>
      </c>
    </row>
    <row r="293" spans="1:22" x14ac:dyDescent="0.3">
      <c r="A293" s="5" t="s">
        <v>196</v>
      </c>
      <c r="B293" s="5" t="s">
        <v>195</v>
      </c>
      <c r="C293" s="5">
        <v>2011</v>
      </c>
      <c r="D293" s="5">
        <v>111.5</v>
      </c>
      <c r="E293" s="5">
        <v>28.92</v>
      </c>
      <c r="F293" s="5">
        <v>2007</v>
      </c>
      <c r="G293" s="29">
        <v>638.4</v>
      </c>
      <c r="H293" s="29">
        <v>583.20000000000005</v>
      </c>
      <c r="I293" s="29">
        <v>23.8</v>
      </c>
      <c r="J293" s="29">
        <v>1.1100000000000001</v>
      </c>
      <c r="K293" s="29">
        <v>17.600000000000001</v>
      </c>
      <c r="L293" s="29">
        <v>44.5</v>
      </c>
      <c r="M293" s="29">
        <v>37.9</v>
      </c>
      <c r="N293" s="29">
        <v>5.2</v>
      </c>
      <c r="O293" s="29">
        <v>19.7</v>
      </c>
      <c r="P293" s="29">
        <v>2.2000000000000002</v>
      </c>
      <c r="Q293" s="29">
        <f t="shared" si="24"/>
        <v>8.9545454545454533</v>
      </c>
      <c r="R293" s="29">
        <v>81.3</v>
      </c>
      <c r="S293" s="79">
        <v>0.13</v>
      </c>
      <c r="U293" s="80">
        <f>(S293-S292)/R293</f>
        <v>1.1070110701107011E-3</v>
      </c>
      <c r="V293" s="80">
        <f t="shared" si="25"/>
        <v>0.11070110701107011</v>
      </c>
    </row>
    <row r="294" spans="1:22" x14ac:dyDescent="0.3">
      <c r="A294" s="5" t="s">
        <v>194</v>
      </c>
      <c r="B294" s="5" t="s">
        <v>195</v>
      </c>
      <c r="C294" s="5">
        <v>2011</v>
      </c>
      <c r="D294" s="5">
        <v>111.5</v>
      </c>
      <c r="E294" s="5">
        <v>28.92</v>
      </c>
      <c r="F294" s="5">
        <v>2007</v>
      </c>
      <c r="G294" s="29">
        <v>638.4</v>
      </c>
      <c r="H294" s="29">
        <v>583.20000000000005</v>
      </c>
      <c r="I294" s="29">
        <v>23.8</v>
      </c>
      <c r="J294" s="29">
        <v>1.1299999999999999</v>
      </c>
      <c r="K294" s="29">
        <v>20.2</v>
      </c>
      <c r="L294" s="29">
        <v>41.9</v>
      </c>
      <c r="M294" s="29">
        <v>37.9</v>
      </c>
      <c r="N294" s="29">
        <v>5.3</v>
      </c>
      <c r="O294" s="29">
        <v>18.3</v>
      </c>
      <c r="P294" s="29">
        <v>2.1</v>
      </c>
      <c r="Q294" s="29">
        <f t="shared" si="24"/>
        <v>8.7142857142857135</v>
      </c>
      <c r="R294" s="29">
        <v>81.3</v>
      </c>
      <c r="S294" s="79">
        <v>0.13</v>
      </c>
      <c r="U294" s="80">
        <f>(S294-0.04)/R294</f>
        <v>1.1070110701107011E-3</v>
      </c>
      <c r="V294" s="80">
        <f t="shared" si="25"/>
        <v>0.11070110701107011</v>
      </c>
    </row>
    <row r="295" spans="1:22" x14ac:dyDescent="0.3">
      <c r="A295" s="5" t="s">
        <v>194</v>
      </c>
      <c r="B295" s="5" t="s">
        <v>195</v>
      </c>
      <c r="C295" s="5">
        <v>2011</v>
      </c>
      <c r="D295" s="5">
        <v>111.5</v>
      </c>
      <c r="E295" s="5">
        <v>28.92</v>
      </c>
      <c r="F295" s="5">
        <v>2007</v>
      </c>
      <c r="G295" s="29">
        <v>638.4</v>
      </c>
      <c r="H295" s="29">
        <v>583.20000000000005</v>
      </c>
      <c r="I295" s="29">
        <v>23.8</v>
      </c>
      <c r="J295" s="29">
        <v>1.3924444300000001</v>
      </c>
      <c r="K295" s="29">
        <v>24.82222222</v>
      </c>
      <c r="L295" s="29">
        <v>40.488888889999998</v>
      </c>
      <c r="M295" s="29">
        <v>34.688888890000001</v>
      </c>
      <c r="N295" s="29">
        <v>5.6</v>
      </c>
      <c r="O295" s="29">
        <v>18.938515081206496</v>
      </c>
      <c r="P295" s="29">
        <v>1.4</v>
      </c>
      <c r="Q295" s="29">
        <f t="shared" si="24"/>
        <v>13.527510772290356</v>
      </c>
      <c r="R295" s="29">
        <v>81.3</v>
      </c>
      <c r="S295" s="79">
        <v>0</v>
      </c>
      <c r="U295" s="80">
        <f>(S295-0.04)/R295</f>
        <v>-4.9200492004920055E-4</v>
      </c>
      <c r="V295" s="80">
        <f t="shared" si="25"/>
        <v>-4.9200492004920056E-2</v>
      </c>
    </row>
    <row r="296" spans="1:22" x14ac:dyDescent="0.3">
      <c r="A296" s="5" t="s">
        <v>194</v>
      </c>
      <c r="B296" s="5" t="s">
        <v>195</v>
      </c>
      <c r="C296" s="5">
        <v>2011</v>
      </c>
      <c r="D296" s="5">
        <v>111.5</v>
      </c>
      <c r="E296" s="5">
        <v>28.92</v>
      </c>
      <c r="F296" s="5">
        <v>2007</v>
      </c>
      <c r="G296" s="29">
        <v>638.4</v>
      </c>
      <c r="H296" s="29">
        <v>583.20000000000005</v>
      </c>
      <c r="I296" s="29">
        <v>23.8</v>
      </c>
      <c r="J296" s="29">
        <v>0.99</v>
      </c>
      <c r="K296" s="29">
        <v>20.8</v>
      </c>
      <c r="L296" s="29">
        <v>39.6</v>
      </c>
      <c r="M296" s="29">
        <v>39.6</v>
      </c>
      <c r="N296" s="29">
        <v>5.0999999999999996</v>
      </c>
      <c r="O296" s="29">
        <v>26</v>
      </c>
      <c r="P296" s="29">
        <v>2.8</v>
      </c>
      <c r="Q296" s="29">
        <f t="shared" si="24"/>
        <v>9.2857142857142865</v>
      </c>
      <c r="R296" s="29">
        <v>79.3</v>
      </c>
      <c r="S296" s="79">
        <v>0.22</v>
      </c>
      <c r="U296" s="80">
        <f>(S296-0.04)/R296</f>
        <v>2.2698612862547289E-3</v>
      </c>
      <c r="V296" s="80">
        <f t="shared" si="25"/>
        <v>0.22698612862547288</v>
      </c>
    </row>
    <row r="297" spans="1:22" x14ac:dyDescent="0.3">
      <c r="A297" s="5" t="s">
        <v>194</v>
      </c>
      <c r="B297" s="5" t="s">
        <v>195</v>
      </c>
      <c r="C297" s="5">
        <v>2011</v>
      </c>
      <c r="D297" s="5">
        <v>111.5</v>
      </c>
      <c r="E297" s="5">
        <v>28.92</v>
      </c>
      <c r="F297" s="5">
        <v>2007</v>
      </c>
      <c r="G297" s="29">
        <v>638.4</v>
      </c>
      <c r="H297" s="29">
        <v>583.20000000000005</v>
      </c>
      <c r="I297" s="29">
        <v>23.8</v>
      </c>
      <c r="J297" s="29">
        <v>0.98</v>
      </c>
      <c r="K297" s="29">
        <v>15.4</v>
      </c>
      <c r="L297" s="29">
        <v>43.9</v>
      </c>
      <c r="M297" s="29">
        <v>40.700000000000003</v>
      </c>
      <c r="N297" s="29">
        <v>5</v>
      </c>
      <c r="O297" s="29">
        <v>23.8</v>
      </c>
      <c r="P297" s="29">
        <v>2.5</v>
      </c>
      <c r="Q297" s="29">
        <f t="shared" si="24"/>
        <v>9.52</v>
      </c>
      <c r="R297" s="29">
        <v>42.1</v>
      </c>
      <c r="S297" s="79">
        <v>0.05</v>
      </c>
      <c r="U297" s="80">
        <f>(S297-0.04)/R297</f>
        <v>2.3752969121140145E-4</v>
      </c>
      <c r="V297" s="80">
        <f t="shared" si="25"/>
        <v>2.3752969121140145E-2</v>
      </c>
    </row>
    <row r="298" spans="1:22" x14ac:dyDescent="0.3">
      <c r="A298" s="5" t="s">
        <v>194</v>
      </c>
      <c r="B298" s="5" t="s">
        <v>195</v>
      </c>
      <c r="C298" s="5">
        <v>2011</v>
      </c>
      <c r="D298" s="5">
        <v>111.5</v>
      </c>
      <c r="E298" s="5">
        <v>28.92</v>
      </c>
      <c r="F298" s="5">
        <v>2008</v>
      </c>
      <c r="G298" s="29">
        <v>643.20000000000005</v>
      </c>
      <c r="H298" s="29">
        <v>572.4</v>
      </c>
      <c r="I298" s="29">
        <v>24.58</v>
      </c>
      <c r="J298" s="29">
        <v>1.3924444300000001</v>
      </c>
      <c r="K298" s="29">
        <v>24.82222222</v>
      </c>
      <c r="L298" s="29">
        <v>40.488888889999998</v>
      </c>
      <c r="M298" s="29">
        <v>34.688888890000001</v>
      </c>
      <c r="N298" s="29">
        <v>5.6</v>
      </c>
      <c r="O298" s="29">
        <v>18.938515081206496</v>
      </c>
      <c r="P298" s="29">
        <v>1.4</v>
      </c>
      <c r="Q298" s="29">
        <f t="shared" si="24"/>
        <v>13.527510772290356</v>
      </c>
      <c r="R298" s="29">
        <v>0</v>
      </c>
      <c r="S298" s="79">
        <v>-0.03</v>
      </c>
      <c r="V298" s="80">
        <f t="shared" si="25"/>
        <v>0</v>
      </c>
    </row>
    <row r="299" spans="1:22" x14ac:dyDescent="0.3">
      <c r="A299" s="5" t="s">
        <v>194</v>
      </c>
      <c r="B299" s="5" t="s">
        <v>195</v>
      </c>
      <c r="C299" s="5">
        <v>2011</v>
      </c>
      <c r="D299" s="5">
        <v>111.5</v>
      </c>
      <c r="E299" s="5">
        <v>28.92</v>
      </c>
      <c r="F299" s="5">
        <v>2008</v>
      </c>
      <c r="G299" s="29">
        <v>643.20000000000005</v>
      </c>
      <c r="H299" s="29">
        <v>572.4</v>
      </c>
      <c r="I299" s="29">
        <v>24.58</v>
      </c>
      <c r="J299" s="29">
        <v>1.1100000000000001</v>
      </c>
      <c r="K299" s="29">
        <v>17.600000000000001</v>
      </c>
      <c r="L299" s="29">
        <v>44.5</v>
      </c>
      <c r="M299" s="29">
        <v>37.9</v>
      </c>
      <c r="N299" s="29">
        <v>5.2</v>
      </c>
      <c r="O299" s="29">
        <v>19.7</v>
      </c>
      <c r="P299" s="29">
        <v>2.2000000000000002</v>
      </c>
      <c r="Q299" s="29">
        <f t="shared" si="24"/>
        <v>8.9545454545454533</v>
      </c>
      <c r="R299" s="29">
        <v>101.7</v>
      </c>
      <c r="S299" s="79">
        <v>0.21</v>
      </c>
      <c r="U299" s="80">
        <f>(S299+0.03)/R299</f>
        <v>2.359882005899705E-3</v>
      </c>
      <c r="V299" s="80">
        <f t="shared" si="25"/>
        <v>0.2359882005899705</v>
      </c>
    </row>
    <row r="300" spans="1:22" x14ac:dyDescent="0.3">
      <c r="A300" s="5" t="s">
        <v>194</v>
      </c>
      <c r="B300" s="5" t="s">
        <v>195</v>
      </c>
      <c r="C300" s="5">
        <v>2011</v>
      </c>
      <c r="D300" s="5">
        <v>111.5</v>
      </c>
      <c r="E300" s="5">
        <v>28.92</v>
      </c>
      <c r="F300" s="5">
        <v>2008</v>
      </c>
      <c r="G300" s="29">
        <v>643.20000000000005</v>
      </c>
      <c r="H300" s="29">
        <v>572.4</v>
      </c>
      <c r="I300" s="29">
        <v>24.58</v>
      </c>
      <c r="J300" s="29">
        <v>1.1299999999999999</v>
      </c>
      <c r="K300" s="29">
        <v>20.2</v>
      </c>
      <c r="L300" s="29">
        <v>41.9</v>
      </c>
      <c r="M300" s="29">
        <v>37.9</v>
      </c>
      <c r="N300" s="29">
        <v>5.3</v>
      </c>
      <c r="O300" s="29">
        <v>18.3</v>
      </c>
      <c r="P300" s="29">
        <v>2.1</v>
      </c>
      <c r="Q300" s="29">
        <f t="shared" si="24"/>
        <v>8.7142857142857135</v>
      </c>
      <c r="R300" s="29">
        <v>101.7</v>
      </c>
      <c r="S300" s="79">
        <v>0.26</v>
      </c>
      <c r="U300" s="80">
        <f>(S300+0.03)/R300</f>
        <v>2.8515240904621437E-3</v>
      </c>
      <c r="V300" s="80">
        <f t="shared" si="25"/>
        <v>0.28515240904621436</v>
      </c>
    </row>
    <row r="301" spans="1:22" x14ac:dyDescent="0.3">
      <c r="A301" s="5" t="s">
        <v>194</v>
      </c>
      <c r="B301" s="5" t="s">
        <v>195</v>
      </c>
      <c r="C301" s="5">
        <v>2011</v>
      </c>
      <c r="D301" s="5">
        <v>111.5</v>
      </c>
      <c r="E301" s="5">
        <v>28.92</v>
      </c>
      <c r="F301" s="5">
        <v>2008</v>
      </c>
      <c r="G301" s="29">
        <v>643.20000000000005</v>
      </c>
      <c r="H301" s="29">
        <v>572.4</v>
      </c>
      <c r="I301" s="29">
        <v>24.58</v>
      </c>
      <c r="J301" s="29">
        <v>1.07</v>
      </c>
      <c r="K301" s="29">
        <v>16.7</v>
      </c>
      <c r="L301" s="29">
        <v>44.1</v>
      </c>
      <c r="M301" s="29">
        <v>39.200000000000003</v>
      </c>
      <c r="N301" s="29">
        <v>5.0999999999999996</v>
      </c>
      <c r="O301" s="29">
        <v>20.2</v>
      </c>
      <c r="P301" s="29">
        <v>2</v>
      </c>
      <c r="Q301" s="29">
        <f t="shared" si="24"/>
        <v>10.1</v>
      </c>
      <c r="R301" s="29">
        <v>101.7</v>
      </c>
      <c r="S301" s="79">
        <v>0.11</v>
      </c>
      <c r="U301" s="80">
        <f>(S301+0.03)/R301</f>
        <v>1.3765978367748281E-3</v>
      </c>
      <c r="V301" s="80">
        <f t="shared" si="25"/>
        <v>0.1376597836774828</v>
      </c>
    </row>
    <row r="302" spans="1:22" x14ac:dyDescent="0.3">
      <c r="A302" s="5" t="s">
        <v>194</v>
      </c>
      <c r="B302" s="5" t="s">
        <v>195</v>
      </c>
      <c r="C302" s="5">
        <v>2011</v>
      </c>
      <c r="D302" s="5">
        <v>111.5</v>
      </c>
      <c r="E302" s="5">
        <v>28.92</v>
      </c>
      <c r="F302" s="5">
        <v>2009</v>
      </c>
      <c r="G302" s="29">
        <v>669.6</v>
      </c>
      <c r="H302" s="29">
        <v>430.8</v>
      </c>
      <c r="I302" s="29">
        <v>23.56</v>
      </c>
      <c r="J302" s="29">
        <v>1.3924444300000001</v>
      </c>
      <c r="K302" s="29">
        <v>24.82222222</v>
      </c>
      <c r="L302" s="29">
        <v>40.488888889999998</v>
      </c>
      <c r="M302" s="29">
        <v>34.688888890000001</v>
      </c>
      <c r="N302" s="29">
        <v>5.6</v>
      </c>
      <c r="O302" s="29">
        <v>18.938515081206496</v>
      </c>
      <c r="P302" s="29">
        <v>1.4</v>
      </c>
      <c r="Q302" s="29">
        <f t="shared" si="24"/>
        <v>13.527510772290356</v>
      </c>
      <c r="R302" s="29">
        <v>0</v>
      </c>
      <c r="S302" s="79">
        <v>-0.06</v>
      </c>
      <c r="V302" s="80">
        <f t="shared" si="25"/>
        <v>0</v>
      </c>
    </row>
    <row r="303" spans="1:22" x14ac:dyDescent="0.3">
      <c r="A303" s="5" t="s">
        <v>194</v>
      </c>
      <c r="B303" s="5" t="s">
        <v>195</v>
      </c>
      <c r="C303" s="5">
        <v>2011</v>
      </c>
      <c r="D303" s="5">
        <v>111.5</v>
      </c>
      <c r="E303" s="5">
        <v>28.92</v>
      </c>
      <c r="F303" s="5">
        <v>2009</v>
      </c>
      <c r="G303" s="29">
        <v>669.6</v>
      </c>
      <c r="H303" s="29">
        <v>430.8</v>
      </c>
      <c r="I303" s="29">
        <v>23.56</v>
      </c>
      <c r="J303" s="29">
        <v>1.1100000000000001</v>
      </c>
      <c r="K303" s="29">
        <v>17.600000000000001</v>
      </c>
      <c r="L303" s="29">
        <v>44.5</v>
      </c>
      <c r="M303" s="29">
        <v>37.9</v>
      </c>
      <c r="N303" s="29">
        <v>5.2</v>
      </c>
      <c r="O303" s="29">
        <v>19.7</v>
      </c>
      <c r="P303" s="29">
        <v>2.2000000000000002</v>
      </c>
      <c r="Q303" s="29">
        <f t="shared" si="24"/>
        <v>8.9545454545454533</v>
      </c>
      <c r="R303" s="29">
        <v>81.3</v>
      </c>
      <c r="S303" s="79">
        <v>0.21</v>
      </c>
      <c r="U303" s="80">
        <f>(S303+0.06)/R303</f>
        <v>3.3210332103321034E-3</v>
      </c>
      <c r="V303" s="80">
        <f t="shared" si="25"/>
        <v>0.33210332103321033</v>
      </c>
    </row>
    <row r="304" spans="1:22" x14ac:dyDescent="0.3">
      <c r="A304" s="5" t="s">
        <v>194</v>
      </c>
      <c r="B304" s="5" t="s">
        <v>195</v>
      </c>
      <c r="C304" s="5">
        <v>2011</v>
      </c>
      <c r="D304" s="5">
        <v>111.5</v>
      </c>
      <c r="E304" s="5">
        <v>28.92</v>
      </c>
      <c r="F304" s="5">
        <v>2009</v>
      </c>
      <c r="G304" s="29">
        <v>669.6</v>
      </c>
      <c r="H304" s="29">
        <v>430.8</v>
      </c>
      <c r="I304" s="29">
        <v>23.56</v>
      </c>
      <c r="J304" s="29">
        <v>1.1299999999999999</v>
      </c>
      <c r="K304" s="29">
        <v>20.2</v>
      </c>
      <c r="L304" s="29">
        <v>41.9</v>
      </c>
      <c r="M304" s="29">
        <v>37.9</v>
      </c>
      <c r="N304" s="29">
        <v>5.3</v>
      </c>
      <c r="O304" s="29">
        <v>18.3</v>
      </c>
      <c r="P304" s="29">
        <v>2.1</v>
      </c>
      <c r="Q304" s="29">
        <f t="shared" si="24"/>
        <v>8.7142857142857135</v>
      </c>
      <c r="R304" s="29">
        <v>81.3</v>
      </c>
      <c r="S304" s="79">
        <v>0.2</v>
      </c>
      <c r="U304" s="80">
        <f>(S304+0.06)/R304</f>
        <v>3.1980319803198032E-3</v>
      </c>
      <c r="V304" s="80">
        <f t="shared" si="25"/>
        <v>0.31980319803198032</v>
      </c>
    </row>
    <row r="305" spans="1:22" x14ac:dyDescent="0.3">
      <c r="A305" s="5" t="s">
        <v>194</v>
      </c>
      <c r="B305" s="5" t="s">
        <v>195</v>
      </c>
      <c r="C305" s="5">
        <v>2011</v>
      </c>
      <c r="D305" s="5">
        <v>111.5</v>
      </c>
      <c r="E305" s="5">
        <v>28.92</v>
      </c>
      <c r="F305" s="5">
        <v>2009</v>
      </c>
      <c r="G305" s="29">
        <v>669.6</v>
      </c>
      <c r="H305" s="29">
        <v>430.8</v>
      </c>
      <c r="I305" s="29">
        <v>23.56</v>
      </c>
      <c r="J305" s="29">
        <v>1.07</v>
      </c>
      <c r="K305" s="29">
        <v>16.7</v>
      </c>
      <c r="L305" s="29">
        <v>44.1</v>
      </c>
      <c r="M305" s="29">
        <v>39.200000000000003</v>
      </c>
      <c r="N305" s="29">
        <v>5.0999999999999996</v>
      </c>
      <c r="O305" s="29">
        <v>20.2</v>
      </c>
      <c r="P305" s="29">
        <v>2</v>
      </c>
      <c r="Q305" s="29">
        <f t="shared" si="24"/>
        <v>10.1</v>
      </c>
      <c r="R305" s="29">
        <v>81.3</v>
      </c>
      <c r="S305" s="79">
        <v>0.13</v>
      </c>
      <c r="U305" s="80">
        <f>(S305+0.06)/R305</f>
        <v>2.3370233702337023E-3</v>
      </c>
      <c r="V305" s="80">
        <f t="shared" si="25"/>
        <v>0.23370233702337023</v>
      </c>
    </row>
    <row r="306" spans="1:22" x14ac:dyDescent="0.3">
      <c r="A306" s="5" t="s">
        <v>194</v>
      </c>
      <c r="B306" s="5" t="s">
        <v>195</v>
      </c>
      <c r="C306" s="5">
        <v>2011</v>
      </c>
      <c r="D306" s="5">
        <v>111.5</v>
      </c>
      <c r="E306" s="5">
        <v>28.92</v>
      </c>
      <c r="F306" s="5">
        <v>2009</v>
      </c>
      <c r="G306" s="29">
        <v>669.6</v>
      </c>
      <c r="H306" s="29">
        <v>430.8</v>
      </c>
      <c r="I306" s="29">
        <v>23.56</v>
      </c>
      <c r="J306" s="29">
        <v>0.99</v>
      </c>
      <c r="K306" s="29">
        <v>20.8</v>
      </c>
      <c r="L306" s="29">
        <v>39.6</v>
      </c>
      <c r="M306" s="29">
        <v>39.6</v>
      </c>
      <c r="N306" s="29">
        <v>5.0999999999999996</v>
      </c>
      <c r="O306" s="29">
        <v>26</v>
      </c>
      <c r="P306" s="29">
        <v>2.8</v>
      </c>
      <c r="Q306" s="29">
        <f t="shared" si="24"/>
        <v>9.2857142857142865</v>
      </c>
      <c r="R306" s="29">
        <v>79.3</v>
      </c>
      <c r="S306" s="79">
        <v>0.3</v>
      </c>
      <c r="U306" s="80">
        <f>(S306+0.06)/R306</f>
        <v>4.5397225725094578E-3</v>
      </c>
      <c r="V306" s="80">
        <f t="shared" si="25"/>
        <v>0.45397225725094575</v>
      </c>
    </row>
    <row r="307" spans="1:22" x14ac:dyDescent="0.3">
      <c r="A307" s="5" t="s">
        <v>194</v>
      </c>
      <c r="B307" s="5" t="s">
        <v>195</v>
      </c>
      <c r="C307" s="5">
        <v>2011</v>
      </c>
      <c r="D307" s="5">
        <v>111.5</v>
      </c>
      <c r="E307" s="5">
        <v>28.92</v>
      </c>
      <c r="F307" s="5">
        <v>2009</v>
      </c>
      <c r="G307" s="29">
        <v>669.6</v>
      </c>
      <c r="H307" s="29">
        <v>430.8</v>
      </c>
      <c r="I307" s="29">
        <v>23.56</v>
      </c>
      <c r="J307" s="29">
        <v>0.98</v>
      </c>
      <c r="K307" s="29">
        <v>15.4</v>
      </c>
      <c r="L307" s="29">
        <v>43.9</v>
      </c>
      <c r="M307" s="29">
        <v>40.700000000000003</v>
      </c>
      <c r="N307" s="29">
        <v>5</v>
      </c>
      <c r="O307" s="29">
        <v>23.8</v>
      </c>
      <c r="P307" s="29">
        <v>2.5</v>
      </c>
      <c r="Q307" s="29">
        <f t="shared" si="24"/>
        <v>9.52</v>
      </c>
      <c r="R307" s="29">
        <v>42.1</v>
      </c>
      <c r="S307" s="79">
        <v>0.27</v>
      </c>
      <c r="U307" s="80">
        <f>(S307+0.06)/R307</f>
        <v>7.8384798099762464E-3</v>
      </c>
      <c r="V307" s="80">
        <f t="shared" si="25"/>
        <v>0.78384798099762465</v>
      </c>
    </row>
    <row r="308" spans="1:22" x14ac:dyDescent="0.3">
      <c r="A308" s="5" t="s">
        <v>194</v>
      </c>
      <c r="B308" s="5" t="s">
        <v>195</v>
      </c>
      <c r="C308" s="5">
        <v>2011</v>
      </c>
      <c r="D308" s="5">
        <v>111.5</v>
      </c>
      <c r="E308" s="5">
        <v>28.92</v>
      </c>
      <c r="F308" s="5">
        <v>2007</v>
      </c>
      <c r="G308" s="29">
        <v>584.4</v>
      </c>
      <c r="H308" s="29">
        <v>556.79999999999995</v>
      </c>
      <c r="I308" s="29">
        <v>24.42</v>
      </c>
      <c r="J308" s="29">
        <v>1.3924444300000001</v>
      </c>
      <c r="K308" s="29">
        <v>24.82222222</v>
      </c>
      <c r="L308" s="29">
        <v>40.488888889999998</v>
      </c>
      <c r="M308" s="29">
        <v>34.688888890000001</v>
      </c>
      <c r="N308" s="29">
        <v>5.6</v>
      </c>
      <c r="O308" s="29">
        <v>18.938515081206496</v>
      </c>
      <c r="P308" s="29">
        <v>1.4</v>
      </c>
      <c r="Q308" s="29">
        <f t="shared" si="24"/>
        <v>13.527510772290356</v>
      </c>
      <c r="R308" s="29">
        <v>0</v>
      </c>
      <c r="S308" s="79">
        <v>0.11</v>
      </c>
      <c r="V308" s="80">
        <f t="shared" si="25"/>
        <v>0</v>
      </c>
    </row>
    <row r="309" spans="1:22" x14ac:dyDescent="0.3">
      <c r="A309" s="5" t="s">
        <v>194</v>
      </c>
      <c r="B309" s="5" t="s">
        <v>195</v>
      </c>
      <c r="C309" s="5">
        <v>2011</v>
      </c>
      <c r="D309" s="5">
        <v>111.5</v>
      </c>
      <c r="E309" s="5">
        <v>28.92</v>
      </c>
      <c r="F309" s="5">
        <v>2007</v>
      </c>
      <c r="G309" s="29">
        <v>584.4</v>
      </c>
      <c r="H309" s="29">
        <v>556.79999999999995</v>
      </c>
      <c r="I309" s="29">
        <v>24.42</v>
      </c>
      <c r="J309" s="29">
        <v>1.1100000000000001</v>
      </c>
      <c r="K309" s="29">
        <v>17.600000000000001</v>
      </c>
      <c r="L309" s="29">
        <v>44.5</v>
      </c>
      <c r="M309" s="29">
        <v>37.9</v>
      </c>
      <c r="N309" s="29">
        <v>5.2</v>
      </c>
      <c r="O309" s="29">
        <v>19.7</v>
      </c>
      <c r="P309" s="29">
        <v>2.2000000000000002</v>
      </c>
      <c r="Q309" s="29">
        <f t="shared" si="24"/>
        <v>8.9545454545454533</v>
      </c>
      <c r="R309" s="29">
        <v>101.7</v>
      </c>
      <c r="S309" s="79">
        <v>0.31</v>
      </c>
      <c r="U309" s="80">
        <f>(S309-0.11)/R309</f>
        <v>1.9665683382497543E-3</v>
      </c>
      <c r="V309" s="80">
        <f t="shared" si="25"/>
        <v>0.19665683382497542</v>
      </c>
    </row>
    <row r="310" spans="1:22" x14ac:dyDescent="0.3">
      <c r="A310" s="5" t="s">
        <v>194</v>
      </c>
      <c r="B310" s="5" t="s">
        <v>195</v>
      </c>
      <c r="C310" s="5">
        <v>2011</v>
      </c>
      <c r="D310" s="5">
        <v>111.5</v>
      </c>
      <c r="E310" s="5">
        <v>28.92</v>
      </c>
      <c r="F310" s="5">
        <v>2007</v>
      </c>
      <c r="G310" s="29">
        <v>584.4</v>
      </c>
      <c r="H310" s="29">
        <v>556.79999999999995</v>
      </c>
      <c r="I310" s="29">
        <v>24.42</v>
      </c>
      <c r="J310" s="29">
        <v>1.1299999999999999</v>
      </c>
      <c r="K310" s="29">
        <v>20.2</v>
      </c>
      <c r="L310" s="29">
        <v>41.9</v>
      </c>
      <c r="M310" s="29">
        <v>37.9</v>
      </c>
      <c r="N310" s="29">
        <v>5.3</v>
      </c>
      <c r="O310" s="29">
        <v>18.3</v>
      </c>
      <c r="P310" s="29">
        <v>2.1</v>
      </c>
      <c r="Q310" s="29">
        <f t="shared" si="24"/>
        <v>8.7142857142857135</v>
      </c>
      <c r="R310" s="29">
        <v>101.7</v>
      </c>
      <c r="S310" s="79">
        <v>0.34</v>
      </c>
      <c r="U310" s="80">
        <f>(S310-0.11)/R310</f>
        <v>2.2615535889872174E-3</v>
      </c>
      <c r="V310" s="80">
        <f t="shared" si="25"/>
        <v>0.22615535889872174</v>
      </c>
    </row>
    <row r="311" spans="1:22" x14ac:dyDescent="0.3">
      <c r="A311" s="5" t="s">
        <v>194</v>
      </c>
      <c r="B311" s="5" t="s">
        <v>195</v>
      </c>
      <c r="C311" s="5">
        <v>2011</v>
      </c>
      <c r="D311" s="5">
        <v>111.5</v>
      </c>
      <c r="E311" s="5">
        <v>28.92</v>
      </c>
      <c r="F311" s="5">
        <v>2007</v>
      </c>
      <c r="G311" s="29">
        <v>584.4</v>
      </c>
      <c r="H311" s="29">
        <v>556.79999999999995</v>
      </c>
      <c r="I311" s="29">
        <v>24.42</v>
      </c>
      <c r="J311" s="29">
        <v>1.3924444300000001</v>
      </c>
      <c r="K311" s="29">
        <v>24.82222222</v>
      </c>
      <c r="L311" s="29">
        <v>40.488888889999998</v>
      </c>
      <c r="M311" s="29">
        <v>34.688888890000001</v>
      </c>
      <c r="N311" s="29">
        <v>5.6</v>
      </c>
      <c r="O311" s="29">
        <v>18.938515081206496</v>
      </c>
      <c r="P311" s="29">
        <v>1.4</v>
      </c>
      <c r="Q311" s="29">
        <f t="shared" si="24"/>
        <v>13.527510772290356</v>
      </c>
      <c r="R311" s="29">
        <v>101.7</v>
      </c>
      <c r="S311" s="79">
        <v>0.04</v>
      </c>
      <c r="U311" s="80">
        <f>(S311-0.11)/R311</f>
        <v>-6.8829891838741403E-4</v>
      </c>
      <c r="V311" s="80">
        <f t="shared" si="25"/>
        <v>-6.88298918387414E-2</v>
      </c>
    </row>
    <row r="312" spans="1:22" x14ac:dyDescent="0.3">
      <c r="A312" s="5" t="s">
        <v>194</v>
      </c>
      <c r="B312" s="5" t="s">
        <v>195</v>
      </c>
      <c r="C312" s="5">
        <v>2011</v>
      </c>
      <c r="D312" s="5">
        <v>111.5</v>
      </c>
      <c r="E312" s="5">
        <v>28.92</v>
      </c>
      <c r="F312" s="5">
        <v>2008</v>
      </c>
      <c r="G312" s="29">
        <v>579.6</v>
      </c>
      <c r="H312" s="29">
        <v>552</v>
      </c>
      <c r="I312" s="29">
        <v>23.84</v>
      </c>
      <c r="J312" s="29">
        <v>1.3924444300000001</v>
      </c>
      <c r="K312" s="29">
        <v>24.82222222</v>
      </c>
      <c r="L312" s="29">
        <v>40.488888889999998</v>
      </c>
      <c r="M312" s="29">
        <v>34.688888890000001</v>
      </c>
      <c r="N312" s="29">
        <v>5.6</v>
      </c>
      <c r="O312" s="29">
        <v>18.938515081206496</v>
      </c>
      <c r="P312" s="29">
        <v>1.4</v>
      </c>
      <c r="Q312" s="29">
        <f t="shared" si="24"/>
        <v>13.527510772290356</v>
      </c>
      <c r="R312" s="29">
        <v>0</v>
      </c>
      <c r="S312" s="79">
        <v>0.14000000000000001</v>
      </c>
      <c r="V312" s="80">
        <f t="shared" si="25"/>
        <v>0</v>
      </c>
    </row>
    <row r="313" spans="1:22" x14ac:dyDescent="0.3">
      <c r="A313" s="5" t="s">
        <v>194</v>
      </c>
      <c r="B313" s="5" t="s">
        <v>195</v>
      </c>
      <c r="C313" s="5">
        <v>2011</v>
      </c>
      <c r="D313" s="5">
        <v>111.5</v>
      </c>
      <c r="E313" s="5">
        <v>28.92</v>
      </c>
      <c r="F313" s="5">
        <v>2008</v>
      </c>
      <c r="G313" s="29">
        <v>579.6</v>
      </c>
      <c r="H313" s="29">
        <v>552</v>
      </c>
      <c r="I313" s="29">
        <v>23.84</v>
      </c>
      <c r="J313" s="29">
        <v>1.1100000000000001</v>
      </c>
      <c r="K313" s="29">
        <v>17.600000000000001</v>
      </c>
      <c r="L313" s="29">
        <v>44.5</v>
      </c>
      <c r="M313" s="29">
        <v>37.9</v>
      </c>
      <c r="N313" s="29">
        <v>5.2</v>
      </c>
      <c r="O313" s="29">
        <v>19.7</v>
      </c>
      <c r="P313" s="29">
        <v>2.2000000000000002</v>
      </c>
      <c r="Q313" s="29">
        <f t="shared" si="24"/>
        <v>8.9545454545454533</v>
      </c>
      <c r="R313" s="29">
        <v>81.3</v>
      </c>
      <c r="S313" s="79">
        <v>0.21</v>
      </c>
      <c r="U313" s="80">
        <f>(S313-0.14)/R313</f>
        <v>8.6100861008610058E-4</v>
      </c>
      <c r="V313" s="80">
        <f t="shared" si="25"/>
        <v>8.6100861008610058E-2</v>
      </c>
    </row>
    <row r="314" spans="1:22" x14ac:dyDescent="0.3">
      <c r="A314" s="5" t="s">
        <v>194</v>
      </c>
      <c r="B314" s="5" t="s">
        <v>195</v>
      </c>
      <c r="C314" s="5">
        <v>2011</v>
      </c>
      <c r="D314" s="5">
        <v>111.5</v>
      </c>
      <c r="E314" s="5">
        <v>28.92</v>
      </c>
      <c r="F314" s="5">
        <v>2008</v>
      </c>
      <c r="G314" s="29">
        <v>579.6</v>
      </c>
      <c r="H314" s="29">
        <v>552</v>
      </c>
      <c r="I314" s="29">
        <v>23.84</v>
      </c>
      <c r="J314" s="29">
        <v>1.1299999999999999</v>
      </c>
      <c r="K314" s="29">
        <v>20.2</v>
      </c>
      <c r="L314" s="29">
        <v>41.9</v>
      </c>
      <c r="M314" s="29">
        <v>37.9</v>
      </c>
      <c r="N314" s="29">
        <v>5.3</v>
      </c>
      <c r="O314" s="29">
        <v>18.3</v>
      </c>
      <c r="P314" s="29">
        <v>2.1</v>
      </c>
      <c r="Q314" s="29">
        <f t="shared" si="24"/>
        <v>8.7142857142857135</v>
      </c>
      <c r="R314" s="29">
        <v>81.3</v>
      </c>
      <c r="S314" s="79">
        <v>0.21</v>
      </c>
      <c r="U314" s="80">
        <f>(S314-0.14)/R314</f>
        <v>8.6100861008610058E-4</v>
      </c>
      <c r="V314" s="80">
        <f t="shared" si="25"/>
        <v>8.6100861008610058E-2</v>
      </c>
    </row>
    <row r="315" spans="1:22" x14ac:dyDescent="0.3">
      <c r="A315" s="5" t="s">
        <v>194</v>
      </c>
      <c r="B315" s="5" t="s">
        <v>195</v>
      </c>
      <c r="C315" s="5">
        <v>2011</v>
      </c>
      <c r="D315" s="5">
        <v>111.5</v>
      </c>
      <c r="E315" s="5">
        <v>28.92</v>
      </c>
      <c r="F315" s="5">
        <v>2008</v>
      </c>
      <c r="G315" s="29">
        <v>579.6</v>
      </c>
      <c r="H315" s="29">
        <v>552</v>
      </c>
      <c r="I315" s="29">
        <v>23.84</v>
      </c>
      <c r="J315" s="29">
        <v>1.07</v>
      </c>
      <c r="K315" s="29">
        <v>16.7</v>
      </c>
      <c r="L315" s="29">
        <v>44.1</v>
      </c>
      <c r="M315" s="29">
        <v>39.200000000000003</v>
      </c>
      <c r="N315" s="29">
        <v>5.0999999999999996</v>
      </c>
      <c r="O315" s="29">
        <v>20.2</v>
      </c>
      <c r="P315" s="29">
        <v>2</v>
      </c>
      <c r="Q315" s="29">
        <f t="shared" si="24"/>
        <v>10.1</v>
      </c>
      <c r="R315" s="29">
        <v>81.3</v>
      </c>
      <c r="S315" s="79">
        <v>0.21</v>
      </c>
      <c r="U315" s="80">
        <f>(S315-0.14)/R315</f>
        <v>8.6100861008610058E-4</v>
      </c>
      <c r="V315" s="80">
        <f t="shared" si="25"/>
        <v>8.6100861008610058E-2</v>
      </c>
    </row>
    <row r="316" spans="1:22" x14ac:dyDescent="0.3">
      <c r="A316" s="5" t="s">
        <v>194</v>
      </c>
      <c r="B316" s="5" t="s">
        <v>195</v>
      </c>
      <c r="C316" s="5">
        <v>2011</v>
      </c>
      <c r="D316" s="5">
        <v>111.5</v>
      </c>
      <c r="E316" s="5">
        <v>28.92</v>
      </c>
      <c r="F316" s="5">
        <v>2008</v>
      </c>
      <c r="G316" s="29">
        <v>579.6</v>
      </c>
      <c r="H316" s="29">
        <v>552</v>
      </c>
      <c r="I316" s="29">
        <v>23.84</v>
      </c>
      <c r="J316" s="29">
        <v>1.3924444300000001</v>
      </c>
      <c r="K316" s="29">
        <v>24.82222222</v>
      </c>
      <c r="L316" s="29">
        <v>40.488888889999998</v>
      </c>
      <c r="M316" s="29">
        <v>34.688888890000001</v>
      </c>
      <c r="N316" s="29">
        <v>5.6</v>
      </c>
      <c r="O316" s="29">
        <v>18.938515081206496</v>
      </c>
      <c r="P316" s="29">
        <v>1.4</v>
      </c>
      <c r="Q316" s="29">
        <f t="shared" si="24"/>
        <v>13.527510772290356</v>
      </c>
      <c r="R316" s="29">
        <v>79.3</v>
      </c>
      <c r="S316" s="79">
        <v>0.1</v>
      </c>
      <c r="U316" s="80">
        <f>(S316-0.14)/R316</f>
        <v>-5.0441361916771764E-4</v>
      </c>
      <c r="V316" s="80">
        <f t="shared" si="25"/>
        <v>-5.0441361916771767E-2</v>
      </c>
    </row>
    <row r="317" spans="1:22" x14ac:dyDescent="0.3">
      <c r="A317" s="5" t="s">
        <v>194</v>
      </c>
      <c r="B317" s="5" t="s">
        <v>195</v>
      </c>
      <c r="C317" s="5">
        <v>2011</v>
      </c>
      <c r="D317" s="5">
        <v>111.5</v>
      </c>
      <c r="E317" s="5">
        <v>28.92</v>
      </c>
      <c r="F317" s="5">
        <v>2008</v>
      </c>
      <c r="G317" s="29">
        <v>579.6</v>
      </c>
      <c r="H317" s="29">
        <v>552</v>
      </c>
      <c r="I317" s="29">
        <v>23.84</v>
      </c>
      <c r="J317" s="29">
        <v>0.98</v>
      </c>
      <c r="K317" s="29">
        <v>15.4</v>
      </c>
      <c r="L317" s="29">
        <v>43.9</v>
      </c>
      <c r="M317" s="29">
        <v>40.700000000000003</v>
      </c>
      <c r="N317" s="29">
        <v>5</v>
      </c>
      <c r="O317" s="29">
        <v>23.8</v>
      </c>
      <c r="P317" s="29">
        <v>2.5</v>
      </c>
      <c r="Q317" s="29">
        <f t="shared" si="24"/>
        <v>9.52</v>
      </c>
      <c r="R317" s="29">
        <v>42.1</v>
      </c>
      <c r="S317" s="79">
        <v>0.25</v>
      </c>
      <c r="U317" s="80">
        <f>(S317-0.14)/R317</f>
        <v>2.6128266033254152E-3</v>
      </c>
      <c r="V317" s="80">
        <f t="shared" si="25"/>
        <v>0.26128266033254149</v>
      </c>
    </row>
    <row r="318" spans="1:22" x14ac:dyDescent="0.3">
      <c r="A318" s="5" t="s">
        <v>194</v>
      </c>
      <c r="B318" s="5" t="s">
        <v>195</v>
      </c>
      <c r="C318" s="5">
        <v>2011</v>
      </c>
      <c r="D318" s="5">
        <v>111.5</v>
      </c>
      <c r="E318" s="5">
        <v>28.92</v>
      </c>
      <c r="F318" s="5">
        <v>2009</v>
      </c>
      <c r="G318" s="29">
        <v>262.8</v>
      </c>
      <c r="H318" s="29">
        <v>510</v>
      </c>
      <c r="I318" s="29">
        <v>25.59</v>
      </c>
      <c r="J318" s="29">
        <v>1.3924444300000001</v>
      </c>
      <c r="K318" s="29">
        <v>24.82222222</v>
      </c>
      <c r="L318" s="29">
        <v>40.488888889999998</v>
      </c>
      <c r="M318" s="29">
        <v>34.688888890000001</v>
      </c>
      <c r="N318" s="29">
        <v>5.6</v>
      </c>
      <c r="O318" s="29">
        <v>18.938515081206496</v>
      </c>
      <c r="P318" s="29">
        <v>1.4</v>
      </c>
      <c r="Q318" s="29">
        <f t="shared" si="24"/>
        <v>13.527510772290356</v>
      </c>
      <c r="R318" s="29">
        <v>0</v>
      </c>
      <c r="S318" s="79">
        <v>0.09</v>
      </c>
      <c r="V318" s="80">
        <f t="shared" si="25"/>
        <v>0</v>
      </c>
    </row>
    <row r="319" spans="1:22" x14ac:dyDescent="0.3">
      <c r="A319" s="5" t="s">
        <v>194</v>
      </c>
      <c r="B319" s="5" t="s">
        <v>195</v>
      </c>
      <c r="C319" s="5">
        <v>2011</v>
      </c>
      <c r="D319" s="5">
        <v>111.5</v>
      </c>
      <c r="E319" s="5">
        <v>28.92</v>
      </c>
      <c r="F319" s="5">
        <v>2009</v>
      </c>
      <c r="G319" s="29">
        <v>262.8</v>
      </c>
      <c r="H319" s="29">
        <v>510</v>
      </c>
      <c r="I319" s="29">
        <v>25.59</v>
      </c>
      <c r="J319" s="29">
        <v>1.1100000000000001</v>
      </c>
      <c r="K319" s="29">
        <v>17.600000000000001</v>
      </c>
      <c r="L319" s="29">
        <v>44.5</v>
      </c>
      <c r="M319" s="29">
        <v>37.9</v>
      </c>
      <c r="N319" s="29">
        <v>5.2</v>
      </c>
      <c r="O319" s="29">
        <v>19.7</v>
      </c>
      <c r="P319" s="29">
        <v>2.2000000000000002</v>
      </c>
      <c r="Q319" s="29">
        <f t="shared" si="24"/>
        <v>8.9545454545454533</v>
      </c>
      <c r="R319" s="29">
        <v>101.7</v>
      </c>
      <c r="S319" s="79">
        <v>0.38</v>
      </c>
      <c r="U319" s="80">
        <f>(S319-0.09)/R319</f>
        <v>2.8515240904621437E-3</v>
      </c>
      <c r="V319" s="80">
        <f t="shared" si="25"/>
        <v>0.28515240904621436</v>
      </c>
    </row>
    <row r="320" spans="1:22" x14ac:dyDescent="0.3">
      <c r="A320" s="5" t="s">
        <v>194</v>
      </c>
      <c r="B320" s="5" t="s">
        <v>195</v>
      </c>
      <c r="C320" s="5">
        <v>2011</v>
      </c>
      <c r="D320" s="5">
        <v>111.5</v>
      </c>
      <c r="E320" s="5">
        <v>28.92</v>
      </c>
      <c r="F320" s="5">
        <v>2009</v>
      </c>
      <c r="G320" s="29">
        <v>262.8</v>
      </c>
      <c r="H320" s="29">
        <v>510</v>
      </c>
      <c r="I320" s="29">
        <v>25.59</v>
      </c>
      <c r="J320" s="29">
        <v>1.1299999999999999</v>
      </c>
      <c r="K320" s="29">
        <v>20.2</v>
      </c>
      <c r="L320" s="29">
        <v>41.9</v>
      </c>
      <c r="M320" s="29">
        <v>37.9</v>
      </c>
      <c r="N320" s="29">
        <v>5.3</v>
      </c>
      <c r="O320" s="29">
        <v>18.3</v>
      </c>
      <c r="P320" s="29">
        <v>2.1</v>
      </c>
      <c r="Q320" s="29">
        <f t="shared" si="24"/>
        <v>8.7142857142857135</v>
      </c>
      <c r="R320" s="29">
        <v>101.7</v>
      </c>
      <c r="S320" s="79">
        <v>0.31</v>
      </c>
      <c r="U320" s="80">
        <f>(S320-0.09)/R320</f>
        <v>2.1632251720747294E-3</v>
      </c>
      <c r="V320" s="80">
        <f t="shared" si="25"/>
        <v>0.21632251720747295</v>
      </c>
    </row>
    <row r="321" spans="1:22" x14ac:dyDescent="0.3">
      <c r="A321" s="81" t="s">
        <v>194</v>
      </c>
      <c r="B321" s="81" t="s">
        <v>195</v>
      </c>
      <c r="C321" s="81">
        <v>2011</v>
      </c>
      <c r="D321" s="81">
        <v>111.5</v>
      </c>
      <c r="E321" s="81">
        <v>28.92</v>
      </c>
      <c r="F321" s="81">
        <v>2009</v>
      </c>
      <c r="G321" s="34">
        <v>262.8</v>
      </c>
      <c r="H321" s="34">
        <v>510</v>
      </c>
      <c r="I321" s="34">
        <v>25.59</v>
      </c>
      <c r="J321" s="29">
        <v>1.07</v>
      </c>
      <c r="K321" s="29">
        <v>16.7</v>
      </c>
      <c r="L321" s="29">
        <v>44.1</v>
      </c>
      <c r="M321" s="29">
        <v>39.200000000000003</v>
      </c>
      <c r="N321" s="29">
        <v>5.0999999999999996</v>
      </c>
      <c r="O321" s="29">
        <v>20.2</v>
      </c>
      <c r="P321" s="29">
        <v>2</v>
      </c>
      <c r="Q321" s="29">
        <f t="shared" si="24"/>
        <v>10.1</v>
      </c>
      <c r="R321" s="34">
        <v>101.7</v>
      </c>
      <c r="S321" s="82">
        <v>0.3</v>
      </c>
      <c r="T321" s="34"/>
      <c r="U321" s="83">
        <f>(S321-0.09)/R321</f>
        <v>2.0648967551622419E-3</v>
      </c>
      <c r="V321" s="83">
        <f t="shared" si="25"/>
        <v>0.20648967551622419</v>
      </c>
    </row>
    <row r="322" spans="1:22" x14ac:dyDescent="0.3">
      <c r="A322" s="5" t="s">
        <v>294</v>
      </c>
      <c r="B322" s="5" t="s">
        <v>295</v>
      </c>
      <c r="C322" s="5">
        <v>2011</v>
      </c>
      <c r="D322" s="5">
        <v>113.2</v>
      </c>
      <c r="E322" s="5">
        <v>28.13</v>
      </c>
      <c r="F322" s="5">
        <v>2008</v>
      </c>
      <c r="G322" s="29">
        <v>735</v>
      </c>
      <c r="H322" s="29">
        <v>852</v>
      </c>
      <c r="I322" s="29">
        <v>25.97</v>
      </c>
      <c r="J322" s="29">
        <v>1.3709999900000001</v>
      </c>
      <c r="K322" s="29">
        <v>29.05</v>
      </c>
      <c r="L322" s="29">
        <v>37.4</v>
      </c>
      <c r="M322" s="29">
        <v>33.549999999999997</v>
      </c>
      <c r="N322" s="29">
        <v>5.88</v>
      </c>
      <c r="O322" s="29">
        <v>21.867749419953597</v>
      </c>
      <c r="P322" s="29">
        <v>1.92</v>
      </c>
      <c r="Q322" s="29">
        <f t="shared" si="24"/>
        <v>11.389452822892499</v>
      </c>
      <c r="R322" s="29">
        <v>0</v>
      </c>
      <c r="S322" s="79">
        <v>0.26727272727272727</v>
      </c>
      <c r="T322" s="44">
        <f>AVERAGE(S322,S327)</f>
        <v>0.20045454545454544</v>
      </c>
      <c r="V322" s="80">
        <f t="shared" si="25"/>
        <v>0</v>
      </c>
    </row>
    <row r="323" spans="1:22" x14ac:dyDescent="0.3">
      <c r="A323" s="5" t="s">
        <v>296</v>
      </c>
      <c r="B323" s="5" t="s">
        <v>295</v>
      </c>
      <c r="C323" s="5">
        <v>2011</v>
      </c>
      <c r="D323" s="5">
        <v>113.2</v>
      </c>
      <c r="E323" s="5">
        <v>28.13</v>
      </c>
      <c r="F323" s="5">
        <v>2008</v>
      </c>
      <c r="G323" s="29">
        <v>735</v>
      </c>
      <c r="H323" s="29">
        <v>852</v>
      </c>
      <c r="I323" s="29">
        <v>25.97</v>
      </c>
      <c r="J323" s="29">
        <v>1.25</v>
      </c>
      <c r="K323" s="29">
        <v>44</v>
      </c>
      <c r="L323" s="29">
        <v>36</v>
      </c>
      <c r="M323" s="29">
        <v>20</v>
      </c>
      <c r="N323" s="29">
        <v>5.88</v>
      </c>
      <c r="O323" s="29">
        <v>21.867749419953597</v>
      </c>
      <c r="P323" s="29">
        <v>1.92</v>
      </c>
      <c r="Q323" s="29">
        <f t="shared" si="24"/>
        <v>11.389452822892499</v>
      </c>
      <c r="R323" s="29">
        <v>150</v>
      </c>
      <c r="S323" s="79">
        <v>0.57272727272727275</v>
      </c>
      <c r="U323" s="80">
        <f>(S323-0.267273)/R323</f>
        <v>2.0363618181818183E-3</v>
      </c>
      <c r="V323" s="80">
        <f t="shared" si="25"/>
        <v>0.20363618181818183</v>
      </c>
    </row>
    <row r="324" spans="1:22" x14ac:dyDescent="0.3">
      <c r="A324" s="5" t="s">
        <v>296</v>
      </c>
      <c r="B324" s="5" t="s">
        <v>295</v>
      </c>
      <c r="C324" s="5">
        <v>2011</v>
      </c>
      <c r="D324" s="5">
        <v>113.2</v>
      </c>
      <c r="E324" s="5">
        <v>28.13</v>
      </c>
      <c r="F324" s="5">
        <v>2008</v>
      </c>
      <c r="G324" s="29">
        <v>735</v>
      </c>
      <c r="H324" s="29">
        <v>852</v>
      </c>
      <c r="I324" s="29">
        <v>25.97</v>
      </c>
      <c r="J324" s="29">
        <v>1.25</v>
      </c>
      <c r="K324" s="29">
        <v>44</v>
      </c>
      <c r="L324" s="29">
        <v>36</v>
      </c>
      <c r="M324" s="29">
        <v>20</v>
      </c>
      <c r="N324" s="29">
        <v>5.88</v>
      </c>
      <c r="O324" s="29">
        <v>21.867749419953597</v>
      </c>
      <c r="P324" s="29">
        <v>1.92</v>
      </c>
      <c r="Q324" s="29">
        <f t="shared" si="24"/>
        <v>11.389452822892499</v>
      </c>
      <c r="R324" s="29">
        <v>105</v>
      </c>
      <c r="S324" s="79">
        <v>0.34363636363636368</v>
      </c>
      <c r="U324" s="80">
        <f>(S324-0.267273)/R324</f>
        <v>7.2727012987013051E-4</v>
      </c>
      <c r="V324" s="80">
        <f t="shared" si="25"/>
        <v>7.2727012987013048E-2</v>
      </c>
    </row>
    <row r="325" spans="1:22" x14ac:dyDescent="0.3">
      <c r="A325" s="5" t="s">
        <v>296</v>
      </c>
      <c r="B325" s="5" t="s">
        <v>295</v>
      </c>
      <c r="C325" s="5">
        <v>2011</v>
      </c>
      <c r="D325" s="5">
        <v>113.2</v>
      </c>
      <c r="E325" s="5">
        <v>28.13</v>
      </c>
      <c r="F325" s="5">
        <v>2008</v>
      </c>
      <c r="G325" s="29">
        <v>735</v>
      </c>
      <c r="H325" s="29">
        <v>852</v>
      </c>
      <c r="I325" s="29">
        <v>25.97</v>
      </c>
      <c r="J325" s="29">
        <v>1.25</v>
      </c>
      <c r="K325" s="29">
        <v>44</v>
      </c>
      <c r="L325" s="29">
        <v>36</v>
      </c>
      <c r="M325" s="29">
        <v>20</v>
      </c>
      <c r="N325" s="29">
        <v>5.88</v>
      </c>
      <c r="O325" s="29">
        <v>21.867749419953597</v>
      </c>
      <c r="P325" s="29">
        <v>1.92</v>
      </c>
      <c r="Q325" s="29">
        <f t="shared" si="24"/>
        <v>11.389452822892499</v>
      </c>
      <c r="R325" s="29">
        <v>52.5</v>
      </c>
      <c r="S325" s="79">
        <v>0.53454545454545455</v>
      </c>
      <c r="U325" s="80">
        <f>(S325-0.267273)/R325</f>
        <v>5.0909038961038967E-3</v>
      </c>
      <c r="V325" s="80">
        <f t="shared" si="25"/>
        <v>0.50909038961038966</v>
      </c>
    </row>
    <row r="326" spans="1:22" x14ac:dyDescent="0.3">
      <c r="A326" s="5" t="s">
        <v>296</v>
      </c>
      <c r="B326" s="5" t="s">
        <v>295</v>
      </c>
      <c r="C326" s="5">
        <v>2011</v>
      </c>
      <c r="D326" s="5">
        <v>113.2</v>
      </c>
      <c r="E326" s="5">
        <v>28.13</v>
      </c>
      <c r="F326" s="5">
        <v>2008</v>
      </c>
      <c r="G326" s="29">
        <v>735</v>
      </c>
      <c r="H326" s="29">
        <v>852</v>
      </c>
      <c r="I326" s="29">
        <v>25.97</v>
      </c>
      <c r="J326" s="29">
        <v>1.25</v>
      </c>
      <c r="K326" s="29">
        <v>44</v>
      </c>
      <c r="L326" s="29">
        <v>36</v>
      </c>
      <c r="M326" s="29">
        <v>20</v>
      </c>
      <c r="N326" s="29">
        <v>5.88</v>
      </c>
      <c r="O326" s="29">
        <v>21.867749419953597</v>
      </c>
      <c r="P326" s="29">
        <v>1.92</v>
      </c>
      <c r="Q326" s="29">
        <f t="shared" si="24"/>
        <v>11.389452822892499</v>
      </c>
      <c r="R326" s="29">
        <v>178</v>
      </c>
      <c r="S326" s="79">
        <v>0.53454545454545455</v>
      </c>
      <c r="U326" s="80">
        <f>(S326-0.267273)/R326</f>
        <v>1.5015306435137896E-3</v>
      </c>
      <c r="V326" s="80">
        <f t="shared" si="25"/>
        <v>0.15015306435137896</v>
      </c>
    </row>
    <row r="327" spans="1:22" x14ac:dyDescent="0.3">
      <c r="A327" s="5" t="s">
        <v>296</v>
      </c>
      <c r="B327" s="5" t="s">
        <v>295</v>
      </c>
      <c r="C327" s="5">
        <v>2011</v>
      </c>
      <c r="D327" s="5">
        <v>113.2</v>
      </c>
      <c r="E327" s="5">
        <v>28.13</v>
      </c>
      <c r="F327" s="5">
        <v>2008</v>
      </c>
      <c r="G327" s="29">
        <v>735</v>
      </c>
      <c r="H327" s="29">
        <v>852</v>
      </c>
      <c r="I327" s="29">
        <v>25.97</v>
      </c>
      <c r="J327" s="29">
        <v>1.3709999900000001</v>
      </c>
      <c r="K327" s="29">
        <v>29.05</v>
      </c>
      <c r="L327" s="29">
        <v>37.4</v>
      </c>
      <c r="M327" s="29">
        <v>33.549999999999997</v>
      </c>
      <c r="N327" s="29">
        <v>5.88</v>
      </c>
      <c r="O327" s="29">
        <v>21.867749419953597</v>
      </c>
      <c r="P327" s="29">
        <v>1.92</v>
      </c>
      <c r="Q327" s="29">
        <f t="shared" si="24"/>
        <v>11.389452822892499</v>
      </c>
      <c r="R327" s="29">
        <v>0</v>
      </c>
      <c r="S327" s="79">
        <v>0.13363636363636364</v>
      </c>
      <c r="V327" s="80">
        <f t="shared" si="25"/>
        <v>0</v>
      </c>
    </row>
    <row r="328" spans="1:22" x14ac:dyDescent="0.3">
      <c r="A328" s="5" t="s">
        <v>296</v>
      </c>
      <c r="B328" s="5" t="s">
        <v>295</v>
      </c>
      <c r="C328" s="5">
        <v>2011</v>
      </c>
      <c r="D328" s="5">
        <v>113.2</v>
      </c>
      <c r="E328" s="5">
        <v>28.13</v>
      </c>
      <c r="F328" s="5">
        <v>2008</v>
      </c>
      <c r="G328" s="29">
        <v>735</v>
      </c>
      <c r="H328" s="29">
        <v>852</v>
      </c>
      <c r="I328" s="29">
        <v>25.97</v>
      </c>
      <c r="J328" s="29">
        <v>1.25</v>
      </c>
      <c r="K328" s="29">
        <v>44</v>
      </c>
      <c r="L328" s="29">
        <v>36</v>
      </c>
      <c r="M328" s="29">
        <v>20</v>
      </c>
      <c r="N328" s="29">
        <v>5.88</v>
      </c>
      <c r="O328" s="29">
        <v>21.867749419953597</v>
      </c>
      <c r="P328" s="29">
        <v>1.92</v>
      </c>
      <c r="Q328" s="29">
        <f t="shared" si="24"/>
        <v>11.389452822892499</v>
      </c>
      <c r="R328" s="29">
        <v>180</v>
      </c>
      <c r="S328" s="79">
        <v>0.26727272727272727</v>
      </c>
      <c r="U328" s="80">
        <f>(S328-0.133636)/R328</f>
        <v>7.4242626262626256E-4</v>
      </c>
      <c r="V328" s="80">
        <f t="shared" si="25"/>
        <v>7.424262626262626E-2</v>
      </c>
    </row>
    <row r="329" spans="1:22" x14ac:dyDescent="0.3">
      <c r="A329" s="5" t="s">
        <v>296</v>
      </c>
      <c r="B329" s="5" t="s">
        <v>295</v>
      </c>
      <c r="C329" s="5">
        <v>2011</v>
      </c>
      <c r="D329" s="5">
        <v>113.2</v>
      </c>
      <c r="E329" s="5">
        <v>28.13</v>
      </c>
      <c r="F329" s="5">
        <v>2008</v>
      </c>
      <c r="G329" s="29">
        <v>735</v>
      </c>
      <c r="H329" s="29">
        <v>852</v>
      </c>
      <c r="I329" s="29">
        <v>25.97</v>
      </c>
      <c r="J329" s="29">
        <v>1.25</v>
      </c>
      <c r="K329" s="29">
        <v>44</v>
      </c>
      <c r="L329" s="29">
        <v>36</v>
      </c>
      <c r="M329" s="29">
        <v>20</v>
      </c>
      <c r="N329" s="29">
        <v>5.88</v>
      </c>
      <c r="O329" s="29">
        <v>21.867749419953597</v>
      </c>
      <c r="P329" s="29">
        <v>1.92</v>
      </c>
      <c r="Q329" s="29">
        <f t="shared" si="24"/>
        <v>11.389452822892499</v>
      </c>
      <c r="R329" s="29">
        <v>135</v>
      </c>
      <c r="S329" s="79">
        <v>0.36909090909090908</v>
      </c>
      <c r="U329" s="80">
        <f>(S329-0.133636)/R329</f>
        <v>1.7441104377104377E-3</v>
      </c>
      <c r="V329" s="80">
        <f t="shared" si="25"/>
        <v>0.17441104377104377</v>
      </c>
    </row>
    <row r="330" spans="1:22" x14ac:dyDescent="0.3">
      <c r="A330" s="5" t="s">
        <v>296</v>
      </c>
      <c r="B330" s="5" t="s">
        <v>295</v>
      </c>
      <c r="C330" s="5">
        <v>2011</v>
      </c>
      <c r="D330" s="5">
        <v>113.2</v>
      </c>
      <c r="E330" s="5">
        <v>28.13</v>
      </c>
      <c r="F330" s="5">
        <v>2008</v>
      </c>
      <c r="G330" s="29">
        <v>735</v>
      </c>
      <c r="H330" s="29">
        <v>852</v>
      </c>
      <c r="I330" s="29">
        <v>25.97</v>
      </c>
      <c r="J330" s="29">
        <v>1.25</v>
      </c>
      <c r="K330" s="29">
        <v>44</v>
      </c>
      <c r="L330" s="29">
        <v>36</v>
      </c>
      <c r="M330" s="29">
        <v>20</v>
      </c>
      <c r="N330" s="29">
        <v>5.88</v>
      </c>
      <c r="O330" s="29">
        <v>21.867749419953597</v>
      </c>
      <c r="P330" s="29">
        <v>1.92</v>
      </c>
      <c r="Q330" s="29">
        <f t="shared" si="24"/>
        <v>11.389452822892499</v>
      </c>
      <c r="R330" s="29">
        <v>67.5</v>
      </c>
      <c r="S330" s="79">
        <v>0.18454545454545454</v>
      </c>
      <c r="U330" s="80">
        <f>(S330-0.133636)/R330</f>
        <v>7.5421414141414126E-4</v>
      </c>
      <c r="V330" s="80">
        <f t="shared" si="25"/>
        <v>7.5421414141414123E-2</v>
      </c>
    </row>
    <row r="331" spans="1:22" x14ac:dyDescent="0.3">
      <c r="A331" s="81" t="s">
        <v>296</v>
      </c>
      <c r="B331" s="81" t="s">
        <v>295</v>
      </c>
      <c r="C331" s="81">
        <v>2011</v>
      </c>
      <c r="D331" s="81">
        <v>113.2</v>
      </c>
      <c r="E331" s="81">
        <v>28.13</v>
      </c>
      <c r="F331" s="81">
        <v>2008</v>
      </c>
      <c r="G331" s="34">
        <v>735</v>
      </c>
      <c r="H331" s="34">
        <v>852</v>
      </c>
      <c r="I331" s="34">
        <v>25.97</v>
      </c>
      <c r="J331" s="29">
        <v>1.25</v>
      </c>
      <c r="K331" s="29">
        <v>44</v>
      </c>
      <c r="L331" s="29">
        <v>36</v>
      </c>
      <c r="M331" s="29">
        <v>20</v>
      </c>
      <c r="N331" s="29">
        <v>5.88</v>
      </c>
      <c r="O331" s="34">
        <v>21.867749419953597</v>
      </c>
      <c r="P331" s="34">
        <v>1.92</v>
      </c>
      <c r="Q331" s="34">
        <f t="shared" si="24"/>
        <v>11.389452822892499</v>
      </c>
      <c r="R331" s="34">
        <v>210</v>
      </c>
      <c r="S331" s="82">
        <v>0.55363636363636359</v>
      </c>
      <c r="T331" s="34"/>
      <c r="U331" s="83">
        <f>(S331-0.133636)/R331</f>
        <v>2.0000017316017314E-3</v>
      </c>
      <c r="V331" s="83">
        <f t="shared" si="25"/>
        <v>0.20000017316017313</v>
      </c>
    </row>
    <row r="332" spans="1:22" x14ac:dyDescent="0.3">
      <c r="A332" s="5" t="s">
        <v>297</v>
      </c>
      <c r="B332" s="5" t="s">
        <v>298</v>
      </c>
      <c r="C332" s="5">
        <v>2011</v>
      </c>
      <c r="D332" s="5">
        <v>114.35</v>
      </c>
      <c r="E332" s="5">
        <v>30.5</v>
      </c>
      <c r="F332" s="5">
        <v>2008</v>
      </c>
      <c r="G332" s="29">
        <v>646.49999999999989</v>
      </c>
      <c r="H332" s="29">
        <v>894</v>
      </c>
      <c r="I332" s="29">
        <v>27</v>
      </c>
      <c r="J332" s="29">
        <v>1.3367391200000001</v>
      </c>
      <c r="K332" s="29">
        <v>24</v>
      </c>
      <c r="L332" s="29">
        <v>37.065217390000001</v>
      </c>
      <c r="M332" s="29">
        <v>34.586956520000001</v>
      </c>
      <c r="N332" s="29">
        <v>6.3</v>
      </c>
      <c r="O332" s="29">
        <v>12.006960556844547</v>
      </c>
      <c r="P332" s="29">
        <v>0.86</v>
      </c>
      <c r="Q332" s="29">
        <f t="shared" si="24"/>
        <v>13.961582042842496</v>
      </c>
      <c r="R332" s="29">
        <v>0</v>
      </c>
      <c r="S332" s="79">
        <v>0.56999999999999995</v>
      </c>
      <c r="T332" s="44">
        <f>AVERAGE(S332)</f>
        <v>0.56999999999999995</v>
      </c>
      <c r="V332" s="80">
        <f t="shared" si="25"/>
        <v>0</v>
      </c>
    </row>
    <row r="333" spans="1:22" x14ac:dyDescent="0.3">
      <c r="A333" s="5" t="s">
        <v>297</v>
      </c>
      <c r="B333" s="5" t="s">
        <v>298</v>
      </c>
      <c r="C333" s="5">
        <v>2011</v>
      </c>
      <c r="D333" s="5">
        <v>114.35</v>
      </c>
      <c r="E333" s="5">
        <v>30.5</v>
      </c>
      <c r="F333" s="5">
        <v>2008</v>
      </c>
      <c r="G333" s="29">
        <v>646.49999999999989</v>
      </c>
      <c r="H333" s="29">
        <v>894</v>
      </c>
      <c r="I333" s="29">
        <v>27</v>
      </c>
      <c r="J333" s="29">
        <v>1.34</v>
      </c>
      <c r="K333" s="29">
        <v>49</v>
      </c>
      <c r="L333" s="29">
        <v>31</v>
      </c>
      <c r="M333" s="29">
        <v>20</v>
      </c>
      <c r="N333" s="29">
        <v>6.3</v>
      </c>
      <c r="O333" s="29">
        <v>12.006960556844547</v>
      </c>
      <c r="P333" s="29">
        <v>0.86</v>
      </c>
      <c r="Q333" s="29">
        <f t="shared" si="24"/>
        <v>13.961582042842496</v>
      </c>
      <c r="R333" s="29">
        <v>210</v>
      </c>
      <c r="S333" s="79">
        <v>1.56</v>
      </c>
      <c r="U333" s="80">
        <f>(S333-0.57)/R333</f>
        <v>4.7142857142857151E-3</v>
      </c>
      <c r="V333" s="80">
        <f t="shared" si="25"/>
        <v>0.47142857142857153</v>
      </c>
    </row>
    <row r="334" spans="1:22" x14ac:dyDescent="0.3">
      <c r="A334" s="5" t="s">
        <v>297</v>
      </c>
      <c r="B334" s="5" t="s">
        <v>298</v>
      </c>
      <c r="C334" s="5">
        <v>2011</v>
      </c>
      <c r="D334" s="5">
        <v>114.35</v>
      </c>
      <c r="E334" s="5">
        <v>30.5</v>
      </c>
      <c r="F334" s="5">
        <v>2008</v>
      </c>
      <c r="G334" s="29">
        <v>646.49999999999989</v>
      </c>
      <c r="H334" s="29">
        <v>894</v>
      </c>
      <c r="I334" s="29">
        <v>27</v>
      </c>
      <c r="J334" s="29">
        <v>1.34</v>
      </c>
      <c r="K334" s="29">
        <v>49</v>
      </c>
      <c r="L334" s="29">
        <v>31</v>
      </c>
      <c r="M334" s="29">
        <v>20</v>
      </c>
      <c r="N334" s="29">
        <v>6.3</v>
      </c>
      <c r="O334" s="29">
        <v>12.006960556844547</v>
      </c>
      <c r="P334" s="29">
        <v>0.86</v>
      </c>
      <c r="Q334" s="29">
        <f t="shared" si="24"/>
        <v>13.961582042842496</v>
      </c>
      <c r="R334" s="29">
        <v>147</v>
      </c>
      <c r="S334" s="79">
        <v>1.18</v>
      </c>
      <c r="U334" s="80">
        <f>(S334-0.57)/R334</f>
        <v>4.1496598639455783E-3</v>
      </c>
      <c r="V334" s="80">
        <f t="shared" si="25"/>
        <v>0.41496598639455784</v>
      </c>
    </row>
    <row r="335" spans="1:22" x14ac:dyDescent="0.3">
      <c r="A335" s="81" t="s">
        <v>297</v>
      </c>
      <c r="B335" s="81" t="s">
        <v>298</v>
      </c>
      <c r="C335" s="81">
        <v>2011</v>
      </c>
      <c r="D335" s="81">
        <v>114.35</v>
      </c>
      <c r="E335" s="81">
        <v>30.5</v>
      </c>
      <c r="F335" s="81">
        <v>2008</v>
      </c>
      <c r="G335" s="34">
        <v>646.49999999999989</v>
      </c>
      <c r="H335" s="34">
        <v>894</v>
      </c>
      <c r="I335" s="34">
        <v>27</v>
      </c>
      <c r="J335" s="29">
        <v>1.34</v>
      </c>
      <c r="K335" s="29">
        <v>49</v>
      </c>
      <c r="L335" s="29">
        <v>31</v>
      </c>
      <c r="M335" s="29">
        <v>20</v>
      </c>
      <c r="N335" s="34">
        <v>6.3</v>
      </c>
      <c r="O335" s="34">
        <v>12.006960556844547</v>
      </c>
      <c r="P335" s="34">
        <v>0.86</v>
      </c>
      <c r="Q335" s="34">
        <f t="shared" si="24"/>
        <v>13.961582042842496</v>
      </c>
      <c r="R335" s="34">
        <v>147</v>
      </c>
      <c r="S335" s="82">
        <v>1.1299999999999999</v>
      </c>
      <c r="T335" s="34"/>
      <c r="U335" s="83">
        <f>(S335-0.57)/R335</f>
        <v>3.8095238095238091E-3</v>
      </c>
      <c r="V335" s="83">
        <f t="shared" si="25"/>
        <v>0.38095238095238093</v>
      </c>
    </row>
    <row r="336" spans="1:22" x14ac:dyDescent="0.3">
      <c r="A336" s="5" t="s">
        <v>299</v>
      </c>
      <c r="B336" s="5" t="s">
        <v>300</v>
      </c>
      <c r="C336" s="5">
        <v>2007</v>
      </c>
      <c r="D336" s="5">
        <v>133.56</v>
      </c>
      <c r="E336" s="5">
        <v>47.58</v>
      </c>
      <c r="F336" s="5" t="s">
        <v>301</v>
      </c>
      <c r="G336" s="29">
        <v>465</v>
      </c>
      <c r="H336" s="29">
        <v>816.00000000000011</v>
      </c>
      <c r="I336" s="29">
        <v>16.100000000000001</v>
      </c>
      <c r="J336" s="29">
        <v>1.3886792299999999</v>
      </c>
      <c r="K336" s="29">
        <v>23.26415094</v>
      </c>
      <c r="L336" s="29">
        <v>40.641509429999999</v>
      </c>
      <c r="M336" s="29">
        <v>36.09433962</v>
      </c>
      <c r="N336" s="29">
        <v>6.53</v>
      </c>
      <c r="O336" s="29">
        <v>16.821345707656612</v>
      </c>
      <c r="P336" s="29">
        <v>1.75</v>
      </c>
      <c r="Q336" s="29">
        <f t="shared" si="24"/>
        <v>9.6121975472323502</v>
      </c>
      <c r="R336" s="29">
        <v>0</v>
      </c>
      <c r="S336" s="79">
        <v>0.53290268181818179</v>
      </c>
      <c r="T336" s="44">
        <f>AVERAGE(S336,S339,S342)</f>
        <v>0.68697968181818181</v>
      </c>
      <c r="V336" s="80">
        <f t="shared" si="25"/>
        <v>0</v>
      </c>
    </row>
    <row r="337" spans="1:22" x14ac:dyDescent="0.3">
      <c r="A337" s="5" t="s">
        <v>299</v>
      </c>
      <c r="B337" s="5" t="s">
        <v>300</v>
      </c>
      <c r="C337" s="5">
        <v>2007</v>
      </c>
      <c r="D337" s="5">
        <v>133.56</v>
      </c>
      <c r="E337" s="5">
        <v>47.58</v>
      </c>
      <c r="F337" s="5" t="s">
        <v>301</v>
      </c>
      <c r="G337" s="29">
        <v>465</v>
      </c>
      <c r="H337" s="29">
        <v>816.00000000000011</v>
      </c>
      <c r="I337" s="29">
        <v>16.100000000000001</v>
      </c>
      <c r="J337" s="29">
        <v>0.98</v>
      </c>
      <c r="K337" s="29">
        <v>23</v>
      </c>
      <c r="L337" s="29">
        <v>55</v>
      </c>
      <c r="M337" s="29">
        <v>22</v>
      </c>
      <c r="N337" s="29">
        <v>6.53</v>
      </c>
      <c r="O337" s="29">
        <v>16.821345707656612</v>
      </c>
      <c r="P337" s="29">
        <v>1.75</v>
      </c>
      <c r="Q337" s="29">
        <f t="shared" si="24"/>
        <v>9.6121975472323502</v>
      </c>
      <c r="R337" s="29">
        <v>60</v>
      </c>
      <c r="S337" s="79">
        <v>0.53417604545454545</v>
      </c>
      <c r="U337" s="80">
        <f>(S337-S336)/R337</f>
        <v>2.1222727272727597E-5</v>
      </c>
      <c r="V337" s="80">
        <f t="shared" si="25"/>
        <v>2.1222727272727595E-3</v>
      </c>
    </row>
    <row r="338" spans="1:22" x14ac:dyDescent="0.3">
      <c r="A338" s="5" t="s">
        <v>299</v>
      </c>
      <c r="B338" s="5" t="s">
        <v>300</v>
      </c>
      <c r="C338" s="5">
        <v>2007</v>
      </c>
      <c r="D338" s="5">
        <v>133.56</v>
      </c>
      <c r="E338" s="5">
        <v>47.58</v>
      </c>
      <c r="F338" s="5" t="s">
        <v>301</v>
      </c>
      <c r="G338" s="29">
        <v>465</v>
      </c>
      <c r="H338" s="29">
        <v>816.00000000000011</v>
      </c>
      <c r="I338" s="29">
        <v>16.100000000000001</v>
      </c>
      <c r="J338" s="29">
        <v>0.98</v>
      </c>
      <c r="K338" s="29">
        <v>23</v>
      </c>
      <c r="L338" s="29">
        <v>55</v>
      </c>
      <c r="M338" s="29">
        <v>22</v>
      </c>
      <c r="N338" s="29">
        <v>6.53</v>
      </c>
      <c r="O338" s="29">
        <v>16.821345707656612</v>
      </c>
      <c r="P338" s="29">
        <v>1.75</v>
      </c>
      <c r="Q338" s="29">
        <f t="shared" si="24"/>
        <v>9.6121975472323502</v>
      </c>
      <c r="R338" s="29">
        <v>150</v>
      </c>
      <c r="S338" s="79">
        <v>0.742371</v>
      </c>
      <c r="U338" s="80">
        <f>(S338-S336)/R338</f>
        <v>1.3964554545454547E-3</v>
      </c>
      <c r="V338" s="80">
        <f t="shared" si="25"/>
        <v>0.13964554545454547</v>
      </c>
    </row>
    <row r="339" spans="1:22" x14ac:dyDescent="0.3">
      <c r="A339" s="5" t="s">
        <v>299</v>
      </c>
      <c r="B339" s="5" t="s">
        <v>300</v>
      </c>
      <c r="C339" s="5">
        <v>2007</v>
      </c>
      <c r="D339" s="5">
        <v>133.56</v>
      </c>
      <c r="E339" s="5">
        <v>47.58</v>
      </c>
      <c r="F339" s="5" t="s">
        <v>302</v>
      </c>
      <c r="G339" s="29">
        <v>465</v>
      </c>
      <c r="H339" s="29">
        <v>816.00000000000011</v>
      </c>
      <c r="I339" s="29">
        <v>16.100000000000001</v>
      </c>
      <c r="J339" s="29">
        <v>1.3886792299999999</v>
      </c>
      <c r="K339" s="29">
        <v>23.26415094</v>
      </c>
      <c r="L339" s="29">
        <v>40.641509429999999</v>
      </c>
      <c r="M339" s="29">
        <v>36.09433962</v>
      </c>
      <c r="N339" s="29">
        <v>6.53</v>
      </c>
      <c r="O339" s="29">
        <v>16.821345707656612</v>
      </c>
      <c r="P339" s="29">
        <v>1.75</v>
      </c>
      <c r="Q339" s="29">
        <f t="shared" si="24"/>
        <v>9.6121975472323502</v>
      </c>
      <c r="R339" s="29">
        <v>0</v>
      </c>
      <c r="S339" s="79">
        <v>0.69016309090909089</v>
      </c>
      <c r="V339" s="80">
        <f t="shared" si="25"/>
        <v>0</v>
      </c>
    </row>
    <row r="340" spans="1:22" x14ac:dyDescent="0.3">
      <c r="A340" s="5" t="s">
        <v>299</v>
      </c>
      <c r="B340" s="5" t="s">
        <v>300</v>
      </c>
      <c r="C340" s="5">
        <v>2007</v>
      </c>
      <c r="D340" s="5">
        <v>133.56</v>
      </c>
      <c r="E340" s="5">
        <v>47.58</v>
      </c>
      <c r="F340" s="5" t="s">
        <v>302</v>
      </c>
      <c r="G340" s="29">
        <v>465</v>
      </c>
      <c r="H340" s="29">
        <v>816.00000000000011</v>
      </c>
      <c r="I340" s="29">
        <v>16.100000000000001</v>
      </c>
      <c r="J340" s="29">
        <v>0.98</v>
      </c>
      <c r="K340" s="29">
        <v>23</v>
      </c>
      <c r="L340" s="29">
        <v>55</v>
      </c>
      <c r="M340" s="29">
        <v>22</v>
      </c>
      <c r="N340" s="29">
        <v>6.53</v>
      </c>
      <c r="O340" s="29">
        <v>16.821345707656612</v>
      </c>
      <c r="P340" s="29">
        <v>1.75</v>
      </c>
      <c r="Q340" s="29">
        <f t="shared" si="24"/>
        <v>9.6121975472323502</v>
      </c>
      <c r="R340" s="29">
        <v>150</v>
      </c>
      <c r="S340" s="79">
        <v>1.1753146363636364</v>
      </c>
      <c r="U340" s="80">
        <f>(S340-S339)/R340</f>
        <v>3.2343436363636369E-3</v>
      </c>
      <c r="V340" s="80">
        <f t="shared" si="25"/>
        <v>0.32343436363636369</v>
      </c>
    </row>
    <row r="341" spans="1:22" x14ac:dyDescent="0.3">
      <c r="A341" s="5" t="s">
        <v>299</v>
      </c>
      <c r="B341" s="5" t="s">
        <v>300</v>
      </c>
      <c r="C341" s="5">
        <v>2007</v>
      </c>
      <c r="D341" s="5">
        <v>133.56</v>
      </c>
      <c r="E341" s="5">
        <v>47.58</v>
      </c>
      <c r="F341" s="5" t="s">
        <v>302</v>
      </c>
      <c r="G341" s="29">
        <v>465</v>
      </c>
      <c r="H341" s="29">
        <v>816.00000000000011</v>
      </c>
      <c r="I341" s="29">
        <v>16.100000000000001</v>
      </c>
      <c r="J341" s="29">
        <v>0.98</v>
      </c>
      <c r="K341" s="29">
        <v>23</v>
      </c>
      <c r="L341" s="29">
        <v>55</v>
      </c>
      <c r="M341" s="29">
        <v>22</v>
      </c>
      <c r="N341" s="29">
        <v>6.53</v>
      </c>
      <c r="O341" s="29">
        <v>16.821345707656612</v>
      </c>
      <c r="P341" s="29">
        <v>1.75</v>
      </c>
      <c r="Q341" s="29">
        <f t="shared" si="24"/>
        <v>9.6121975472323502</v>
      </c>
      <c r="R341" s="29">
        <v>250</v>
      </c>
      <c r="S341" s="79">
        <v>1.235799409090909</v>
      </c>
      <c r="U341" s="80">
        <f>(S341-S339)/R341</f>
        <v>2.1825452727272723E-3</v>
      </c>
      <c r="V341" s="80">
        <f t="shared" si="25"/>
        <v>0.21825452727272723</v>
      </c>
    </row>
    <row r="342" spans="1:22" x14ac:dyDescent="0.3">
      <c r="A342" s="5" t="s">
        <v>299</v>
      </c>
      <c r="B342" s="5" t="s">
        <v>300</v>
      </c>
      <c r="C342" s="5">
        <v>2007</v>
      </c>
      <c r="D342" s="5">
        <v>133.56</v>
      </c>
      <c r="E342" s="5">
        <v>47.58</v>
      </c>
      <c r="F342" s="5">
        <v>2006</v>
      </c>
      <c r="G342" s="29">
        <v>465</v>
      </c>
      <c r="H342" s="29">
        <v>816.00000000000011</v>
      </c>
      <c r="I342" s="29">
        <v>16.100000000000001</v>
      </c>
      <c r="J342" s="29">
        <v>1.3886792299999999</v>
      </c>
      <c r="K342" s="29">
        <v>23.26415094</v>
      </c>
      <c r="L342" s="29">
        <v>40.641509429999999</v>
      </c>
      <c r="M342" s="29">
        <v>36.09433962</v>
      </c>
      <c r="N342" s="29">
        <v>6.53</v>
      </c>
      <c r="O342" s="29">
        <v>16.821345707656612</v>
      </c>
      <c r="P342" s="29">
        <v>1.75</v>
      </c>
      <c r="Q342" s="29">
        <f t="shared" si="24"/>
        <v>9.6121975472323502</v>
      </c>
      <c r="R342" s="29">
        <v>0</v>
      </c>
      <c r="S342" s="79">
        <v>0.83787327272727274</v>
      </c>
      <c r="V342" s="80">
        <f t="shared" si="25"/>
        <v>0</v>
      </c>
    </row>
    <row r="343" spans="1:22" x14ac:dyDescent="0.3">
      <c r="A343" s="5" t="s">
        <v>299</v>
      </c>
      <c r="B343" s="5" t="s">
        <v>300</v>
      </c>
      <c r="C343" s="5">
        <v>2007</v>
      </c>
      <c r="D343" s="5">
        <v>133.56</v>
      </c>
      <c r="E343" s="5">
        <v>47.58</v>
      </c>
      <c r="F343" s="5">
        <v>2006</v>
      </c>
      <c r="G343" s="29">
        <v>465</v>
      </c>
      <c r="H343" s="29">
        <v>816.00000000000011</v>
      </c>
      <c r="I343" s="29">
        <v>16.100000000000001</v>
      </c>
      <c r="J343" s="29">
        <v>0.98</v>
      </c>
      <c r="K343" s="29">
        <v>23</v>
      </c>
      <c r="L343" s="29">
        <v>55</v>
      </c>
      <c r="M343" s="29">
        <v>22</v>
      </c>
      <c r="N343" s="29">
        <v>6.53</v>
      </c>
      <c r="O343" s="29">
        <v>16.821345707656612</v>
      </c>
      <c r="P343" s="29">
        <v>1.75</v>
      </c>
      <c r="Q343" s="29">
        <f t="shared" si="24"/>
        <v>9.6121975472323502</v>
      </c>
      <c r="R343" s="29">
        <v>150</v>
      </c>
      <c r="S343" s="79">
        <v>1.8342803181818181</v>
      </c>
      <c r="U343" s="80">
        <f>(S343-S342)/R343</f>
        <v>6.642713636363636E-3</v>
      </c>
      <c r="V343" s="80">
        <f t="shared" si="25"/>
        <v>0.66427136363636363</v>
      </c>
    </row>
    <row r="344" spans="1:22" x14ac:dyDescent="0.3">
      <c r="A344" s="81" t="s">
        <v>299</v>
      </c>
      <c r="B344" s="81" t="s">
        <v>300</v>
      </c>
      <c r="C344" s="81">
        <v>2007</v>
      </c>
      <c r="D344" s="81">
        <v>133.56</v>
      </c>
      <c r="E344" s="81">
        <v>47.58</v>
      </c>
      <c r="F344" s="81">
        <v>2006</v>
      </c>
      <c r="G344" s="34">
        <v>465</v>
      </c>
      <c r="H344" s="34">
        <v>816.00000000000011</v>
      </c>
      <c r="I344" s="34">
        <v>16.100000000000001</v>
      </c>
      <c r="J344" s="29">
        <v>0.98</v>
      </c>
      <c r="K344" s="29">
        <v>23</v>
      </c>
      <c r="L344" s="29">
        <v>55</v>
      </c>
      <c r="M344" s="29">
        <v>22</v>
      </c>
      <c r="N344" s="29">
        <v>6.53</v>
      </c>
      <c r="O344" s="34">
        <v>16.821345707656612</v>
      </c>
      <c r="P344" s="34">
        <v>1.75</v>
      </c>
      <c r="Q344" s="34">
        <f t="shared" si="24"/>
        <v>9.6121975472323502</v>
      </c>
      <c r="R344" s="34">
        <v>250</v>
      </c>
      <c r="S344" s="82">
        <v>2.8784385000000001</v>
      </c>
      <c r="T344" s="34"/>
      <c r="U344" s="83">
        <f>(S344-S342)/R344</f>
        <v>8.1622609090909095E-3</v>
      </c>
      <c r="V344" s="83">
        <f t="shared" si="25"/>
        <v>0.81622609090909093</v>
      </c>
    </row>
    <row r="345" spans="1:22" x14ac:dyDescent="0.3">
      <c r="A345" s="5" t="s">
        <v>197</v>
      </c>
      <c r="B345" s="5" t="s">
        <v>198</v>
      </c>
      <c r="C345" s="5">
        <v>2007</v>
      </c>
      <c r="D345" s="5">
        <v>119.9</v>
      </c>
      <c r="E345" s="5">
        <v>31.28</v>
      </c>
      <c r="F345" s="5" t="s">
        <v>303</v>
      </c>
      <c r="G345" s="29">
        <v>520.5</v>
      </c>
      <c r="H345" s="29">
        <v>816</v>
      </c>
      <c r="I345" s="29">
        <v>26.03</v>
      </c>
      <c r="J345" s="29">
        <v>1.2749999999999999</v>
      </c>
      <c r="K345" s="29">
        <v>17.333333329999999</v>
      </c>
      <c r="L345" s="29">
        <v>35.5</v>
      </c>
      <c r="M345" s="29">
        <v>36.055555560000002</v>
      </c>
      <c r="N345" s="29">
        <v>6.23</v>
      </c>
      <c r="O345" s="29">
        <v>12.6</v>
      </c>
      <c r="P345" s="29">
        <v>1.3</v>
      </c>
      <c r="Q345" s="29">
        <f t="shared" ref="Q345:Q399" si="26">O345/P345</f>
        <v>9.6923076923076916</v>
      </c>
      <c r="R345" s="29">
        <v>0</v>
      </c>
      <c r="S345" s="79">
        <v>4.7651814000000001E-2</v>
      </c>
      <c r="T345" s="44">
        <f>AVERAGE(S345,S348,S351)</f>
        <v>4.970484E-2</v>
      </c>
      <c r="V345" s="80">
        <f t="shared" ref="V345:V399" si="27">U345*100</f>
        <v>0</v>
      </c>
    </row>
    <row r="346" spans="1:22" x14ac:dyDescent="0.3">
      <c r="A346" s="5" t="s">
        <v>197</v>
      </c>
      <c r="B346" s="5" t="s">
        <v>198</v>
      </c>
      <c r="C346" s="5">
        <v>2007</v>
      </c>
      <c r="D346" s="5">
        <v>119.9</v>
      </c>
      <c r="E346" s="5">
        <v>31.28</v>
      </c>
      <c r="F346" s="5" t="s">
        <v>303</v>
      </c>
      <c r="G346" s="29">
        <v>520.5</v>
      </c>
      <c r="H346" s="29">
        <v>816</v>
      </c>
      <c r="I346" s="29">
        <v>26.03</v>
      </c>
      <c r="J346" s="29">
        <v>1.42</v>
      </c>
      <c r="K346" s="29">
        <v>37</v>
      </c>
      <c r="L346" s="29">
        <v>42</v>
      </c>
      <c r="M346" s="29">
        <v>21</v>
      </c>
      <c r="N346" s="29">
        <v>6.23</v>
      </c>
      <c r="O346" s="29">
        <v>12.6</v>
      </c>
      <c r="P346" s="29">
        <v>1.3</v>
      </c>
      <c r="Q346" s="29">
        <f t="shared" si="26"/>
        <v>9.6923076923076916</v>
      </c>
      <c r="R346" s="29">
        <v>200</v>
      </c>
      <c r="S346" s="79">
        <v>0.29336661000000003</v>
      </c>
      <c r="U346" s="80">
        <f>(S346-S345)/R346</f>
        <v>1.2285739800000002E-3</v>
      </c>
      <c r="V346" s="80">
        <f t="shared" si="27"/>
        <v>0.12285739800000002</v>
      </c>
    </row>
    <row r="347" spans="1:22" x14ac:dyDescent="0.3">
      <c r="A347" s="5" t="s">
        <v>197</v>
      </c>
      <c r="B347" s="5" t="s">
        <v>198</v>
      </c>
      <c r="C347" s="5">
        <v>2007</v>
      </c>
      <c r="D347" s="5">
        <v>119.9</v>
      </c>
      <c r="E347" s="5">
        <v>31.28</v>
      </c>
      <c r="F347" s="5" t="s">
        <v>303</v>
      </c>
      <c r="G347" s="29">
        <v>520.5</v>
      </c>
      <c r="H347" s="29">
        <v>816</v>
      </c>
      <c r="I347" s="29">
        <v>26.03</v>
      </c>
      <c r="J347" s="29">
        <v>1.42</v>
      </c>
      <c r="K347" s="29">
        <v>37</v>
      </c>
      <c r="L347" s="29">
        <v>42</v>
      </c>
      <c r="M347" s="29">
        <v>21</v>
      </c>
      <c r="N347" s="29">
        <v>6.23</v>
      </c>
      <c r="O347" s="29">
        <v>12.6</v>
      </c>
      <c r="P347" s="29">
        <v>1.3</v>
      </c>
      <c r="Q347" s="29">
        <f t="shared" si="26"/>
        <v>9.6923076923076916</v>
      </c>
      <c r="R347" s="29">
        <v>270</v>
      </c>
      <c r="S347" s="79">
        <v>0.54977875200000004</v>
      </c>
      <c r="U347" s="80">
        <f>(S347-S345)/R347</f>
        <v>1.8597294000000002E-3</v>
      </c>
      <c r="V347" s="80">
        <f t="shared" si="27"/>
        <v>0.18597294000000003</v>
      </c>
    </row>
    <row r="348" spans="1:22" x14ac:dyDescent="0.3">
      <c r="A348" s="5" t="s">
        <v>197</v>
      </c>
      <c r="B348" s="5" t="s">
        <v>198</v>
      </c>
      <c r="C348" s="5">
        <v>2007</v>
      </c>
      <c r="D348" s="5">
        <v>119.9</v>
      </c>
      <c r="E348" s="5">
        <v>31.28</v>
      </c>
      <c r="F348" s="5" t="s">
        <v>301</v>
      </c>
      <c r="G348" s="29">
        <v>520.5</v>
      </c>
      <c r="H348" s="29">
        <v>816</v>
      </c>
      <c r="I348" s="29">
        <v>26.03</v>
      </c>
      <c r="J348" s="29">
        <v>1.2749999999999999</v>
      </c>
      <c r="K348" s="29">
        <v>17.333333329999999</v>
      </c>
      <c r="L348" s="29">
        <v>35.5</v>
      </c>
      <c r="M348" s="29">
        <v>36.055555560000002</v>
      </c>
      <c r="N348" s="29">
        <v>6.23</v>
      </c>
      <c r="O348" s="29">
        <v>12.6</v>
      </c>
      <c r="P348" s="29">
        <v>1.3</v>
      </c>
      <c r="Q348" s="29">
        <f t="shared" si="26"/>
        <v>9.6923076923076916</v>
      </c>
      <c r="R348" s="29">
        <v>0</v>
      </c>
      <c r="S348" s="79">
        <v>4.7327651999999998E-2</v>
      </c>
      <c r="V348" s="80">
        <f t="shared" si="27"/>
        <v>0</v>
      </c>
    </row>
    <row r="349" spans="1:22" x14ac:dyDescent="0.3">
      <c r="A349" s="5" t="s">
        <v>197</v>
      </c>
      <c r="B349" s="5" t="s">
        <v>198</v>
      </c>
      <c r="C349" s="5">
        <v>2007</v>
      </c>
      <c r="D349" s="5">
        <v>119.9</v>
      </c>
      <c r="E349" s="5">
        <v>31.28</v>
      </c>
      <c r="F349" s="5" t="s">
        <v>301</v>
      </c>
      <c r="G349" s="29">
        <v>520.5</v>
      </c>
      <c r="H349" s="29">
        <v>816</v>
      </c>
      <c r="I349" s="29">
        <v>26.03</v>
      </c>
      <c r="J349" s="29">
        <v>1.42</v>
      </c>
      <c r="K349" s="29">
        <v>37</v>
      </c>
      <c r="L349" s="29">
        <v>42</v>
      </c>
      <c r="M349" s="29">
        <v>21</v>
      </c>
      <c r="N349" s="29">
        <v>6.23</v>
      </c>
      <c r="O349" s="29">
        <v>12.6</v>
      </c>
      <c r="P349" s="29">
        <v>1.3</v>
      </c>
      <c r="Q349" s="29">
        <f t="shared" si="26"/>
        <v>9.6923076923076916</v>
      </c>
      <c r="R349" s="29">
        <v>200</v>
      </c>
      <c r="S349" s="79">
        <v>0.30503644200000002</v>
      </c>
      <c r="U349" s="80">
        <f>(S349-S348)/R349</f>
        <v>1.2885439500000002E-3</v>
      </c>
      <c r="V349" s="80">
        <f t="shared" si="27"/>
        <v>0.12885439500000001</v>
      </c>
    </row>
    <row r="350" spans="1:22" x14ac:dyDescent="0.3">
      <c r="A350" s="5" t="s">
        <v>197</v>
      </c>
      <c r="B350" s="5" t="s">
        <v>198</v>
      </c>
      <c r="C350" s="5">
        <v>2007</v>
      </c>
      <c r="D350" s="5">
        <v>119.9</v>
      </c>
      <c r="E350" s="5">
        <v>31.28</v>
      </c>
      <c r="F350" s="5" t="s">
        <v>301</v>
      </c>
      <c r="G350" s="29">
        <v>520.5</v>
      </c>
      <c r="H350" s="29">
        <v>816</v>
      </c>
      <c r="I350" s="29">
        <v>26.03</v>
      </c>
      <c r="J350" s="29">
        <v>1.42</v>
      </c>
      <c r="K350" s="29">
        <v>37</v>
      </c>
      <c r="L350" s="29">
        <v>42</v>
      </c>
      <c r="M350" s="29">
        <v>21</v>
      </c>
      <c r="N350" s="29">
        <v>6.23</v>
      </c>
      <c r="O350" s="29">
        <v>12.6</v>
      </c>
      <c r="P350" s="29">
        <v>1.3</v>
      </c>
      <c r="Q350" s="29">
        <f t="shared" si="26"/>
        <v>9.6923076923076916</v>
      </c>
      <c r="R350" s="29">
        <v>270</v>
      </c>
      <c r="S350" s="79">
        <v>0.45868923</v>
      </c>
      <c r="U350" s="80">
        <f>(S350-S348)/R350</f>
        <v>1.5235614E-3</v>
      </c>
      <c r="V350" s="80">
        <f t="shared" si="27"/>
        <v>0.15235614</v>
      </c>
    </row>
    <row r="351" spans="1:22" x14ac:dyDescent="0.3">
      <c r="A351" s="5" t="s">
        <v>197</v>
      </c>
      <c r="B351" s="5" t="s">
        <v>198</v>
      </c>
      <c r="C351" s="5">
        <v>2007</v>
      </c>
      <c r="D351" s="5">
        <v>119.9</v>
      </c>
      <c r="E351" s="5">
        <v>31.28</v>
      </c>
      <c r="F351" s="5" t="s">
        <v>302</v>
      </c>
      <c r="G351" s="29">
        <v>520.5</v>
      </c>
      <c r="H351" s="29">
        <v>816</v>
      </c>
      <c r="I351" s="29">
        <v>26.03</v>
      </c>
      <c r="J351" s="29">
        <v>1.2749999999999999</v>
      </c>
      <c r="K351" s="29">
        <v>17.333333329999999</v>
      </c>
      <c r="L351" s="29">
        <v>35.5</v>
      </c>
      <c r="M351" s="29">
        <v>36.055555560000002</v>
      </c>
      <c r="N351" s="29">
        <v>6.23</v>
      </c>
      <c r="O351" s="29">
        <v>12.6</v>
      </c>
      <c r="P351" s="29">
        <v>1.3</v>
      </c>
      <c r="Q351" s="29">
        <f t="shared" si="26"/>
        <v>9.6923076923076916</v>
      </c>
      <c r="R351" s="29">
        <v>0</v>
      </c>
      <c r="S351" s="79">
        <v>5.4135054000000002E-2</v>
      </c>
      <c r="V351" s="80">
        <f t="shared" si="27"/>
        <v>0</v>
      </c>
    </row>
    <row r="352" spans="1:22" x14ac:dyDescent="0.3">
      <c r="A352" s="5" t="s">
        <v>197</v>
      </c>
      <c r="B352" s="5" t="s">
        <v>198</v>
      </c>
      <c r="C352" s="5">
        <v>2007</v>
      </c>
      <c r="D352" s="5">
        <v>119.9</v>
      </c>
      <c r="E352" s="5">
        <v>31.28</v>
      </c>
      <c r="F352" s="5" t="s">
        <v>302</v>
      </c>
      <c r="G352" s="29">
        <v>520.5</v>
      </c>
      <c r="H352" s="29">
        <v>816</v>
      </c>
      <c r="I352" s="29">
        <v>26.03</v>
      </c>
      <c r="J352" s="29">
        <v>1.42</v>
      </c>
      <c r="K352" s="29">
        <v>37</v>
      </c>
      <c r="L352" s="29">
        <v>42</v>
      </c>
      <c r="M352" s="29">
        <v>21</v>
      </c>
      <c r="N352" s="29">
        <v>6.23</v>
      </c>
      <c r="O352" s="29">
        <v>12.6</v>
      </c>
      <c r="P352" s="29">
        <v>1.3</v>
      </c>
      <c r="Q352" s="29">
        <f t="shared" si="26"/>
        <v>9.6923076923076916</v>
      </c>
      <c r="R352" s="29">
        <v>200</v>
      </c>
      <c r="S352" s="79">
        <v>0.112484214</v>
      </c>
      <c r="U352" s="80">
        <f>(S352-S351)/R352</f>
        <v>2.9174579999999999E-4</v>
      </c>
      <c r="V352" s="80">
        <f t="shared" si="27"/>
        <v>2.9174579999999999E-2</v>
      </c>
    </row>
    <row r="353" spans="1:22" x14ac:dyDescent="0.3">
      <c r="A353" s="81" t="s">
        <v>197</v>
      </c>
      <c r="B353" s="81" t="s">
        <v>198</v>
      </c>
      <c r="C353" s="81">
        <v>2007</v>
      </c>
      <c r="D353" s="81">
        <v>119.9</v>
      </c>
      <c r="E353" s="81">
        <v>31.28</v>
      </c>
      <c r="F353" s="81" t="s">
        <v>302</v>
      </c>
      <c r="G353" s="34">
        <v>520.5</v>
      </c>
      <c r="H353" s="34">
        <v>816</v>
      </c>
      <c r="I353" s="34">
        <v>26.03</v>
      </c>
      <c r="J353" s="29">
        <v>1.42</v>
      </c>
      <c r="K353" s="29">
        <v>37</v>
      </c>
      <c r="L353" s="29">
        <v>42</v>
      </c>
      <c r="M353" s="29">
        <v>21</v>
      </c>
      <c r="N353" s="34">
        <v>6.23</v>
      </c>
      <c r="O353" s="34">
        <v>12.6</v>
      </c>
      <c r="P353" s="34">
        <v>1.3</v>
      </c>
      <c r="Q353" s="34">
        <f t="shared" si="26"/>
        <v>9.6923076923076916</v>
      </c>
      <c r="R353" s="34">
        <v>270</v>
      </c>
      <c r="S353" s="82">
        <v>0.19611801000000001</v>
      </c>
      <c r="T353" s="34"/>
      <c r="U353" s="83">
        <f>(S353-S351)/R353</f>
        <v>5.2586279999999993E-4</v>
      </c>
      <c r="V353" s="83">
        <f t="shared" si="27"/>
        <v>5.2586279999999992E-2</v>
      </c>
    </row>
    <row r="354" spans="1:22" x14ac:dyDescent="0.3">
      <c r="A354" s="5" t="s">
        <v>304</v>
      </c>
      <c r="B354" s="5" t="s">
        <v>305</v>
      </c>
      <c r="C354" s="5">
        <v>2016</v>
      </c>
      <c r="D354" s="5">
        <v>120.16</v>
      </c>
      <c r="E354" s="5">
        <v>30.13</v>
      </c>
      <c r="F354" s="5">
        <v>2013</v>
      </c>
      <c r="G354" s="29">
        <v>714</v>
      </c>
      <c r="H354" s="29">
        <v>781.5</v>
      </c>
      <c r="I354" s="29">
        <v>25.7</v>
      </c>
      <c r="J354" s="29">
        <v>1.2224999999999999</v>
      </c>
      <c r="K354" s="29">
        <v>13.83333333</v>
      </c>
      <c r="L354" s="29">
        <v>41.583333330000002</v>
      </c>
      <c r="M354" s="29">
        <v>27.916666670000001</v>
      </c>
      <c r="N354" s="29">
        <v>5.57</v>
      </c>
      <c r="O354" s="29">
        <v>12.216426914153132</v>
      </c>
      <c r="P354" s="29">
        <v>2.0499999999999998</v>
      </c>
      <c r="Q354" s="29">
        <f t="shared" si="26"/>
        <v>5.9592326410503089</v>
      </c>
      <c r="R354" s="29">
        <v>0</v>
      </c>
      <c r="S354" s="79">
        <v>0.11</v>
      </c>
      <c r="T354" s="44">
        <f>S354</f>
        <v>0.11</v>
      </c>
      <c r="V354" s="80">
        <f t="shared" si="27"/>
        <v>0</v>
      </c>
    </row>
    <row r="355" spans="1:22" x14ac:dyDescent="0.3">
      <c r="A355" s="5" t="s">
        <v>304</v>
      </c>
      <c r="B355" s="5" t="s">
        <v>305</v>
      </c>
      <c r="C355" s="5">
        <v>2016</v>
      </c>
      <c r="D355" s="5">
        <v>120.16</v>
      </c>
      <c r="E355" s="5">
        <v>30.13</v>
      </c>
      <c r="F355" s="5">
        <v>2013</v>
      </c>
      <c r="G355" s="29">
        <v>714</v>
      </c>
      <c r="H355" s="29">
        <v>781.5</v>
      </c>
      <c r="I355" s="29">
        <v>25.7</v>
      </c>
      <c r="J355" s="29">
        <v>1.4</v>
      </c>
      <c r="K355" s="29">
        <v>38</v>
      </c>
      <c r="L355" s="29">
        <v>37</v>
      </c>
      <c r="M355" s="29">
        <v>25</v>
      </c>
      <c r="N355" s="29">
        <v>5.57</v>
      </c>
      <c r="O355" s="29">
        <v>12.16</v>
      </c>
      <c r="P355" s="29">
        <v>2.0499999999999998</v>
      </c>
      <c r="Q355" s="29">
        <f t="shared" si="26"/>
        <v>5.9317073170731716</v>
      </c>
      <c r="R355" s="29">
        <v>75</v>
      </c>
      <c r="S355" s="79">
        <v>0.3</v>
      </c>
      <c r="U355" s="80">
        <f>(S355-S354)/R355</f>
        <v>2.5333333333333332E-3</v>
      </c>
      <c r="V355" s="80">
        <f t="shared" si="27"/>
        <v>0.2533333333333333</v>
      </c>
    </row>
    <row r="356" spans="1:22" x14ac:dyDescent="0.3">
      <c r="A356" s="5" t="s">
        <v>304</v>
      </c>
      <c r="B356" s="5" t="s">
        <v>305</v>
      </c>
      <c r="C356" s="5">
        <v>2016</v>
      </c>
      <c r="D356" s="5">
        <v>120.16</v>
      </c>
      <c r="E356" s="5">
        <v>30.13</v>
      </c>
      <c r="F356" s="5">
        <v>2013</v>
      </c>
      <c r="G356" s="29">
        <v>714</v>
      </c>
      <c r="H356" s="29">
        <v>781.5</v>
      </c>
      <c r="I356" s="29">
        <v>25.7</v>
      </c>
      <c r="J356" s="29">
        <v>1.4</v>
      </c>
      <c r="K356" s="29">
        <v>38</v>
      </c>
      <c r="L356" s="29">
        <v>37</v>
      </c>
      <c r="M356" s="29">
        <v>25</v>
      </c>
      <c r="N356" s="29">
        <v>5.57</v>
      </c>
      <c r="O356" s="29">
        <v>12.16</v>
      </c>
      <c r="P356" s="29">
        <v>2.0499999999999998</v>
      </c>
      <c r="Q356" s="29">
        <f t="shared" si="26"/>
        <v>5.9317073170731716</v>
      </c>
      <c r="R356" s="29">
        <v>150</v>
      </c>
      <c r="S356" s="79">
        <v>0.36</v>
      </c>
      <c r="U356" s="80">
        <f>(S356-S354)/R356</f>
        <v>1.6666666666666668E-3</v>
      </c>
      <c r="V356" s="80">
        <f t="shared" si="27"/>
        <v>0.16666666666666669</v>
      </c>
    </row>
    <row r="357" spans="1:22" x14ac:dyDescent="0.3">
      <c r="A357" s="5" t="s">
        <v>304</v>
      </c>
      <c r="B357" s="5" t="s">
        <v>305</v>
      </c>
      <c r="C357" s="5">
        <v>2016</v>
      </c>
      <c r="D357" s="5">
        <v>120.16</v>
      </c>
      <c r="E357" s="5">
        <v>30.13</v>
      </c>
      <c r="F357" s="5">
        <v>2013</v>
      </c>
      <c r="G357" s="29">
        <v>714</v>
      </c>
      <c r="H357" s="29">
        <v>781.5</v>
      </c>
      <c r="I357" s="29">
        <v>25.7</v>
      </c>
      <c r="J357" s="29">
        <v>1.4</v>
      </c>
      <c r="K357" s="29">
        <v>38</v>
      </c>
      <c r="L357" s="29">
        <v>37</v>
      </c>
      <c r="M357" s="29">
        <v>25</v>
      </c>
      <c r="N357" s="29">
        <v>5.57</v>
      </c>
      <c r="O357" s="29">
        <v>12.16</v>
      </c>
      <c r="P357" s="29">
        <v>2.0499999999999998</v>
      </c>
      <c r="Q357" s="29">
        <f t="shared" si="26"/>
        <v>5.9317073170731716</v>
      </c>
      <c r="R357" s="29">
        <v>225</v>
      </c>
      <c r="S357" s="79">
        <v>0.34</v>
      </c>
      <c r="U357" s="80">
        <f>(S357-S354)/R357</f>
        <v>1.0222222222222223E-3</v>
      </c>
      <c r="V357" s="80">
        <f t="shared" si="27"/>
        <v>0.10222222222222223</v>
      </c>
    </row>
    <row r="358" spans="1:22" x14ac:dyDescent="0.3">
      <c r="A358" s="5" t="s">
        <v>304</v>
      </c>
      <c r="B358" s="5" t="s">
        <v>305</v>
      </c>
      <c r="C358" s="5">
        <v>2016</v>
      </c>
      <c r="D358" s="5">
        <v>120.16</v>
      </c>
      <c r="E358" s="5">
        <v>30.13</v>
      </c>
      <c r="F358" s="5">
        <v>2013</v>
      </c>
      <c r="G358" s="29">
        <v>714</v>
      </c>
      <c r="H358" s="29">
        <v>781.5</v>
      </c>
      <c r="I358" s="29">
        <v>25.7</v>
      </c>
      <c r="J358" s="29">
        <v>1.4</v>
      </c>
      <c r="K358" s="29">
        <v>38</v>
      </c>
      <c r="L358" s="29">
        <v>37</v>
      </c>
      <c r="M358" s="29">
        <v>25</v>
      </c>
      <c r="N358" s="29">
        <v>5.57</v>
      </c>
      <c r="O358" s="29">
        <v>12.16</v>
      </c>
      <c r="P358" s="29">
        <v>2.0499999999999998</v>
      </c>
      <c r="Q358" s="29">
        <f t="shared" si="26"/>
        <v>5.9317073170731716</v>
      </c>
      <c r="R358" s="29">
        <v>300</v>
      </c>
      <c r="S358" s="79">
        <v>0.56999999999999995</v>
      </c>
      <c r="U358" s="80">
        <f>(S358-S354)/R358</f>
        <v>1.5333333333333332E-3</v>
      </c>
      <c r="V358" s="80">
        <f t="shared" si="27"/>
        <v>0.15333333333333332</v>
      </c>
    </row>
    <row r="359" spans="1:22" x14ac:dyDescent="0.3">
      <c r="A359" s="81" t="s">
        <v>304</v>
      </c>
      <c r="B359" s="81" t="s">
        <v>305</v>
      </c>
      <c r="C359" s="81">
        <v>2016</v>
      </c>
      <c r="D359" s="81">
        <v>120.16</v>
      </c>
      <c r="E359" s="81">
        <v>30.13</v>
      </c>
      <c r="F359" s="81">
        <v>2013</v>
      </c>
      <c r="G359" s="34">
        <v>714</v>
      </c>
      <c r="H359" s="34">
        <v>781.5</v>
      </c>
      <c r="I359" s="34">
        <v>25.7</v>
      </c>
      <c r="J359" s="29">
        <v>1.4</v>
      </c>
      <c r="K359" s="29">
        <v>38</v>
      </c>
      <c r="L359" s="29">
        <v>37</v>
      </c>
      <c r="M359" s="29">
        <v>25</v>
      </c>
      <c r="N359" s="34">
        <v>5.57</v>
      </c>
      <c r="O359" s="29">
        <v>12.16</v>
      </c>
      <c r="P359" s="34">
        <v>2.0499999999999998</v>
      </c>
      <c r="Q359" s="34">
        <f t="shared" si="26"/>
        <v>5.9317073170731716</v>
      </c>
      <c r="R359" s="34">
        <v>375</v>
      </c>
      <c r="S359" s="82">
        <v>0.63</v>
      </c>
      <c r="T359" s="34"/>
      <c r="U359" s="83">
        <f>(S359-S354)/R359</f>
        <v>1.3866666666666667E-3</v>
      </c>
      <c r="V359" s="83">
        <f t="shared" si="27"/>
        <v>0.13866666666666666</v>
      </c>
    </row>
    <row r="360" spans="1:22" x14ac:dyDescent="0.3">
      <c r="A360" s="5" t="s">
        <v>306</v>
      </c>
      <c r="B360" s="5" t="s">
        <v>307</v>
      </c>
      <c r="C360" s="5">
        <v>2016</v>
      </c>
      <c r="D360" s="5">
        <v>113.37</v>
      </c>
      <c r="E360" s="5">
        <v>28</v>
      </c>
      <c r="F360" s="5">
        <v>2011</v>
      </c>
      <c r="G360" s="29">
        <v>744</v>
      </c>
      <c r="H360" s="29">
        <v>624</v>
      </c>
      <c r="I360" s="29">
        <v>24.6</v>
      </c>
      <c r="J360" s="29">
        <v>1.1399999999999999</v>
      </c>
      <c r="K360" s="29">
        <v>31.714285709999999</v>
      </c>
      <c r="L360" s="29">
        <v>36.6122449</v>
      </c>
      <c r="M360" s="29">
        <v>31.673469390000001</v>
      </c>
      <c r="N360" s="29">
        <v>6.3</v>
      </c>
      <c r="O360" s="29">
        <v>18.485382830626449</v>
      </c>
      <c r="P360" s="29">
        <v>1.0900000000000001</v>
      </c>
      <c r="Q360" s="29">
        <f t="shared" si="26"/>
        <v>16.959066817088484</v>
      </c>
      <c r="R360" s="29">
        <v>0</v>
      </c>
      <c r="S360" s="79">
        <v>0.129</v>
      </c>
      <c r="T360" s="44">
        <f>AVERAGE(S360,S365,S370,S375,S380,S385)</f>
        <v>0.1225</v>
      </c>
      <c r="V360" s="80">
        <f t="shared" si="27"/>
        <v>0</v>
      </c>
    </row>
    <row r="361" spans="1:22" x14ac:dyDescent="0.3">
      <c r="A361" s="5" t="s">
        <v>306</v>
      </c>
      <c r="B361" s="5" t="s">
        <v>307</v>
      </c>
      <c r="C361" s="5">
        <v>2016</v>
      </c>
      <c r="D361" s="5">
        <v>113.37</v>
      </c>
      <c r="E361" s="5">
        <v>28</v>
      </c>
      <c r="F361" s="5">
        <v>2011</v>
      </c>
      <c r="G361" s="29">
        <v>744</v>
      </c>
      <c r="H361" s="29">
        <v>624</v>
      </c>
      <c r="I361" s="29">
        <v>24.6</v>
      </c>
      <c r="J361" s="29">
        <v>1.1399999999999999</v>
      </c>
      <c r="K361" s="29">
        <v>53</v>
      </c>
      <c r="L361" s="29">
        <v>28</v>
      </c>
      <c r="M361" s="29">
        <v>19</v>
      </c>
      <c r="N361" s="29">
        <v>6.3</v>
      </c>
      <c r="O361" s="29">
        <v>18.399999999999999</v>
      </c>
      <c r="P361" s="29">
        <v>1.0900000000000001</v>
      </c>
      <c r="Q361" s="29">
        <f t="shared" si="26"/>
        <v>16.880733944954127</v>
      </c>
      <c r="R361" s="29">
        <v>150</v>
      </c>
      <c r="S361" s="79">
        <v>0.248</v>
      </c>
      <c r="U361" s="80">
        <f>(S361-S360)/R361</f>
        <v>7.9333333333333328E-4</v>
      </c>
      <c r="V361" s="80">
        <f t="shared" si="27"/>
        <v>7.9333333333333325E-2</v>
      </c>
    </row>
    <row r="362" spans="1:22" x14ac:dyDescent="0.3">
      <c r="A362" s="5" t="s">
        <v>306</v>
      </c>
      <c r="B362" s="5" t="s">
        <v>307</v>
      </c>
      <c r="C362" s="5">
        <v>2016</v>
      </c>
      <c r="D362" s="5">
        <v>113.37</v>
      </c>
      <c r="E362" s="5">
        <v>28</v>
      </c>
      <c r="F362" s="5">
        <v>2011</v>
      </c>
      <c r="G362" s="29">
        <v>744</v>
      </c>
      <c r="H362" s="29">
        <v>624</v>
      </c>
      <c r="I362" s="29">
        <v>24.6</v>
      </c>
      <c r="J362" s="29">
        <v>1.1399999999999999</v>
      </c>
      <c r="K362" s="29">
        <v>53</v>
      </c>
      <c r="L362" s="29">
        <v>28</v>
      </c>
      <c r="M362" s="29">
        <v>19</v>
      </c>
      <c r="N362" s="29">
        <v>6.3</v>
      </c>
      <c r="O362" s="29">
        <v>18.399999999999999</v>
      </c>
      <c r="P362" s="29">
        <v>1.0900000000000001</v>
      </c>
      <c r="Q362" s="29">
        <f t="shared" si="26"/>
        <v>16.880733944954127</v>
      </c>
      <c r="R362" s="29">
        <v>120</v>
      </c>
      <c r="S362" s="79">
        <v>0.21199999999999999</v>
      </c>
      <c r="U362" s="80">
        <f>(S362-S360)/R362</f>
        <v>6.916666666666666E-4</v>
      </c>
      <c r="V362" s="80">
        <f t="shared" si="27"/>
        <v>6.9166666666666654E-2</v>
      </c>
    </row>
    <row r="363" spans="1:22" x14ac:dyDescent="0.3">
      <c r="A363" s="5" t="s">
        <v>306</v>
      </c>
      <c r="B363" s="5" t="s">
        <v>307</v>
      </c>
      <c r="C363" s="5">
        <v>2016</v>
      </c>
      <c r="D363" s="5">
        <v>113.37</v>
      </c>
      <c r="E363" s="5">
        <v>28</v>
      </c>
      <c r="F363" s="5">
        <v>2011</v>
      </c>
      <c r="G363" s="29">
        <v>744</v>
      </c>
      <c r="H363" s="29">
        <v>624</v>
      </c>
      <c r="I363" s="29">
        <v>24.6</v>
      </c>
      <c r="J363" s="29">
        <v>1.1399999999999999</v>
      </c>
      <c r="K363" s="29">
        <v>53</v>
      </c>
      <c r="L363" s="29">
        <v>28</v>
      </c>
      <c r="M363" s="29">
        <v>19</v>
      </c>
      <c r="N363" s="29">
        <v>6.3</v>
      </c>
      <c r="O363" s="29">
        <v>18.399999999999999</v>
      </c>
      <c r="P363" s="29">
        <v>1.0900000000000001</v>
      </c>
      <c r="Q363" s="29">
        <f t="shared" si="26"/>
        <v>16.880733944954127</v>
      </c>
      <c r="R363" s="29">
        <v>150</v>
      </c>
      <c r="S363" s="79">
        <v>0.21299999999999999</v>
      </c>
      <c r="U363" s="80">
        <f>(S363-S360)/R363</f>
        <v>5.5999999999999995E-4</v>
      </c>
      <c r="V363" s="80">
        <f t="shared" si="27"/>
        <v>5.5999999999999994E-2</v>
      </c>
    </row>
    <row r="364" spans="1:22" x14ac:dyDescent="0.3">
      <c r="A364" s="5" t="s">
        <v>306</v>
      </c>
      <c r="B364" s="5" t="s">
        <v>307</v>
      </c>
      <c r="C364" s="5">
        <v>2016</v>
      </c>
      <c r="D364" s="5">
        <v>113.37</v>
      </c>
      <c r="E364" s="5">
        <v>28</v>
      </c>
      <c r="F364" s="5">
        <v>2011</v>
      </c>
      <c r="G364" s="29">
        <v>744</v>
      </c>
      <c r="H364" s="29">
        <v>624</v>
      </c>
      <c r="I364" s="29">
        <v>24.6</v>
      </c>
      <c r="J364" s="29">
        <v>1.1399999999999999</v>
      </c>
      <c r="K364" s="29">
        <v>53</v>
      </c>
      <c r="L364" s="29">
        <v>28</v>
      </c>
      <c r="M364" s="29">
        <v>19</v>
      </c>
      <c r="N364" s="29">
        <v>6.3</v>
      </c>
      <c r="O364" s="29">
        <v>18.399999999999999</v>
      </c>
      <c r="P364" s="29">
        <v>1.0900000000000001</v>
      </c>
      <c r="Q364" s="29">
        <f t="shared" si="26"/>
        <v>16.880733944954127</v>
      </c>
      <c r="R364" s="29">
        <v>180</v>
      </c>
      <c r="S364" s="79">
        <v>0.30099999999999999</v>
      </c>
      <c r="U364" s="80">
        <f>(S364-S360)/R364</f>
        <v>9.5555555555555552E-4</v>
      </c>
      <c r="V364" s="80">
        <f t="shared" si="27"/>
        <v>9.5555555555555546E-2</v>
      </c>
    </row>
    <row r="365" spans="1:22" x14ac:dyDescent="0.3">
      <c r="A365" s="5" t="s">
        <v>306</v>
      </c>
      <c r="B365" s="5" t="s">
        <v>307</v>
      </c>
      <c r="C365" s="5">
        <v>2016</v>
      </c>
      <c r="D365" s="5">
        <v>113.37</v>
      </c>
      <c r="E365" s="5">
        <v>28</v>
      </c>
      <c r="F365" s="5">
        <v>2011</v>
      </c>
      <c r="G365" s="29">
        <v>744</v>
      </c>
      <c r="H365" s="29">
        <v>624</v>
      </c>
      <c r="I365" s="29">
        <v>24.6</v>
      </c>
      <c r="J365" s="29">
        <v>1.1399999999999999</v>
      </c>
      <c r="K365" s="29">
        <v>31.714285709999999</v>
      </c>
      <c r="L365" s="29">
        <v>36.6122449</v>
      </c>
      <c r="M365" s="29">
        <v>31.673469390000001</v>
      </c>
      <c r="N365" s="29">
        <v>6.3</v>
      </c>
      <c r="O365" s="29">
        <v>18.485382830626449</v>
      </c>
      <c r="P365" s="29">
        <v>1.0900000000000001</v>
      </c>
      <c r="Q365" s="29">
        <f t="shared" si="26"/>
        <v>16.959066817088484</v>
      </c>
      <c r="R365" s="29">
        <v>0</v>
      </c>
      <c r="S365" s="79">
        <v>0.183</v>
      </c>
      <c r="V365" s="80">
        <f t="shared" si="27"/>
        <v>0</v>
      </c>
    </row>
    <row r="366" spans="1:22" x14ac:dyDescent="0.3">
      <c r="A366" s="5" t="s">
        <v>306</v>
      </c>
      <c r="B366" s="5" t="s">
        <v>307</v>
      </c>
      <c r="C366" s="5">
        <v>2016</v>
      </c>
      <c r="D366" s="5">
        <v>113.37</v>
      </c>
      <c r="E366" s="5">
        <v>28</v>
      </c>
      <c r="F366" s="5">
        <v>2011</v>
      </c>
      <c r="G366" s="29">
        <v>744</v>
      </c>
      <c r="H366" s="29">
        <v>624</v>
      </c>
      <c r="I366" s="29">
        <v>24.6</v>
      </c>
      <c r="J366" s="29">
        <v>1.1399999999999999</v>
      </c>
      <c r="K366" s="29">
        <v>53</v>
      </c>
      <c r="L366" s="29">
        <v>28</v>
      </c>
      <c r="M366" s="29">
        <v>19</v>
      </c>
      <c r="N366" s="29">
        <v>6.3</v>
      </c>
      <c r="O366" s="29">
        <v>18.399999999999999</v>
      </c>
      <c r="P366" s="29">
        <v>1.0900000000000001</v>
      </c>
      <c r="Q366" s="29">
        <f t="shared" si="26"/>
        <v>16.880733944954127</v>
      </c>
      <c r="R366" s="29">
        <v>165</v>
      </c>
      <c r="S366" s="79">
        <v>0.441</v>
      </c>
      <c r="U366" s="80">
        <f>(S366-S365)/R366</f>
        <v>1.5636363636363636E-3</v>
      </c>
      <c r="V366" s="80">
        <f t="shared" si="27"/>
        <v>0.15636363636363637</v>
      </c>
    </row>
    <row r="367" spans="1:22" x14ac:dyDescent="0.3">
      <c r="A367" s="5" t="s">
        <v>306</v>
      </c>
      <c r="B367" s="5" t="s">
        <v>307</v>
      </c>
      <c r="C367" s="5">
        <v>2016</v>
      </c>
      <c r="D367" s="5">
        <v>113.37</v>
      </c>
      <c r="E367" s="5">
        <v>28</v>
      </c>
      <c r="F367" s="5">
        <v>2011</v>
      </c>
      <c r="G367" s="29">
        <v>744</v>
      </c>
      <c r="H367" s="29">
        <v>624</v>
      </c>
      <c r="I367" s="29">
        <v>24.6</v>
      </c>
      <c r="J367" s="29">
        <v>1.1399999999999999</v>
      </c>
      <c r="K367" s="29">
        <v>53</v>
      </c>
      <c r="L367" s="29">
        <v>28</v>
      </c>
      <c r="M367" s="29">
        <v>19</v>
      </c>
      <c r="N367" s="29">
        <v>6.3</v>
      </c>
      <c r="O367" s="29">
        <v>18.399999999999999</v>
      </c>
      <c r="P367" s="29">
        <v>1.0900000000000001</v>
      </c>
      <c r="Q367" s="29">
        <f t="shared" si="26"/>
        <v>16.880733944954127</v>
      </c>
      <c r="R367" s="29">
        <v>135</v>
      </c>
      <c r="S367" s="79">
        <v>0.33900000000000002</v>
      </c>
      <c r="U367" s="80">
        <f>(S367-S365)/R367</f>
        <v>1.1555555555555557E-3</v>
      </c>
      <c r="V367" s="80">
        <f t="shared" si="27"/>
        <v>0.11555555555555558</v>
      </c>
    </row>
    <row r="368" spans="1:22" x14ac:dyDescent="0.3">
      <c r="A368" s="5" t="s">
        <v>306</v>
      </c>
      <c r="B368" s="5" t="s">
        <v>307</v>
      </c>
      <c r="C368" s="5">
        <v>2016</v>
      </c>
      <c r="D368" s="5">
        <v>113.37</v>
      </c>
      <c r="E368" s="5">
        <v>28</v>
      </c>
      <c r="F368" s="5">
        <v>2011</v>
      </c>
      <c r="G368" s="29">
        <v>744</v>
      </c>
      <c r="H368" s="29">
        <v>624</v>
      </c>
      <c r="I368" s="29">
        <v>24.6</v>
      </c>
      <c r="J368" s="29">
        <v>1.1399999999999999</v>
      </c>
      <c r="K368" s="29">
        <v>53</v>
      </c>
      <c r="L368" s="29">
        <v>28</v>
      </c>
      <c r="M368" s="29">
        <v>19</v>
      </c>
      <c r="N368" s="29">
        <v>6.3</v>
      </c>
      <c r="O368" s="29">
        <v>18.399999999999999</v>
      </c>
      <c r="P368" s="29">
        <v>1.0900000000000001</v>
      </c>
      <c r="Q368" s="29">
        <f t="shared" si="26"/>
        <v>16.880733944954127</v>
      </c>
      <c r="R368" s="29">
        <v>165</v>
      </c>
      <c r="S368" s="79">
        <v>0.64</v>
      </c>
      <c r="U368" s="80">
        <f>(S368-S365)/R368</f>
        <v>2.7696969696969697E-3</v>
      </c>
      <c r="V368" s="80">
        <f t="shared" si="27"/>
        <v>0.27696969696969698</v>
      </c>
    </row>
    <row r="369" spans="1:22" x14ac:dyDescent="0.3">
      <c r="A369" s="5" t="s">
        <v>306</v>
      </c>
      <c r="B369" s="5" t="s">
        <v>307</v>
      </c>
      <c r="C369" s="5">
        <v>2016</v>
      </c>
      <c r="D369" s="5">
        <v>113.37</v>
      </c>
      <c r="E369" s="5">
        <v>28</v>
      </c>
      <c r="F369" s="5">
        <v>2011</v>
      </c>
      <c r="G369" s="29">
        <v>744</v>
      </c>
      <c r="H369" s="29">
        <v>624</v>
      </c>
      <c r="I369" s="29">
        <v>24.6</v>
      </c>
      <c r="J369" s="29">
        <v>1.1399999999999999</v>
      </c>
      <c r="K369" s="29">
        <v>53</v>
      </c>
      <c r="L369" s="29">
        <v>28</v>
      </c>
      <c r="M369" s="29">
        <v>19</v>
      </c>
      <c r="N369" s="29">
        <v>6.3</v>
      </c>
      <c r="O369" s="29">
        <v>18.399999999999999</v>
      </c>
      <c r="P369" s="29">
        <v>1.0900000000000001</v>
      </c>
      <c r="Q369" s="29">
        <f t="shared" si="26"/>
        <v>16.880733944954127</v>
      </c>
      <c r="R369" s="29">
        <v>195</v>
      </c>
      <c r="S369" s="79">
        <v>0.627</v>
      </c>
      <c r="U369" s="80">
        <f>(S369-S365)/R369</f>
        <v>2.276923076923077E-3</v>
      </c>
      <c r="V369" s="80">
        <f t="shared" si="27"/>
        <v>0.22769230769230769</v>
      </c>
    </row>
    <row r="370" spans="1:22" x14ac:dyDescent="0.3">
      <c r="A370" s="5" t="s">
        <v>306</v>
      </c>
      <c r="B370" s="5" t="s">
        <v>307</v>
      </c>
      <c r="C370" s="5">
        <v>2016</v>
      </c>
      <c r="D370" s="5">
        <v>113.37</v>
      </c>
      <c r="E370" s="5">
        <v>28</v>
      </c>
      <c r="F370" s="5">
        <v>2012</v>
      </c>
      <c r="G370" s="29">
        <v>1050</v>
      </c>
      <c r="H370" s="29">
        <v>438</v>
      </c>
      <c r="I370" s="29">
        <v>25.9</v>
      </c>
      <c r="J370" s="29">
        <v>1.1399999999999999</v>
      </c>
      <c r="K370" s="29">
        <v>31.714285709999999</v>
      </c>
      <c r="L370" s="29">
        <v>36.6122449</v>
      </c>
      <c r="M370" s="29">
        <v>31.673469390000001</v>
      </c>
      <c r="N370" s="29">
        <v>6.3</v>
      </c>
      <c r="O370" s="29">
        <v>18.485382830626449</v>
      </c>
      <c r="P370" s="29">
        <v>1.0900000000000001</v>
      </c>
      <c r="Q370" s="29">
        <f t="shared" si="26"/>
        <v>16.959066817088484</v>
      </c>
      <c r="R370" s="29">
        <v>0</v>
      </c>
      <c r="S370" s="79">
        <v>7.5999999999999998E-2</v>
      </c>
      <c r="V370" s="80">
        <f t="shared" si="27"/>
        <v>0</v>
      </c>
    </row>
    <row r="371" spans="1:22" x14ac:dyDescent="0.3">
      <c r="A371" s="5" t="s">
        <v>306</v>
      </c>
      <c r="B371" s="5" t="s">
        <v>307</v>
      </c>
      <c r="C371" s="5">
        <v>2016</v>
      </c>
      <c r="D371" s="5">
        <v>113.37</v>
      </c>
      <c r="E371" s="5">
        <v>28</v>
      </c>
      <c r="F371" s="5">
        <v>2012</v>
      </c>
      <c r="G371" s="29">
        <v>1050</v>
      </c>
      <c r="H371" s="29">
        <v>438</v>
      </c>
      <c r="I371" s="29">
        <v>25.9</v>
      </c>
      <c r="J371" s="29">
        <v>1.1399999999999999</v>
      </c>
      <c r="K371" s="29">
        <v>53</v>
      </c>
      <c r="L371" s="29">
        <v>28</v>
      </c>
      <c r="M371" s="29">
        <v>19</v>
      </c>
      <c r="N371" s="29">
        <v>6.3</v>
      </c>
      <c r="O371" s="29">
        <v>18.399999999999999</v>
      </c>
      <c r="P371" s="29">
        <v>1.0900000000000001</v>
      </c>
      <c r="Q371" s="29">
        <f t="shared" si="26"/>
        <v>16.880733944954127</v>
      </c>
      <c r="R371" s="29">
        <v>150</v>
      </c>
      <c r="S371" s="79">
        <v>0.14399999999999999</v>
      </c>
      <c r="U371" s="80">
        <f>(S371-S370)/R371</f>
        <v>4.5333333333333326E-4</v>
      </c>
      <c r="V371" s="80">
        <f t="shared" si="27"/>
        <v>4.5333333333333323E-2</v>
      </c>
    </row>
    <row r="372" spans="1:22" x14ac:dyDescent="0.3">
      <c r="A372" s="5" t="s">
        <v>306</v>
      </c>
      <c r="B372" s="5" t="s">
        <v>307</v>
      </c>
      <c r="C372" s="5">
        <v>2016</v>
      </c>
      <c r="D372" s="5">
        <v>113.37</v>
      </c>
      <c r="E372" s="5">
        <v>28</v>
      </c>
      <c r="F372" s="5">
        <v>2012</v>
      </c>
      <c r="G372" s="29">
        <v>1050</v>
      </c>
      <c r="H372" s="29">
        <v>438</v>
      </c>
      <c r="I372" s="29">
        <v>25.9</v>
      </c>
      <c r="J372" s="29">
        <v>1.1399999999999999</v>
      </c>
      <c r="K372" s="29">
        <v>53</v>
      </c>
      <c r="L372" s="29">
        <v>28</v>
      </c>
      <c r="M372" s="29">
        <v>19</v>
      </c>
      <c r="N372" s="29">
        <v>6.3</v>
      </c>
      <c r="O372" s="29">
        <v>18.399999999999999</v>
      </c>
      <c r="P372" s="29">
        <v>1.0900000000000001</v>
      </c>
      <c r="Q372" s="29">
        <f t="shared" si="26"/>
        <v>16.880733944954127</v>
      </c>
      <c r="R372" s="29">
        <v>120</v>
      </c>
      <c r="S372" s="79">
        <v>0.14699999999999999</v>
      </c>
      <c r="U372" s="80">
        <f>(S372-S370)/R372</f>
        <v>5.9166666666666666E-4</v>
      </c>
      <c r="V372" s="80">
        <f t="shared" si="27"/>
        <v>5.9166666666666666E-2</v>
      </c>
    </row>
    <row r="373" spans="1:22" x14ac:dyDescent="0.3">
      <c r="A373" s="5" t="s">
        <v>306</v>
      </c>
      <c r="B373" s="5" t="s">
        <v>307</v>
      </c>
      <c r="C373" s="5">
        <v>2016</v>
      </c>
      <c r="D373" s="5">
        <v>113.37</v>
      </c>
      <c r="E373" s="5">
        <v>28</v>
      </c>
      <c r="F373" s="5">
        <v>2012</v>
      </c>
      <c r="G373" s="29">
        <v>1050</v>
      </c>
      <c r="H373" s="29">
        <v>438</v>
      </c>
      <c r="I373" s="29">
        <v>25.9</v>
      </c>
      <c r="J373" s="29">
        <v>1.1399999999999999</v>
      </c>
      <c r="K373" s="29">
        <v>53</v>
      </c>
      <c r="L373" s="29">
        <v>28</v>
      </c>
      <c r="M373" s="29">
        <v>19</v>
      </c>
      <c r="N373" s="29">
        <v>6.3</v>
      </c>
      <c r="O373" s="29">
        <v>18.399999999999999</v>
      </c>
      <c r="P373" s="29">
        <v>1.0900000000000001</v>
      </c>
      <c r="Q373" s="29">
        <f t="shared" si="26"/>
        <v>16.880733944954127</v>
      </c>
      <c r="R373" s="29">
        <v>150</v>
      </c>
      <c r="S373" s="79">
        <v>0.187</v>
      </c>
      <c r="U373" s="80">
        <f>(S373-S370)/R373</f>
        <v>7.3999999999999999E-4</v>
      </c>
      <c r="V373" s="80">
        <f t="shared" si="27"/>
        <v>7.3999999999999996E-2</v>
      </c>
    </row>
    <row r="374" spans="1:22" x14ac:dyDescent="0.3">
      <c r="A374" s="5" t="s">
        <v>306</v>
      </c>
      <c r="B374" s="5" t="s">
        <v>307</v>
      </c>
      <c r="C374" s="5">
        <v>2016</v>
      </c>
      <c r="D374" s="5">
        <v>113.37</v>
      </c>
      <c r="E374" s="5">
        <v>28</v>
      </c>
      <c r="F374" s="5">
        <v>2012</v>
      </c>
      <c r="G374" s="29">
        <v>1050</v>
      </c>
      <c r="H374" s="29">
        <v>438</v>
      </c>
      <c r="I374" s="29">
        <v>25.9</v>
      </c>
      <c r="J374" s="29">
        <v>1.1399999999999999</v>
      </c>
      <c r="K374" s="29">
        <v>53</v>
      </c>
      <c r="L374" s="29">
        <v>28</v>
      </c>
      <c r="M374" s="29">
        <v>19</v>
      </c>
      <c r="N374" s="29">
        <v>6.3</v>
      </c>
      <c r="O374" s="29">
        <v>18.399999999999999</v>
      </c>
      <c r="P374" s="29">
        <v>1.0900000000000001</v>
      </c>
      <c r="Q374" s="29">
        <f t="shared" si="26"/>
        <v>16.880733944954127</v>
      </c>
      <c r="R374" s="29">
        <v>180</v>
      </c>
      <c r="S374" s="79">
        <v>0.20799999999999999</v>
      </c>
      <c r="U374" s="80">
        <f>(S374-S370)/R374</f>
        <v>7.3333333333333334E-4</v>
      </c>
      <c r="V374" s="80">
        <f t="shared" si="27"/>
        <v>7.3333333333333334E-2</v>
      </c>
    </row>
    <row r="375" spans="1:22" x14ac:dyDescent="0.3">
      <c r="A375" s="5" t="s">
        <v>306</v>
      </c>
      <c r="B375" s="5" t="s">
        <v>307</v>
      </c>
      <c r="C375" s="5">
        <v>2016</v>
      </c>
      <c r="D375" s="5">
        <v>113.37</v>
      </c>
      <c r="E375" s="5">
        <v>28</v>
      </c>
      <c r="F375" s="5">
        <v>2012</v>
      </c>
      <c r="G375" s="29">
        <v>1050</v>
      </c>
      <c r="H375" s="29">
        <v>438</v>
      </c>
      <c r="I375" s="29">
        <v>25.9</v>
      </c>
      <c r="J375" s="29">
        <v>1.1399999999999999</v>
      </c>
      <c r="K375" s="29">
        <v>31.714285709999999</v>
      </c>
      <c r="L375" s="29">
        <v>36.6122449</v>
      </c>
      <c r="M375" s="29">
        <v>31.673469390000001</v>
      </c>
      <c r="N375" s="29">
        <v>6.3</v>
      </c>
      <c r="O375" s="29">
        <v>18.485382830626449</v>
      </c>
      <c r="P375" s="29">
        <v>1.0900000000000001</v>
      </c>
      <c r="Q375" s="29">
        <f t="shared" si="26"/>
        <v>16.959066817088484</v>
      </c>
      <c r="R375" s="29">
        <v>0</v>
      </c>
      <c r="S375" s="79">
        <v>0.161</v>
      </c>
      <c r="V375" s="80">
        <f t="shared" si="27"/>
        <v>0</v>
      </c>
    </row>
    <row r="376" spans="1:22" x14ac:dyDescent="0.3">
      <c r="A376" s="5" t="s">
        <v>306</v>
      </c>
      <c r="B376" s="5" t="s">
        <v>307</v>
      </c>
      <c r="C376" s="5">
        <v>2016</v>
      </c>
      <c r="D376" s="5">
        <v>113.37</v>
      </c>
      <c r="E376" s="5">
        <v>28</v>
      </c>
      <c r="F376" s="5">
        <v>2012</v>
      </c>
      <c r="G376" s="29">
        <v>1050</v>
      </c>
      <c r="H376" s="29">
        <v>438</v>
      </c>
      <c r="I376" s="29">
        <v>25.9</v>
      </c>
      <c r="J376" s="29">
        <v>1.1399999999999999</v>
      </c>
      <c r="K376" s="29">
        <v>53</v>
      </c>
      <c r="L376" s="29">
        <v>28</v>
      </c>
      <c r="M376" s="29">
        <v>19</v>
      </c>
      <c r="N376" s="29">
        <v>6.3</v>
      </c>
      <c r="O376" s="29">
        <v>18.399999999999999</v>
      </c>
      <c r="P376" s="29">
        <v>1.0900000000000001</v>
      </c>
      <c r="Q376" s="29">
        <f t="shared" si="26"/>
        <v>16.880733944954127</v>
      </c>
      <c r="R376" s="29">
        <v>165</v>
      </c>
      <c r="S376" s="79">
        <v>0.442</v>
      </c>
      <c r="U376" s="80">
        <f>(S376-S375)/R376</f>
        <v>1.7030303030303032E-3</v>
      </c>
      <c r="V376" s="80">
        <f t="shared" si="27"/>
        <v>0.17030303030303032</v>
      </c>
    </row>
    <row r="377" spans="1:22" x14ac:dyDescent="0.3">
      <c r="A377" s="5" t="s">
        <v>306</v>
      </c>
      <c r="B377" s="5" t="s">
        <v>307</v>
      </c>
      <c r="C377" s="5">
        <v>2016</v>
      </c>
      <c r="D377" s="5">
        <v>113.37</v>
      </c>
      <c r="E377" s="5">
        <v>28</v>
      </c>
      <c r="F377" s="5">
        <v>2012</v>
      </c>
      <c r="G377" s="29">
        <v>1050</v>
      </c>
      <c r="H377" s="29">
        <v>438</v>
      </c>
      <c r="I377" s="29">
        <v>25.9</v>
      </c>
      <c r="J377" s="29">
        <v>1.1399999999999999</v>
      </c>
      <c r="K377" s="29">
        <v>53</v>
      </c>
      <c r="L377" s="29">
        <v>28</v>
      </c>
      <c r="M377" s="29">
        <v>19</v>
      </c>
      <c r="N377" s="29">
        <v>6.3</v>
      </c>
      <c r="O377" s="29">
        <v>18.399999999999999</v>
      </c>
      <c r="P377" s="29">
        <v>1.0900000000000001</v>
      </c>
      <c r="Q377" s="29">
        <f t="shared" si="26"/>
        <v>16.880733944954127</v>
      </c>
      <c r="R377" s="29">
        <v>135</v>
      </c>
      <c r="S377" s="79">
        <v>0.371</v>
      </c>
      <c r="U377" s="80">
        <f>(S377-S375)/R377</f>
        <v>1.5555555555555555E-3</v>
      </c>
      <c r="V377" s="80">
        <f t="shared" si="27"/>
        <v>0.15555555555555556</v>
      </c>
    </row>
    <row r="378" spans="1:22" x14ac:dyDescent="0.3">
      <c r="A378" s="5" t="s">
        <v>306</v>
      </c>
      <c r="B378" s="5" t="s">
        <v>307</v>
      </c>
      <c r="C378" s="5">
        <v>2016</v>
      </c>
      <c r="D378" s="5">
        <v>113.37</v>
      </c>
      <c r="E378" s="5">
        <v>28</v>
      </c>
      <c r="F378" s="5">
        <v>2012</v>
      </c>
      <c r="G378" s="29">
        <v>1050</v>
      </c>
      <c r="H378" s="29">
        <v>438</v>
      </c>
      <c r="I378" s="29">
        <v>25.9</v>
      </c>
      <c r="J378" s="29">
        <v>1.1399999999999999</v>
      </c>
      <c r="K378" s="29">
        <v>53</v>
      </c>
      <c r="L378" s="29">
        <v>28</v>
      </c>
      <c r="M378" s="29">
        <v>19</v>
      </c>
      <c r="N378" s="29">
        <v>6.3</v>
      </c>
      <c r="O378" s="29">
        <v>18.399999999999999</v>
      </c>
      <c r="P378" s="29">
        <v>1.0900000000000001</v>
      </c>
      <c r="Q378" s="29">
        <f t="shared" si="26"/>
        <v>16.880733944954127</v>
      </c>
      <c r="R378" s="29">
        <v>165</v>
      </c>
      <c r="S378" s="79">
        <v>0.625</v>
      </c>
      <c r="U378" s="80">
        <f>(S378-S375)/R378</f>
        <v>2.812121212121212E-3</v>
      </c>
      <c r="V378" s="80">
        <f t="shared" si="27"/>
        <v>0.28121212121212119</v>
      </c>
    </row>
    <row r="379" spans="1:22" x14ac:dyDescent="0.3">
      <c r="A379" s="5" t="s">
        <v>306</v>
      </c>
      <c r="B379" s="5" t="s">
        <v>307</v>
      </c>
      <c r="C379" s="5">
        <v>2016</v>
      </c>
      <c r="D379" s="5">
        <v>113.37</v>
      </c>
      <c r="E379" s="5">
        <v>28</v>
      </c>
      <c r="F379" s="5">
        <v>2012</v>
      </c>
      <c r="G379" s="29">
        <v>1050</v>
      </c>
      <c r="H379" s="29">
        <v>438</v>
      </c>
      <c r="I379" s="29">
        <v>25.9</v>
      </c>
      <c r="J379" s="29">
        <v>1.1399999999999999</v>
      </c>
      <c r="K379" s="29">
        <v>53</v>
      </c>
      <c r="L379" s="29">
        <v>28</v>
      </c>
      <c r="M379" s="29">
        <v>19</v>
      </c>
      <c r="N379" s="29">
        <v>6.3</v>
      </c>
      <c r="O379" s="29">
        <v>18.399999999999999</v>
      </c>
      <c r="P379" s="29">
        <v>1.0900000000000001</v>
      </c>
      <c r="Q379" s="29">
        <f t="shared" si="26"/>
        <v>16.880733944954127</v>
      </c>
      <c r="R379" s="29">
        <v>195</v>
      </c>
      <c r="S379" s="79">
        <v>0.71799999999999997</v>
      </c>
      <c r="U379" s="80">
        <f>(S379-S375)/R379</f>
        <v>2.8564102564102561E-3</v>
      </c>
      <c r="V379" s="80">
        <f t="shared" si="27"/>
        <v>0.28564102564102561</v>
      </c>
    </row>
    <row r="380" spans="1:22" x14ac:dyDescent="0.3">
      <c r="A380" s="5" t="s">
        <v>306</v>
      </c>
      <c r="B380" s="5" t="s">
        <v>307</v>
      </c>
      <c r="C380" s="5">
        <v>2016</v>
      </c>
      <c r="D380" s="5">
        <v>113.37</v>
      </c>
      <c r="E380" s="5">
        <v>28</v>
      </c>
      <c r="F380" s="5">
        <v>2013</v>
      </c>
      <c r="G380" s="29">
        <v>832.5</v>
      </c>
      <c r="H380" s="29">
        <v>624</v>
      </c>
      <c r="I380" s="29">
        <v>26.76</v>
      </c>
      <c r="J380" s="29">
        <v>1.1399999999999999</v>
      </c>
      <c r="K380" s="29">
        <v>31.714285709999999</v>
      </c>
      <c r="L380" s="29">
        <v>36.6122449</v>
      </c>
      <c r="M380" s="29">
        <v>31.673469390000001</v>
      </c>
      <c r="N380" s="29">
        <v>6.3</v>
      </c>
      <c r="O380" s="29">
        <v>18.485382830626449</v>
      </c>
      <c r="P380" s="29">
        <v>1.0900000000000001</v>
      </c>
      <c r="Q380" s="29">
        <f t="shared" si="26"/>
        <v>16.959066817088484</v>
      </c>
      <c r="R380" s="29">
        <v>0</v>
      </c>
      <c r="S380" s="79">
        <v>9.8000000000000004E-2</v>
      </c>
      <c r="V380" s="80">
        <f t="shared" si="27"/>
        <v>0</v>
      </c>
    </row>
    <row r="381" spans="1:22" x14ac:dyDescent="0.3">
      <c r="A381" s="5" t="s">
        <v>306</v>
      </c>
      <c r="B381" s="5" t="s">
        <v>307</v>
      </c>
      <c r="C381" s="5">
        <v>2016</v>
      </c>
      <c r="D381" s="5">
        <v>113.37</v>
      </c>
      <c r="E381" s="5">
        <v>28</v>
      </c>
      <c r="F381" s="5">
        <v>2013</v>
      </c>
      <c r="G381" s="29">
        <v>832.5</v>
      </c>
      <c r="H381" s="29">
        <v>624</v>
      </c>
      <c r="I381" s="29">
        <v>26.76</v>
      </c>
      <c r="J381" s="29">
        <v>1.1399999999999999</v>
      </c>
      <c r="K381" s="29">
        <v>53</v>
      </c>
      <c r="L381" s="29">
        <v>28</v>
      </c>
      <c r="M381" s="29">
        <v>19</v>
      </c>
      <c r="N381" s="29">
        <v>6.3</v>
      </c>
      <c r="O381" s="29">
        <v>18.399999999999999</v>
      </c>
      <c r="P381" s="29">
        <v>1.0900000000000001</v>
      </c>
      <c r="Q381" s="29">
        <f t="shared" si="26"/>
        <v>16.880733944954127</v>
      </c>
      <c r="R381" s="29">
        <v>150</v>
      </c>
      <c r="S381" s="79">
        <v>0.157</v>
      </c>
      <c r="U381" s="80">
        <f>(S381-S380)/R381</f>
        <v>3.9333333333333332E-4</v>
      </c>
      <c r="V381" s="80">
        <f t="shared" si="27"/>
        <v>3.9333333333333331E-2</v>
      </c>
    </row>
    <row r="382" spans="1:22" x14ac:dyDescent="0.3">
      <c r="A382" s="5" t="s">
        <v>306</v>
      </c>
      <c r="B382" s="5" t="s">
        <v>307</v>
      </c>
      <c r="C382" s="5">
        <v>2016</v>
      </c>
      <c r="D382" s="5">
        <v>113.37</v>
      </c>
      <c r="E382" s="5">
        <v>28</v>
      </c>
      <c r="F382" s="5">
        <v>2013</v>
      </c>
      <c r="G382" s="29">
        <v>832.5</v>
      </c>
      <c r="H382" s="29">
        <v>624</v>
      </c>
      <c r="I382" s="29">
        <v>26.76</v>
      </c>
      <c r="J382" s="29">
        <v>1.1399999999999999</v>
      </c>
      <c r="K382" s="29">
        <v>53</v>
      </c>
      <c r="L382" s="29">
        <v>28</v>
      </c>
      <c r="M382" s="29">
        <v>19</v>
      </c>
      <c r="N382" s="29">
        <v>6.3</v>
      </c>
      <c r="O382" s="29">
        <v>18.399999999999999</v>
      </c>
      <c r="P382" s="29">
        <v>1.0900000000000001</v>
      </c>
      <c r="Q382" s="29">
        <f t="shared" si="26"/>
        <v>16.880733944954127</v>
      </c>
      <c r="R382" s="29">
        <v>120</v>
      </c>
      <c r="S382" s="79">
        <v>0.16800000000000001</v>
      </c>
      <c r="U382" s="80">
        <f>(S382-S380)/R382</f>
        <v>5.8333333333333338E-4</v>
      </c>
      <c r="V382" s="80">
        <f t="shared" si="27"/>
        <v>5.8333333333333341E-2</v>
      </c>
    </row>
    <row r="383" spans="1:22" x14ac:dyDescent="0.3">
      <c r="A383" s="5" t="s">
        <v>306</v>
      </c>
      <c r="B383" s="5" t="s">
        <v>307</v>
      </c>
      <c r="C383" s="5">
        <v>2016</v>
      </c>
      <c r="D383" s="5">
        <v>113.37</v>
      </c>
      <c r="E383" s="5">
        <v>28</v>
      </c>
      <c r="F383" s="5">
        <v>2013</v>
      </c>
      <c r="G383" s="29">
        <v>832.5</v>
      </c>
      <c r="H383" s="29">
        <v>624</v>
      </c>
      <c r="I383" s="29">
        <v>26.76</v>
      </c>
      <c r="J383" s="29">
        <v>1.1399999999999999</v>
      </c>
      <c r="K383" s="29">
        <v>53</v>
      </c>
      <c r="L383" s="29">
        <v>28</v>
      </c>
      <c r="M383" s="29">
        <v>19</v>
      </c>
      <c r="N383" s="29">
        <v>6.3</v>
      </c>
      <c r="O383" s="29">
        <v>18.399999999999999</v>
      </c>
      <c r="P383" s="29">
        <v>1.0900000000000001</v>
      </c>
      <c r="Q383" s="29">
        <f t="shared" si="26"/>
        <v>16.880733944954127</v>
      </c>
      <c r="R383" s="29">
        <v>150</v>
      </c>
      <c r="S383" s="79">
        <v>0.215</v>
      </c>
      <c r="U383" s="80">
        <f>(S383-S380)/R383</f>
        <v>7.7999999999999999E-4</v>
      </c>
      <c r="V383" s="80">
        <f t="shared" si="27"/>
        <v>7.8E-2</v>
      </c>
    </row>
    <row r="384" spans="1:22" x14ac:dyDescent="0.3">
      <c r="A384" s="5" t="s">
        <v>306</v>
      </c>
      <c r="B384" s="5" t="s">
        <v>307</v>
      </c>
      <c r="C384" s="5">
        <v>2016</v>
      </c>
      <c r="D384" s="5">
        <v>113.37</v>
      </c>
      <c r="E384" s="5">
        <v>28</v>
      </c>
      <c r="F384" s="5">
        <v>2013</v>
      </c>
      <c r="G384" s="29">
        <v>832.5</v>
      </c>
      <c r="H384" s="29">
        <v>624</v>
      </c>
      <c r="I384" s="29">
        <v>26.76</v>
      </c>
      <c r="J384" s="29">
        <v>1.1399999999999999</v>
      </c>
      <c r="K384" s="29">
        <v>53</v>
      </c>
      <c r="L384" s="29">
        <v>28</v>
      </c>
      <c r="M384" s="29">
        <v>19</v>
      </c>
      <c r="N384" s="29">
        <v>6.3</v>
      </c>
      <c r="O384" s="29">
        <v>18.399999999999999</v>
      </c>
      <c r="P384" s="29">
        <v>1.0900000000000001</v>
      </c>
      <c r="Q384" s="29">
        <f t="shared" si="26"/>
        <v>16.880733944954127</v>
      </c>
      <c r="R384" s="29">
        <v>180</v>
      </c>
      <c r="S384" s="79">
        <v>0.22</v>
      </c>
      <c r="U384" s="80">
        <f>(S384-S380)/R384</f>
        <v>6.777777777777778E-4</v>
      </c>
      <c r="V384" s="80">
        <f t="shared" si="27"/>
        <v>6.7777777777777784E-2</v>
      </c>
    </row>
    <row r="385" spans="1:22" x14ac:dyDescent="0.3">
      <c r="A385" s="5" t="s">
        <v>306</v>
      </c>
      <c r="B385" s="5" t="s">
        <v>307</v>
      </c>
      <c r="C385" s="5">
        <v>2016</v>
      </c>
      <c r="D385" s="5">
        <v>113.37</v>
      </c>
      <c r="E385" s="5">
        <v>28</v>
      </c>
      <c r="F385" s="5">
        <v>2013</v>
      </c>
      <c r="G385" s="29">
        <v>832.5</v>
      </c>
      <c r="H385" s="29">
        <v>624</v>
      </c>
      <c r="I385" s="29">
        <v>26.76</v>
      </c>
      <c r="J385" s="29">
        <v>1.1399999999999999</v>
      </c>
      <c r="K385" s="29">
        <v>31.714285709999999</v>
      </c>
      <c r="L385" s="29">
        <v>36.6122449</v>
      </c>
      <c r="M385" s="29">
        <v>31.673469390000001</v>
      </c>
      <c r="N385" s="29">
        <v>6.3</v>
      </c>
      <c r="O385" s="29">
        <v>18.485382830626449</v>
      </c>
      <c r="P385" s="29">
        <v>1.0900000000000001</v>
      </c>
      <c r="Q385" s="29">
        <f t="shared" si="26"/>
        <v>16.959066817088484</v>
      </c>
      <c r="R385" s="29">
        <v>0</v>
      </c>
      <c r="S385" s="79">
        <v>8.7999999999999995E-2</v>
      </c>
      <c r="V385" s="80">
        <f t="shared" si="27"/>
        <v>0</v>
      </c>
    </row>
    <row r="386" spans="1:22" x14ac:dyDescent="0.3">
      <c r="A386" s="5" t="s">
        <v>306</v>
      </c>
      <c r="B386" s="5" t="s">
        <v>307</v>
      </c>
      <c r="C386" s="5">
        <v>2016</v>
      </c>
      <c r="D386" s="5">
        <v>113.37</v>
      </c>
      <c r="E386" s="5">
        <v>28</v>
      </c>
      <c r="F386" s="5">
        <v>2013</v>
      </c>
      <c r="G386" s="29">
        <v>832.5</v>
      </c>
      <c r="H386" s="29">
        <v>624</v>
      </c>
      <c r="I386" s="29">
        <v>26.76</v>
      </c>
      <c r="J386" s="29">
        <v>1.1399999999999999</v>
      </c>
      <c r="K386" s="29">
        <v>53</v>
      </c>
      <c r="L386" s="29">
        <v>28</v>
      </c>
      <c r="M386" s="29">
        <v>19</v>
      </c>
      <c r="N386" s="29">
        <v>6.3</v>
      </c>
      <c r="O386" s="29">
        <v>18.399999999999999</v>
      </c>
      <c r="P386" s="29">
        <v>1.0900000000000001</v>
      </c>
      <c r="Q386" s="29">
        <f t="shared" si="26"/>
        <v>16.880733944954127</v>
      </c>
      <c r="R386" s="29">
        <v>165</v>
      </c>
      <c r="S386" s="79">
        <v>0.373</v>
      </c>
      <c r="U386" s="80">
        <f>(S386-S385)/R386</f>
        <v>1.7272727272727275E-3</v>
      </c>
      <c r="V386" s="80">
        <f t="shared" si="27"/>
        <v>0.17272727272727276</v>
      </c>
    </row>
    <row r="387" spans="1:22" x14ac:dyDescent="0.3">
      <c r="A387" s="5" t="s">
        <v>306</v>
      </c>
      <c r="B387" s="5" t="s">
        <v>307</v>
      </c>
      <c r="C387" s="5">
        <v>2016</v>
      </c>
      <c r="D387" s="5">
        <v>113.37</v>
      </c>
      <c r="E387" s="5">
        <v>28</v>
      </c>
      <c r="F387" s="5">
        <v>2013</v>
      </c>
      <c r="G387" s="29">
        <v>832.5</v>
      </c>
      <c r="H387" s="29">
        <v>624</v>
      </c>
      <c r="I387" s="29">
        <v>26.76</v>
      </c>
      <c r="J387" s="29">
        <v>1.1399999999999999</v>
      </c>
      <c r="K387" s="29">
        <v>53</v>
      </c>
      <c r="L387" s="29">
        <v>28</v>
      </c>
      <c r="M387" s="29">
        <v>19</v>
      </c>
      <c r="N387" s="29">
        <v>6.3</v>
      </c>
      <c r="O387" s="29">
        <v>18.399999999999999</v>
      </c>
      <c r="P387" s="29">
        <v>1.0900000000000001</v>
      </c>
      <c r="Q387" s="29">
        <f t="shared" si="26"/>
        <v>16.880733944954127</v>
      </c>
      <c r="R387" s="29">
        <v>135</v>
      </c>
      <c r="S387" s="79">
        <v>0.13600000000000001</v>
      </c>
      <c r="U387" s="80">
        <f>(S387-S385)/R387</f>
        <v>3.5555555555555568E-4</v>
      </c>
      <c r="V387" s="80">
        <f t="shared" si="27"/>
        <v>3.5555555555555569E-2</v>
      </c>
    </row>
    <row r="388" spans="1:22" x14ac:dyDescent="0.3">
      <c r="A388" s="5" t="s">
        <v>306</v>
      </c>
      <c r="B388" s="5" t="s">
        <v>307</v>
      </c>
      <c r="C388" s="5">
        <v>2016</v>
      </c>
      <c r="D388" s="5">
        <v>113.37</v>
      </c>
      <c r="E388" s="5">
        <v>28</v>
      </c>
      <c r="F388" s="5">
        <v>2013</v>
      </c>
      <c r="G388" s="29">
        <v>832.5</v>
      </c>
      <c r="H388" s="29">
        <v>624</v>
      </c>
      <c r="I388" s="29">
        <v>26.76</v>
      </c>
      <c r="J388" s="29">
        <v>1.1399999999999999</v>
      </c>
      <c r="K388" s="29">
        <v>53</v>
      </c>
      <c r="L388" s="29">
        <v>28</v>
      </c>
      <c r="M388" s="29">
        <v>19</v>
      </c>
      <c r="N388" s="29">
        <v>6.3</v>
      </c>
      <c r="O388" s="29">
        <v>18.399999999999999</v>
      </c>
      <c r="P388" s="29">
        <v>1.0900000000000001</v>
      </c>
      <c r="Q388" s="29">
        <f t="shared" si="26"/>
        <v>16.880733944954127</v>
      </c>
      <c r="R388" s="29">
        <v>165</v>
      </c>
      <c r="S388" s="79">
        <v>0.38800000000000001</v>
      </c>
      <c r="U388" s="80">
        <f>(S388-S385)/R388</f>
        <v>1.8181818181818184E-3</v>
      </c>
      <c r="V388" s="80">
        <f t="shared" si="27"/>
        <v>0.18181818181818185</v>
      </c>
    </row>
    <row r="389" spans="1:22" x14ac:dyDescent="0.3">
      <c r="A389" s="81" t="s">
        <v>306</v>
      </c>
      <c r="B389" s="81" t="s">
        <v>307</v>
      </c>
      <c r="C389" s="81">
        <v>2016</v>
      </c>
      <c r="D389" s="81">
        <v>113.37</v>
      </c>
      <c r="E389" s="81">
        <v>28</v>
      </c>
      <c r="F389" s="81">
        <v>2013</v>
      </c>
      <c r="G389" s="34">
        <v>832.5</v>
      </c>
      <c r="H389" s="34">
        <v>624</v>
      </c>
      <c r="I389" s="34">
        <v>26.76</v>
      </c>
      <c r="J389" s="34">
        <v>1.1399999999999999</v>
      </c>
      <c r="K389" s="29">
        <v>53</v>
      </c>
      <c r="L389" s="29">
        <v>28</v>
      </c>
      <c r="M389" s="29">
        <v>19</v>
      </c>
      <c r="N389" s="34">
        <v>6.3</v>
      </c>
      <c r="O389" s="29">
        <v>18.399999999999999</v>
      </c>
      <c r="P389" s="34">
        <v>1.0900000000000001</v>
      </c>
      <c r="Q389" s="34">
        <f t="shared" si="26"/>
        <v>16.880733944954127</v>
      </c>
      <c r="R389" s="34">
        <v>195</v>
      </c>
      <c r="S389" s="82">
        <v>0.4</v>
      </c>
      <c r="T389" s="34"/>
      <c r="U389" s="83">
        <f>(S389-S385)/R389</f>
        <v>1.6000000000000003E-3</v>
      </c>
      <c r="V389" s="83">
        <f t="shared" si="27"/>
        <v>0.16000000000000003</v>
      </c>
    </row>
    <row r="390" spans="1:22" x14ac:dyDescent="0.3">
      <c r="A390" s="5" t="s">
        <v>308</v>
      </c>
      <c r="B390" s="5" t="s">
        <v>309</v>
      </c>
      <c r="C390" s="5">
        <v>2016</v>
      </c>
      <c r="D390" s="5">
        <v>115.55</v>
      </c>
      <c r="E390" s="5">
        <v>29.85</v>
      </c>
      <c r="F390" s="5">
        <v>2014</v>
      </c>
      <c r="G390" s="29">
        <v>1036.5</v>
      </c>
      <c r="H390" s="29">
        <v>792</v>
      </c>
      <c r="I390" s="29">
        <v>25.7</v>
      </c>
      <c r="J390" s="29">
        <v>1.2914285700000001</v>
      </c>
      <c r="K390" s="29">
        <v>23</v>
      </c>
      <c r="L390" s="29">
        <v>35.785714290000001</v>
      </c>
      <c r="M390" s="29">
        <v>34.071428570000002</v>
      </c>
      <c r="N390" s="29">
        <v>5.18</v>
      </c>
      <c r="O390" s="29">
        <v>24.18169373549884</v>
      </c>
      <c r="P390" s="29">
        <v>2.39</v>
      </c>
      <c r="Q390" s="29">
        <f t="shared" si="26"/>
        <v>10.117863487656418</v>
      </c>
      <c r="R390" s="29">
        <v>0</v>
      </c>
      <c r="S390" s="79">
        <v>0.17</v>
      </c>
      <c r="T390" s="44">
        <f>AVERAGE(S390,S395)</f>
        <v>0.38</v>
      </c>
      <c r="V390" s="80">
        <f t="shared" si="27"/>
        <v>0</v>
      </c>
    </row>
    <row r="391" spans="1:22" x14ac:dyDescent="0.3">
      <c r="A391" s="5" t="s">
        <v>308</v>
      </c>
      <c r="B391" s="5" t="s">
        <v>309</v>
      </c>
      <c r="C391" s="5">
        <v>2016</v>
      </c>
      <c r="D391" s="5">
        <v>115.55</v>
      </c>
      <c r="E391" s="5">
        <v>29.85</v>
      </c>
      <c r="F391" s="5">
        <v>2014</v>
      </c>
      <c r="G391" s="29">
        <v>1036.5</v>
      </c>
      <c r="H391" s="29">
        <v>792</v>
      </c>
      <c r="I391" s="29">
        <v>25.7</v>
      </c>
      <c r="J391" s="29">
        <v>1.42</v>
      </c>
      <c r="K391" s="29">
        <v>39</v>
      </c>
      <c r="L391" s="29">
        <v>40</v>
      </c>
      <c r="M391" s="29">
        <v>21</v>
      </c>
      <c r="N391" s="29">
        <v>5.18</v>
      </c>
      <c r="O391" s="29">
        <v>24.07</v>
      </c>
      <c r="P391" s="29">
        <v>2.39</v>
      </c>
      <c r="Q391" s="29">
        <f t="shared" si="26"/>
        <v>10.07112970711297</v>
      </c>
      <c r="R391" s="29">
        <v>180</v>
      </c>
      <c r="S391" s="79">
        <v>0.79</v>
      </c>
      <c r="U391" s="80">
        <f>(S391-S390)/R391</f>
        <v>3.4444444444444444E-3</v>
      </c>
      <c r="V391" s="80">
        <f t="shared" si="27"/>
        <v>0.34444444444444444</v>
      </c>
    </row>
    <row r="392" spans="1:22" x14ac:dyDescent="0.3">
      <c r="A392" s="5" t="s">
        <v>308</v>
      </c>
      <c r="B392" s="5" t="s">
        <v>309</v>
      </c>
      <c r="C392" s="5">
        <v>2016</v>
      </c>
      <c r="D392" s="5">
        <v>115.55</v>
      </c>
      <c r="E392" s="5">
        <v>29.85</v>
      </c>
      <c r="F392" s="5">
        <v>2014</v>
      </c>
      <c r="G392" s="29">
        <v>1036.5</v>
      </c>
      <c r="H392" s="29">
        <v>792</v>
      </c>
      <c r="I392" s="29">
        <v>25.7</v>
      </c>
      <c r="J392" s="29">
        <v>1.42</v>
      </c>
      <c r="K392" s="29">
        <v>39</v>
      </c>
      <c r="L392" s="29">
        <v>40</v>
      </c>
      <c r="M392" s="29">
        <v>21</v>
      </c>
      <c r="N392" s="29">
        <v>5.18</v>
      </c>
      <c r="O392" s="29">
        <v>24.07</v>
      </c>
      <c r="P392" s="29">
        <v>2.39</v>
      </c>
      <c r="Q392" s="29">
        <f t="shared" si="26"/>
        <v>10.07112970711297</v>
      </c>
      <c r="R392" s="29">
        <v>180</v>
      </c>
      <c r="S392" s="79">
        <v>1.21</v>
      </c>
      <c r="U392" s="80">
        <f>(S392-S390)/R392</f>
        <v>5.7777777777777784E-3</v>
      </c>
      <c r="V392" s="80">
        <f t="shared" si="27"/>
        <v>0.57777777777777783</v>
      </c>
    </row>
    <row r="393" spans="1:22" x14ac:dyDescent="0.3">
      <c r="A393" s="5" t="s">
        <v>308</v>
      </c>
      <c r="B393" s="5" t="s">
        <v>309</v>
      </c>
      <c r="C393" s="5">
        <v>2016</v>
      </c>
      <c r="D393" s="5">
        <v>115.55</v>
      </c>
      <c r="E393" s="5">
        <v>29.85</v>
      </c>
      <c r="F393" s="5">
        <v>2014</v>
      </c>
      <c r="G393" s="29">
        <v>1036.5</v>
      </c>
      <c r="H393" s="29">
        <v>792</v>
      </c>
      <c r="I393" s="29">
        <v>25.7</v>
      </c>
      <c r="J393" s="29">
        <v>1.42</v>
      </c>
      <c r="K393" s="29">
        <v>39</v>
      </c>
      <c r="L393" s="29">
        <v>40</v>
      </c>
      <c r="M393" s="29">
        <v>21</v>
      </c>
      <c r="N393" s="29">
        <v>5.18</v>
      </c>
      <c r="O393" s="29">
        <v>24.07</v>
      </c>
      <c r="P393" s="29">
        <v>2.39</v>
      </c>
      <c r="Q393" s="29">
        <f t="shared" si="26"/>
        <v>10.07112970711297</v>
      </c>
      <c r="R393" s="29">
        <v>180</v>
      </c>
      <c r="S393" s="79">
        <v>0.69</v>
      </c>
      <c r="U393" s="80">
        <f>(S393-S390)/R393</f>
        <v>2.8888888888888883E-3</v>
      </c>
      <c r="V393" s="80">
        <f t="shared" si="27"/>
        <v>0.28888888888888881</v>
      </c>
    </row>
    <row r="394" spans="1:22" x14ac:dyDescent="0.3">
      <c r="A394" s="5" t="s">
        <v>308</v>
      </c>
      <c r="B394" s="5" t="s">
        <v>309</v>
      </c>
      <c r="C394" s="5">
        <v>2016</v>
      </c>
      <c r="D394" s="5">
        <v>115.55</v>
      </c>
      <c r="E394" s="5">
        <v>29.85</v>
      </c>
      <c r="F394" s="5">
        <v>2014</v>
      </c>
      <c r="G394" s="29">
        <v>1036.5</v>
      </c>
      <c r="H394" s="29">
        <v>792</v>
      </c>
      <c r="I394" s="29">
        <v>25.7</v>
      </c>
      <c r="J394" s="29">
        <v>1.42</v>
      </c>
      <c r="K394" s="29">
        <v>39</v>
      </c>
      <c r="L394" s="29">
        <v>40</v>
      </c>
      <c r="M394" s="29">
        <v>21</v>
      </c>
      <c r="N394" s="29">
        <v>5.18</v>
      </c>
      <c r="O394" s="29">
        <v>24.07</v>
      </c>
      <c r="P394" s="29">
        <v>2.39</v>
      </c>
      <c r="Q394" s="29">
        <f t="shared" si="26"/>
        <v>10.07112970711297</v>
      </c>
      <c r="R394" s="29">
        <v>180</v>
      </c>
      <c r="S394" s="79">
        <v>0.75</v>
      </c>
      <c r="U394" s="80">
        <f>(S394-S390)/R394</f>
        <v>3.2222222222222218E-3</v>
      </c>
      <c r="V394" s="80">
        <f t="shared" si="27"/>
        <v>0.32222222222222219</v>
      </c>
    </row>
    <row r="395" spans="1:22" x14ac:dyDescent="0.3">
      <c r="A395" s="5" t="s">
        <v>308</v>
      </c>
      <c r="B395" s="5" t="s">
        <v>309</v>
      </c>
      <c r="C395" s="5">
        <v>2016</v>
      </c>
      <c r="D395" s="5">
        <v>115.55</v>
      </c>
      <c r="E395" s="5">
        <v>29.85</v>
      </c>
      <c r="F395" s="5">
        <v>2014</v>
      </c>
      <c r="G395" s="29">
        <v>1036.5</v>
      </c>
      <c r="H395" s="29">
        <v>792</v>
      </c>
      <c r="I395" s="29">
        <v>25.7</v>
      </c>
      <c r="J395" s="29">
        <v>1.2914285700000001</v>
      </c>
      <c r="K395" s="29">
        <v>23</v>
      </c>
      <c r="L395" s="29">
        <v>35.785714290000001</v>
      </c>
      <c r="M395" s="29">
        <v>34.071428570000002</v>
      </c>
      <c r="N395" s="29">
        <v>5.18</v>
      </c>
      <c r="O395" s="29">
        <v>24.18169373549884</v>
      </c>
      <c r="P395" s="29">
        <v>2.39</v>
      </c>
      <c r="Q395" s="29">
        <f t="shared" si="26"/>
        <v>10.117863487656418</v>
      </c>
      <c r="R395" s="29">
        <v>0</v>
      </c>
      <c r="S395" s="79">
        <v>0.59</v>
      </c>
      <c r="V395" s="80">
        <f t="shared" si="27"/>
        <v>0</v>
      </c>
    </row>
    <row r="396" spans="1:22" x14ac:dyDescent="0.3">
      <c r="A396" s="5" t="s">
        <v>308</v>
      </c>
      <c r="B396" s="5" t="s">
        <v>309</v>
      </c>
      <c r="C396" s="5">
        <v>2016</v>
      </c>
      <c r="D396" s="5">
        <v>115.55</v>
      </c>
      <c r="E396" s="5">
        <v>29.85</v>
      </c>
      <c r="F396" s="5">
        <v>2014</v>
      </c>
      <c r="G396" s="29">
        <v>1036.5</v>
      </c>
      <c r="H396" s="29">
        <v>792</v>
      </c>
      <c r="I396" s="29">
        <v>25.7</v>
      </c>
      <c r="J396" s="29">
        <v>1.42</v>
      </c>
      <c r="K396" s="29">
        <v>39</v>
      </c>
      <c r="L396" s="29">
        <v>40</v>
      </c>
      <c r="M396" s="29">
        <v>21</v>
      </c>
      <c r="N396" s="29">
        <v>5.18</v>
      </c>
      <c r="O396" s="29">
        <v>24.07</v>
      </c>
      <c r="P396" s="29">
        <v>2.39</v>
      </c>
      <c r="Q396" s="29">
        <f t="shared" si="26"/>
        <v>10.07112970711297</v>
      </c>
      <c r="R396" s="29">
        <v>180</v>
      </c>
      <c r="S396" s="79">
        <v>1.22</v>
      </c>
      <c r="U396" s="80">
        <f>(S396-S395)/R396</f>
        <v>3.5000000000000001E-3</v>
      </c>
      <c r="V396" s="80">
        <f t="shared" si="27"/>
        <v>0.35000000000000003</v>
      </c>
    </row>
    <row r="397" spans="1:22" x14ac:dyDescent="0.3">
      <c r="A397" s="5" t="s">
        <v>308</v>
      </c>
      <c r="B397" s="5" t="s">
        <v>309</v>
      </c>
      <c r="C397" s="5">
        <v>2016</v>
      </c>
      <c r="D397" s="5">
        <v>115.55</v>
      </c>
      <c r="E397" s="5">
        <v>29.85</v>
      </c>
      <c r="F397" s="5">
        <v>2014</v>
      </c>
      <c r="G397" s="29">
        <v>1036.5</v>
      </c>
      <c r="H397" s="29">
        <v>792</v>
      </c>
      <c r="I397" s="29">
        <v>25.7</v>
      </c>
      <c r="J397" s="29">
        <v>1.42</v>
      </c>
      <c r="K397" s="29">
        <v>39</v>
      </c>
      <c r="L397" s="29">
        <v>40</v>
      </c>
      <c r="M397" s="29">
        <v>21</v>
      </c>
      <c r="N397" s="29">
        <v>5.18</v>
      </c>
      <c r="O397" s="29">
        <v>24.07</v>
      </c>
      <c r="P397" s="29">
        <v>2.39</v>
      </c>
      <c r="Q397" s="29">
        <f t="shared" si="26"/>
        <v>10.07112970711297</v>
      </c>
      <c r="R397" s="29">
        <v>180</v>
      </c>
      <c r="S397" s="79">
        <v>1.46</v>
      </c>
      <c r="U397" s="80">
        <f>(S397-S395)/R397</f>
        <v>4.8333333333333336E-3</v>
      </c>
      <c r="V397" s="80">
        <f t="shared" si="27"/>
        <v>0.48333333333333334</v>
      </c>
    </row>
    <row r="398" spans="1:22" x14ac:dyDescent="0.3">
      <c r="A398" s="5" t="s">
        <v>308</v>
      </c>
      <c r="B398" s="5" t="s">
        <v>309</v>
      </c>
      <c r="C398" s="5">
        <v>2016</v>
      </c>
      <c r="D398" s="5">
        <v>115.55</v>
      </c>
      <c r="E398" s="5">
        <v>29.85</v>
      </c>
      <c r="F398" s="5">
        <v>2014</v>
      </c>
      <c r="G398" s="29">
        <v>1036.5</v>
      </c>
      <c r="H398" s="29">
        <v>792</v>
      </c>
      <c r="I398" s="29">
        <v>25.7</v>
      </c>
      <c r="J398" s="29">
        <v>1.42</v>
      </c>
      <c r="K398" s="29">
        <v>39</v>
      </c>
      <c r="L398" s="29">
        <v>40</v>
      </c>
      <c r="M398" s="29">
        <v>21</v>
      </c>
      <c r="N398" s="29">
        <v>5.18</v>
      </c>
      <c r="O398" s="29">
        <v>24.07</v>
      </c>
      <c r="P398" s="29">
        <v>2.39</v>
      </c>
      <c r="Q398" s="29">
        <f t="shared" si="26"/>
        <v>10.07112970711297</v>
      </c>
      <c r="R398" s="29">
        <v>180</v>
      </c>
      <c r="S398" s="79">
        <v>1.01</v>
      </c>
      <c r="U398" s="80">
        <f>(S398-S395)/R398</f>
        <v>2.3333333333333335E-3</v>
      </c>
      <c r="V398" s="80">
        <f t="shared" si="27"/>
        <v>0.23333333333333336</v>
      </c>
    </row>
    <row r="399" spans="1:22" x14ac:dyDescent="0.3">
      <c r="A399" s="81" t="s">
        <v>308</v>
      </c>
      <c r="B399" s="81" t="s">
        <v>309</v>
      </c>
      <c r="C399" s="81">
        <v>2016</v>
      </c>
      <c r="D399" s="81">
        <v>115.55</v>
      </c>
      <c r="E399" s="81">
        <v>29.85</v>
      </c>
      <c r="F399" s="81">
        <v>2014</v>
      </c>
      <c r="G399" s="34">
        <v>1036.5</v>
      </c>
      <c r="H399" s="34">
        <v>792</v>
      </c>
      <c r="I399" s="34">
        <v>25.7</v>
      </c>
      <c r="J399" s="29">
        <v>1.42</v>
      </c>
      <c r="K399" s="29">
        <v>39</v>
      </c>
      <c r="L399" s="29">
        <v>40</v>
      </c>
      <c r="M399" s="29">
        <v>21</v>
      </c>
      <c r="N399" s="34">
        <v>5.18</v>
      </c>
      <c r="O399" s="29">
        <v>24.07</v>
      </c>
      <c r="P399" s="34">
        <v>2.39</v>
      </c>
      <c r="Q399" s="34">
        <f t="shared" si="26"/>
        <v>10.07112970711297</v>
      </c>
      <c r="R399" s="34">
        <v>180</v>
      </c>
      <c r="S399" s="82">
        <v>1.1299999999999999</v>
      </c>
      <c r="T399" s="34"/>
      <c r="U399" s="83">
        <f>(S399-S395)/R399</f>
        <v>2.9999999999999996E-3</v>
      </c>
      <c r="V399" s="83">
        <f t="shared" si="27"/>
        <v>0.3</v>
      </c>
    </row>
    <row r="400" spans="1:22" x14ac:dyDescent="0.3">
      <c r="A400" s="5" t="s">
        <v>310</v>
      </c>
      <c r="B400" s="5" t="s">
        <v>311</v>
      </c>
      <c r="C400" s="5">
        <v>2016</v>
      </c>
      <c r="D400" s="5">
        <v>112.15</v>
      </c>
      <c r="E400" s="5">
        <v>30.35</v>
      </c>
      <c r="F400" s="5">
        <v>2013</v>
      </c>
      <c r="G400" s="29">
        <v>762</v>
      </c>
      <c r="H400" s="29">
        <v>843</v>
      </c>
      <c r="I400" s="29">
        <v>25.85</v>
      </c>
      <c r="J400" s="29">
        <v>1.4199999800000001</v>
      </c>
      <c r="K400" s="29">
        <v>21</v>
      </c>
      <c r="L400" s="29">
        <v>42.6</v>
      </c>
      <c r="M400" s="29">
        <v>36.4</v>
      </c>
      <c r="N400" s="29">
        <v>8.11</v>
      </c>
      <c r="O400" s="29">
        <v>9.5707656612529011</v>
      </c>
      <c r="P400" s="29">
        <v>1.4</v>
      </c>
      <c r="Q400" s="29">
        <f t="shared" ref="Q400:Q419" si="28">O400/P400</f>
        <v>6.8362611866092156</v>
      </c>
      <c r="R400" s="29">
        <v>0</v>
      </c>
      <c r="S400" s="79">
        <v>0.2959090909090909</v>
      </c>
      <c r="T400" s="44">
        <f>S400</f>
        <v>0.2959090909090909</v>
      </c>
      <c r="V400" s="80">
        <f t="shared" ref="V400:V419" si="29">U400*100</f>
        <v>0</v>
      </c>
    </row>
    <row r="401" spans="1:22" x14ac:dyDescent="0.3">
      <c r="A401" s="5" t="s">
        <v>310</v>
      </c>
      <c r="B401" s="5" t="s">
        <v>311</v>
      </c>
      <c r="C401" s="5">
        <v>2016</v>
      </c>
      <c r="D401" s="5">
        <v>112.15</v>
      </c>
      <c r="E401" s="5">
        <v>30.35</v>
      </c>
      <c r="F401" s="5">
        <v>2013</v>
      </c>
      <c r="G401" s="29">
        <v>762</v>
      </c>
      <c r="H401" s="29">
        <v>843</v>
      </c>
      <c r="I401" s="29">
        <v>25.85</v>
      </c>
      <c r="J401" s="29">
        <v>1.4199999800000001</v>
      </c>
      <c r="K401" s="29">
        <v>37</v>
      </c>
      <c r="L401" s="29">
        <v>42</v>
      </c>
      <c r="M401" s="29">
        <v>21</v>
      </c>
      <c r="N401" s="29">
        <v>8.11</v>
      </c>
      <c r="O401" s="29">
        <v>9.5707656612529011</v>
      </c>
      <c r="P401" s="29">
        <v>1.4</v>
      </c>
      <c r="Q401" s="29">
        <f t="shared" si="28"/>
        <v>6.8362611866092156</v>
      </c>
      <c r="R401" s="29">
        <v>90</v>
      </c>
      <c r="S401" s="79">
        <v>0.37354545454545451</v>
      </c>
      <c r="U401" s="80">
        <f>(S401-S400)/R401</f>
        <v>8.6262626262626233E-4</v>
      </c>
      <c r="V401" s="80">
        <f t="shared" si="29"/>
        <v>8.6262626262626235E-2</v>
      </c>
    </row>
    <row r="402" spans="1:22" x14ac:dyDescent="0.3">
      <c r="A402" s="5" t="s">
        <v>310</v>
      </c>
      <c r="B402" s="5" t="s">
        <v>311</v>
      </c>
      <c r="C402" s="5">
        <v>2016</v>
      </c>
      <c r="D402" s="5">
        <v>112.15</v>
      </c>
      <c r="E402" s="5">
        <v>30.35</v>
      </c>
      <c r="F402" s="5">
        <v>2013</v>
      </c>
      <c r="G402" s="29">
        <v>762</v>
      </c>
      <c r="H402" s="29">
        <v>843</v>
      </c>
      <c r="I402" s="29">
        <v>25.85</v>
      </c>
      <c r="J402" s="29">
        <v>1.4199999800000001</v>
      </c>
      <c r="K402" s="29">
        <v>37</v>
      </c>
      <c r="L402" s="29">
        <v>42</v>
      </c>
      <c r="M402" s="29">
        <v>21</v>
      </c>
      <c r="N402" s="29">
        <v>8.11</v>
      </c>
      <c r="O402" s="29">
        <v>9.5707656612529011</v>
      </c>
      <c r="P402" s="29">
        <v>1.4</v>
      </c>
      <c r="Q402" s="29">
        <f t="shared" si="28"/>
        <v>6.8362611866092156</v>
      </c>
      <c r="R402" s="29">
        <v>150</v>
      </c>
      <c r="S402" s="79">
        <v>0.39772727272727271</v>
      </c>
      <c r="U402" s="80">
        <f>(S402-S400)/R402</f>
        <v>6.7878787878787876E-4</v>
      </c>
      <c r="V402" s="80">
        <f t="shared" si="29"/>
        <v>6.7878787878787872E-2</v>
      </c>
    </row>
    <row r="403" spans="1:22" x14ac:dyDescent="0.3">
      <c r="A403" s="81" t="s">
        <v>310</v>
      </c>
      <c r="B403" s="81" t="s">
        <v>311</v>
      </c>
      <c r="C403" s="81">
        <v>2016</v>
      </c>
      <c r="D403" s="81">
        <v>112.15</v>
      </c>
      <c r="E403" s="81">
        <v>30.35</v>
      </c>
      <c r="F403" s="81">
        <v>2013</v>
      </c>
      <c r="G403" s="34">
        <v>762</v>
      </c>
      <c r="H403" s="34">
        <v>843</v>
      </c>
      <c r="I403" s="34">
        <v>25.85</v>
      </c>
      <c r="J403" s="34">
        <v>1.4199999800000001</v>
      </c>
      <c r="K403" s="29">
        <v>37</v>
      </c>
      <c r="L403" s="29">
        <v>42</v>
      </c>
      <c r="M403" s="29">
        <v>21</v>
      </c>
      <c r="N403" s="34">
        <v>8.11</v>
      </c>
      <c r="O403" s="34">
        <v>9.5707656612529011</v>
      </c>
      <c r="P403" s="34">
        <v>1.4</v>
      </c>
      <c r="Q403" s="34">
        <f t="shared" si="28"/>
        <v>6.8362611866092156</v>
      </c>
      <c r="R403" s="34">
        <v>210</v>
      </c>
      <c r="S403" s="82">
        <v>0.40154545454545454</v>
      </c>
      <c r="T403" s="34"/>
      <c r="U403" s="83">
        <f>(S403-S400)/R403</f>
        <v>5.0303030303030301E-4</v>
      </c>
      <c r="V403" s="83">
        <f t="shared" si="29"/>
        <v>5.0303030303030301E-2</v>
      </c>
    </row>
    <row r="404" spans="1:22" x14ac:dyDescent="0.3">
      <c r="A404" s="5" t="s">
        <v>312</v>
      </c>
      <c r="B404" s="5" t="s">
        <v>313</v>
      </c>
      <c r="C404" s="5">
        <v>2016</v>
      </c>
      <c r="D404" s="5">
        <v>125.75</v>
      </c>
      <c r="E404" s="5">
        <v>45.63</v>
      </c>
      <c r="F404" s="5">
        <v>2014</v>
      </c>
      <c r="G404" s="29">
        <v>360</v>
      </c>
      <c r="H404" s="29">
        <v>715.5</v>
      </c>
      <c r="I404" s="29">
        <v>18.5</v>
      </c>
      <c r="J404" s="29">
        <v>1.01</v>
      </c>
      <c r="K404" s="29">
        <v>28</v>
      </c>
      <c r="L404" s="29">
        <v>46</v>
      </c>
      <c r="M404" s="29">
        <v>26</v>
      </c>
      <c r="N404" s="29">
        <v>6.4</v>
      </c>
      <c r="O404" s="29">
        <v>24.013921113689094</v>
      </c>
      <c r="P404" s="29">
        <v>1.5</v>
      </c>
      <c r="Q404" s="29">
        <f t="shared" si="28"/>
        <v>16.009280742459396</v>
      </c>
      <c r="R404" s="29">
        <v>135</v>
      </c>
      <c r="S404" s="79">
        <v>0.23545454545454547</v>
      </c>
      <c r="T404" s="44">
        <f>AVERAGE(S407,S411,S415)</f>
        <v>0.11878787878787879</v>
      </c>
      <c r="U404" s="80">
        <f>(S404-S407)/R404</f>
        <v>6.5993265993266007E-4</v>
      </c>
      <c r="V404" s="80">
        <f t="shared" si="29"/>
        <v>6.5993265993266007E-2</v>
      </c>
    </row>
    <row r="405" spans="1:22" x14ac:dyDescent="0.3">
      <c r="A405" s="5" t="s">
        <v>312</v>
      </c>
      <c r="B405" s="5" t="s">
        <v>313</v>
      </c>
      <c r="C405" s="5">
        <v>2016</v>
      </c>
      <c r="D405" s="5">
        <v>125.75</v>
      </c>
      <c r="E405" s="5">
        <v>45.63</v>
      </c>
      <c r="F405" s="5">
        <v>2014</v>
      </c>
      <c r="G405" s="29">
        <v>360</v>
      </c>
      <c r="H405" s="29">
        <v>715.5</v>
      </c>
      <c r="I405" s="29">
        <v>18.5</v>
      </c>
      <c r="J405" s="29">
        <v>1.01</v>
      </c>
      <c r="K405" s="29">
        <v>28</v>
      </c>
      <c r="L405" s="29">
        <v>46</v>
      </c>
      <c r="M405" s="29">
        <v>26</v>
      </c>
      <c r="N405" s="29">
        <v>6.4</v>
      </c>
      <c r="O405" s="29">
        <v>24.013921113689094</v>
      </c>
      <c r="P405" s="29">
        <v>1.5</v>
      </c>
      <c r="Q405" s="29">
        <f t="shared" si="28"/>
        <v>16.009280742459396</v>
      </c>
      <c r="R405" s="29">
        <v>105</v>
      </c>
      <c r="S405" s="79">
        <v>0.22272727272727272</v>
      </c>
      <c r="U405" s="80">
        <f>(S405-S407)/R405</f>
        <v>7.2727272727272723E-4</v>
      </c>
      <c r="V405" s="80">
        <f t="shared" si="29"/>
        <v>7.2727272727272724E-2</v>
      </c>
    </row>
    <row r="406" spans="1:22" x14ac:dyDescent="0.3">
      <c r="A406" s="5" t="s">
        <v>312</v>
      </c>
      <c r="B406" s="5" t="s">
        <v>313</v>
      </c>
      <c r="C406" s="5">
        <v>2016</v>
      </c>
      <c r="D406" s="5">
        <v>125.75</v>
      </c>
      <c r="E406" s="5">
        <v>45.63</v>
      </c>
      <c r="F406" s="5">
        <v>2014</v>
      </c>
      <c r="G406" s="29">
        <v>360</v>
      </c>
      <c r="H406" s="29">
        <v>715.5</v>
      </c>
      <c r="I406" s="29">
        <v>18.5</v>
      </c>
      <c r="J406" s="29">
        <v>1.01</v>
      </c>
      <c r="K406" s="29">
        <v>28</v>
      </c>
      <c r="L406" s="29">
        <v>46</v>
      </c>
      <c r="M406" s="29">
        <v>26</v>
      </c>
      <c r="N406" s="29">
        <v>6.4</v>
      </c>
      <c r="O406" s="29">
        <v>24.013921113689094</v>
      </c>
      <c r="P406" s="29">
        <v>1.5</v>
      </c>
      <c r="Q406" s="29">
        <f t="shared" si="28"/>
        <v>16.009280742459396</v>
      </c>
      <c r="R406" s="29">
        <v>75</v>
      </c>
      <c r="S406" s="79">
        <v>0.15909090909090909</v>
      </c>
      <c r="U406" s="80">
        <f>(S406-S407)/R406</f>
        <v>1.6969696969696969E-4</v>
      </c>
      <c r="V406" s="80">
        <f t="shared" si="29"/>
        <v>1.6969696969696968E-2</v>
      </c>
    </row>
    <row r="407" spans="1:22" x14ac:dyDescent="0.3">
      <c r="A407" s="5" t="s">
        <v>312</v>
      </c>
      <c r="B407" s="5" t="s">
        <v>313</v>
      </c>
      <c r="C407" s="5">
        <v>2016</v>
      </c>
      <c r="D407" s="5">
        <v>125.75</v>
      </c>
      <c r="E407" s="5">
        <v>45.63</v>
      </c>
      <c r="F407" s="5">
        <v>2014</v>
      </c>
      <c r="G407" s="29">
        <v>360</v>
      </c>
      <c r="H407" s="29">
        <v>715.5</v>
      </c>
      <c r="I407" s="29">
        <v>18.5</v>
      </c>
      <c r="J407" s="29">
        <v>1</v>
      </c>
      <c r="K407" s="29">
        <v>24.5</v>
      </c>
      <c r="L407" s="29">
        <v>37.119047620000003</v>
      </c>
      <c r="M407" s="29">
        <v>38.380952379999997</v>
      </c>
      <c r="N407" s="29">
        <v>6.4</v>
      </c>
      <c r="O407" s="29">
        <v>24.013921113689094</v>
      </c>
      <c r="P407" s="29">
        <v>1.5</v>
      </c>
      <c r="Q407" s="29">
        <f t="shared" si="28"/>
        <v>16.009280742459396</v>
      </c>
      <c r="R407" s="29">
        <v>0</v>
      </c>
      <c r="S407" s="79">
        <v>0.14636363636363636</v>
      </c>
      <c r="V407" s="80">
        <f t="shared" si="29"/>
        <v>0</v>
      </c>
    </row>
    <row r="408" spans="1:22" x14ac:dyDescent="0.3">
      <c r="A408" s="5" t="s">
        <v>312</v>
      </c>
      <c r="B408" s="5" t="s">
        <v>313</v>
      </c>
      <c r="C408" s="5">
        <v>2016</v>
      </c>
      <c r="D408" s="5">
        <v>125.75</v>
      </c>
      <c r="E408" s="5">
        <v>45.63</v>
      </c>
      <c r="F408" s="5">
        <v>2014</v>
      </c>
      <c r="G408" s="29">
        <v>360</v>
      </c>
      <c r="H408" s="29">
        <v>715.5</v>
      </c>
      <c r="I408" s="29">
        <v>18.5</v>
      </c>
      <c r="J408" s="29">
        <v>1.01</v>
      </c>
      <c r="K408" s="29">
        <v>28</v>
      </c>
      <c r="L408" s="29">
        <v>46</v>
      </c>
      <c r="M408" s="29">
        <v>26</v>
      </c>
      <c r="N408" s="29">
        <v>6.4</v>
      </c>
      <c r="O408" s="29">
        <v>24.013921113689094</v>
      </c>
      <c r="P408" s="29">
        <v>1.5</v>
      </c>
      <c r="Q408" s="29">
        <f t="shared" si="28"/>
        <v>16.009280742459396</v>
      </c>
      <c r="R408" s="29">
        <v>135</v>
      </c>
      <c r="S408" s="79">
        <v>0.26090909090909087</v>
      </c>
      <c r="U408" s="80">
        <f>(S408-S411)/R408</f>
        <v>1.0370370370370366E-3</v>
      </c>
      <c r="V408" s="80">
        <f t="shared" si="29"/>
        <v>0.10370370370370366</v>
      </c>
    </row>
    <row r="409" spans="1:22" x14ac:dyDescent="0.3">
      <c r="A409" s="5" t="s">
        <v>312</v>
      </c>
      <c r="B409" s="5" t="s">
        <v>313</v>
      </c>
      <c r="C409" s="5">
        <v>2016</v>
      </c>
      <c r="D409" s="5">
        <v>125.75</v>
      </c>
      <c r="E409" s="5">
        <v>45.63</v>
      </c>
      <c r="F409" s="5">
        <v>2014</v>
      </c>
      <c r="G409" s="29">
        <v>360</v>
      </c>
      <c r="H409" s="29">
        <v>715.5</v>
      </c>
      <c r="I409" s="29">
        <v>18.5</v>
      </c>
      <c r="J409" s="29">
        <v>1.01</v>
      </c>
      <c r="K409" s="29">
        <v>28</v>
      </c>
      <c r="L409" s="29">
        <v>46</v>
      </c>
      <c r="M409" s="29">
        <v>26</v>
      </c>
      <c r="N409" s="29">
        <v>6.4</v>
      </c>
      <c r="O409" s="29">
        <v>24.013921113689094</v>
      </c>
      <c r="P409" s="29">
        <v>1.5</v>
      </c>
      <c r="Q409" s="29">
        <f t="shared" si="28"/>
        <v>16.009280742459396</v>
      </c>
      <c r="R409" s="29">
        <v>105</v>
      </c>
      <c r="S409" s="79">
        <v>0.16545454545454547</v>
      </c>
      <c r="U409" s="80">
        <f>(S409-S411)/R409</f>
        <v>4.2424242424242431E-4</v>
      </c>
      <c r="V409" s="80">
        <f t="shared" si="29"/>
        <v>4.2424242424242434E-2</v>
      </c>
    </row>
    <row r="410" spans="1:22" x14ac:dyDescent="0.3">
      <c r="A410" s="5" t="s">
        <v>312</v>
      </c>
      <c r="B410" s="5" t="s">
        <v>313</v>
      </c>
      <c r="C410" s="5">
        <v>2016</v>
      </c>
      <c r="D410" s="5">
        <v>125.75</v>
      </c>
      <c r="E410" s="5">
        <v>45.63</v>
      </c>
      <c r="F410" s="5">
        <v>2014</v>
      </c>
      <c r="G410" s="29">
        <v>360</v>
      </c>
      <c r="H410" s="29">
        <v>715.5</v>
      </c>
      <c r="I410" s="29">
        <v>18.5</v>
      </c>
      <c r="J410" s="29">
        <v>1.01</v>
      </c>
      <c r="K410" s="29">
        <v>28</v>
      </c>
      <c r="L410" s="29">
        <v>46</v>
      </c>
      <c r="M410" s="29">
        <v>26</v>
      </c>
      <c r="N410" s="29">
        <v>6.4</v>
      </c>
      <c r="O410" s="29">
        <v>24.013921113689094</v>
      </c>
      <c r="P410" s="29">
        <v>1.5</v>
      </c>
      <c r="Q410" s="29">
        <f t="shared" si="28"/>
        <v>16.009280742459396</v>
      </c>
      <c r="R410" s="29">
        <v>75</v>
      </c>
      <c r="S410" s="79">
        <v>0.13363636363636361</v>
      </c>
      <c r="U410" s="80">
        <f>(S410-S411)/R410</f>
        <v>1.6969696969696931E-4</v>
      </c>
      <c r="V410" s="80">
        <f t="shared" si="29"/>
        <v>1.696969696969693E-2</v>
      </c>
    </row>
    <row r="411" spans="1:22" x14ac:dyDescent="0.3">
      <c r="A411" s="5" t="s">
        <v>312</v>
      </c>
      <c r="B411" s="5" t="s">
        <v>313</v>
      </c>
      <c r="C411" s="5">
        <v>2016</v>
      </c>
      <c r="D411" s="5">
        <v>125.75</v>
      </c>
      <c r="E411" s="5">
        <v>45.63</v>
      </c>
      <c r="F411" s="5">
        <v>2014</v>
      </c>
      <c r="G411" s="29">
        <v>360</v>
      </c>
      <c r="H411" s="29">
        <v>715.5</v>
      </c>
      <c r="I411" s="29">
        <v>18.5</v>
      </c>
      <c r="J411" s="29">
        <v>1</v>
      </c>
      <c r="K411" s="29">
        <v>24.5</v>
      </c>
      <c r="L411" s="29">
        <v>37.119047620000003</v>
      </c>
      <c r="M411" s="29">
        <v>38.380952379999997</v>
      </c>
      <c r="N411" s="29">
        <v>6.4</v>
      </c>
      <c r="O411" s="29">
        <v>24.013921113689094</v>
      </c>
      <c r="P411" s="29">
        <v>1.5</v>
      </c>
      <c r="Q411" s="29">
        <f t="shared" si="28"/>
        <v>16.009280742459396</v>
      </c>
      <c r="R411" s="29">
        <v>0</v>
      </c>
      <c r="S411" s="79">
        <v>0.12090909090909091</v>
      </c>
      <c r="V411" s="80">
        <f t="shared" si="29"/>
        <v>0</v>
      </c>
    </row>
    <row r="412" spans="1:22" x14ac:dyDescent="0.3">
      <c r="A412" s="5" t="s">
        <v>312</v>
      </c>
      <c r="B412" s="5" t="s">
        <v>313</v>
      </c>
      <c r="C412" s="5">
        <v>2016</v>
      </c>
      <c r="D412" s="5">
        <v>125.75</v>
      </c>
      <c r="E412" s="5">
        <v>45.63</v>
      </c>
      <c r="F412" s="5">
        <v>2014</v>
      </c>
      <c r="G412" s="29">
        <v>360</v>
      </c>
      <c r="H412" s="29">
        <v>715.5</v>
      </c>
      <c r="I412" s="29">
        <v>18.5</v>
      </c>
      <c r="J412" s="29">
        <v>1.01</v>
      </c>
      <c r="K412" s="29">
        <v>28</v>
      </c>
      <c r="L412" s="29">
        <v>46</v>
      </c>
      <c r="M412" s="29">
        <v>26</v>
      </c>
      <c r="N412" s="29">
        <v>6.4</v>
      </c>
      <c r="O412" s="29">
        <v>24.013921113689094</v>
      </c>
      <c r="P412" s="29">
        <v>1.5</v>
      </c>
      <c r="Q412" s="29">
        <f t="shared" si="28"/>
        <v>16.009280742459396</v>
      </c>
      <c r="R412" s="29">
        <v>135</v>
      </c>
      <c r="S412" s="79">
        <v>0.15272727272727271</v>
      </c>
      <c r="U412" s="80">
        <f>(S412-S415)/R412</f>
        <v>4.7138047138047125E-4</v>
      </c>
      <c r="V412" s="80">
        <f t="shared" si="29"/>
        <v>4.7138047138047125E-2</v>
      </c>
    </row>
    <row r="413" spans="1:22" x14ac:dyDescent="0.3">
      <c r="A413" s="5" t="s">
        <v>312</v>
      </c>
      <c r="B413" s="5" t="s">
        <v>313</v>
      </c>
      <c r="C413" s="5">
        <v>2016</v>
      </c>
      <c r="D413" s="5">
        <v>125.75</v>
      </c>
      <c r="E413" s="5">
        <v>45.63</v>
      </c>
      <c r="F413" s="5">
        <v>2014</v>
      </c>
      <c r="G413" s="29">
        <v>360</v>
      </c>
      <c r="H413" s="29">
        <v>715.5</v>
      </c>
      <c r="I413" s="29">
        <v>18.5</v>
      </c>
      <c r="J413" s="29">
        <v>1</v>
      </c>
      <c r="K413" s="29">
        <v>24.5</v>
      </c>
      <c r="L413" s="29">
        <v>37.119047620000003</v>
      </c>
      <c r="M413" s="29">
        <v>38.380952379999997</v>
      </c>
      <c r="N413" s="29">
        <v>6.4</v>
      </c>
      <c r="O413" s="29">
        <v>24.013921113689094</v>
      </c>
      <c r="P413" s="29">
        <v>1.5</v>
      </c>
      <c r="Q413" s="29">
        <f t="shared" si="28"/>
        <v>16.009280742459396</v>
      </c>
      <c r="R413" s="29">
        <v>105</v>
      </c>
      <c r="S413" s="79">
        <v>8.9090909090909096E-2</v>
      </c>
      <c r="U413" s="80">
        <f>(S413-S415)/R413</f>
        <v>0</v>
      </c>
      <c r="V413" s="80">
        <f t="shared" si="29"/>
        <v>0</v>
      </c>
    </row>
    <row r="414" spans="1:22" x14ac:dyDescent="0.3">
      <c r="A414" s="5" t="s">
        <v>312</v>
      </c>
      <c r="B414" s="5" t="s">
        <v>313</v>
      </c>
      <c r="C414" s="5">
        <v>2016</v>
      </c>
      <c r="D414" s="5">
        <v>125.75</v>
      </c>
      <c r="E414" s="5">
        <v>45.63</v>
      </c>
      <c r="F414" s="5">
        <v>2014</v>
      </c>
      <c r="G414" s="29">
        <v>360</v>
      </c>
      <c r="H414" s="29">
        <v>715.5</v>
      </c>
      <c r="I414" s="29">
        <v>18.5</v>
      </c>
      <c r="J414" s="29">
        <v>1.01</v>
      </c>
      <c r="K414" s="29">
        <v>28</v>
      </c>
      <c r="L414" s="29">
        <v>46</v>
      </c>
      <c r="M414" s="29">
        <v>26</v>
      </c>
      <c r="N414" s="29">
        <v>6.4</v>
      </c>
      <c r="O414" s="29">
        <v>24.013921113689094</v>
      </c>
      <c r="P414" s="29">
        <v>1.5</v>
      </c>
      <c r="Q414" s="29">
        <f t="shared" si="28"/>
        <v>16.009280742459396</v>
      </c>
      <c r="R414" s="29">
        <v>75</v>
      </c>
      <c r="S414" s="79">
        <v>0.11454545454545453</v>
      </c>
      <c r="U414" s="80">
        <f>(S414-S415)/R414</f>
        <v>3.3939393939393916E-4</v>
      </c>
      <c r="V414" s="80">
        <f t="shared" si="29"/>
        <v>3.3939393939393915E-2</v>
      </c>
    </row>
    <row r="415" spans="1:22" x14ac:dyDescent="0.3">
      <c r="A415" s="81" t="s">
        <v>312</v>
      </c>
      <c r="B415" s="81" t="s">
        <v>313</v>
      </c>
      <c r="C415" s="81">
        <v>2016</v>
      </c>
      <c r="D415" s="81">
        <v>125.75</v>
      </c>
      <c r="E415" s="81">
        <v>45.63</v>
      </c>
      <c r="F415" s="81">
        <v>2014</v>
      </c>
      <c r="G415" s="34">
        <v>360</v>
      </c>
      <c r="H415" s="34">
        <v>715.5</v>
      </c>
      <c r="I415" s="34">
        <v>18.5</v>
      </c>
      <c r="J415" s="34">
        <v>1</v>
      </c>
      <c r="K415" s="34">
        <v>24.5</v>
      </c>
      <c r="L415" s="34">
        <v>37.119047620000003</v>
      </c>
      <c r="M415" s="34">
        <v>38.380952379999997</v>
      </c>
      <c r="N415" s="34">
        <v>6.4</v>
      </c>
      <c r="O415" s="34">
        <v>24.013921113689094</v>
      </c>
      <c r="P415" s="34">
        <v>1.5</v>
      </c>
      <c r="Q415" s="34">
        <f t="shared" si="28"/>
        <v>16.009280742459396</v>
      </c>
      <c r="R415" s="34">
        <v>0</v>
      </c>
      <c r="S415" s="82">
        <v>8.9090909090909096E-2</v>
      </c>
      <c r="T415" s="34"/>
      <c r="U415" s="83"/>
      <c r="V415" s="83">
        <f t="shared" si="29"/>
        <v>0</v>
      </c>
    </row>
    <row r="416" spans="1:22" x14ac:dyDescent="0.3">
      <c r="A416" s="5" t="s">
        <v>314</v>
      </c>
      <c r="B416" s="5" t="s">
        <v>315</v>
      </c>
      <c r="C416" s="5">
        <v>2016</v>
      </c>
      <c r="D416" s="5">
        <v>113.89</v>
      </c>
      <c r="E416" s="5">
        <v>28.29</v>
      </c>
      <c r="F416" s="5">
        <v>2014</v>
      </c>
      <c r="G416" s="29">
        <v>1036.5</v>
      </c>
      <c r="H416" s="29">
        <v>792</v>
      </c>
      <c r="I416" s="29">
        <v>25.7</v>
      </c>
      <c r="J416" s="29">
        <v>1.2914285700000001</v>
      </c>
      <c r="K416" s="29">
        <v>23</v>
      </c>
      <c r="L416" s="29">
        <v>35.785714290000001</v>
      </c>
      <c r="M416" s="29">
        <v>34.071428570000002</v>
      </c>
      <c r="N416" s="29">
        <v>5.8</v>
      </c>
      <c r="O416" s="29">
        <v>8.1032482598607896</v>
      </c>
      <c r="P416" s="29">
        <v>1.21</v>
      </c>
      <c r="Q416" s="29">
        <f t="shared" si="28"/>
        <v>6.6968993883147023</v>
      </c>
      <c r="R416" s="29">
        <v>0</v>
      </c>
      <c r="S416" s="79">
        <v>2.8636363636363633E-2</v>
      </c>
      <c r="T416" s="44">
        <f>AVERAGE(S416,S418)</f>
        <v>2.3545454545454543E-2</v>
      </c>
      <c r="V416" s="80">
        <f t="shared" si="29"/>
        <v>0</v>
      </c>
    </row>
    <row r="417" spans="1:22" x14ac:dyDescent="0.3">
      <c r="A417" s="5" t="s">
        <v>314</v>
      </c>
      <c r="B417" s="5" t="s">
        <v>315</v>
      </c>
      <c r="C417" s="5">
        <v>2016</v>
      </c>
      <c r="D417" s="5">
        <v>113.89</v>
      </c>
      <c r="E417" s="5">
        <v>28.29</v>
      </c>
      <c r="F417" s="5">
        <v>2014</v>
      </c>
      <c r="G417" s="29">
        <v>1036.5</v>
      </c>
      <c r="H417" s="29">
        <v>792</v>
      </c>
      <c r="I417" s="29">
        <v>25.7</v>
      </c>
      <c r="J417" s="29">
        <v>1.07</v>
      </c>
      <c r="K417" s="29">
        <v>53</v>
      </c>
      <c r="L417" s="29">
        <v>28</v>
      </c>
      <c r="M417" s="29">
        <v>19</v>
      </c>
      <c r="N417" s="29">
        <v>5.8</v>
      </c>
      <c r="O417" s="29">
        <v>8.1032482598607896</v>
      </c>
      <c r="P417" s="29">
        <v>1.21</v>
      </c>
      <c r="Q417" s="29">
        <f t="shared" si="28"/>
        <v>6.6968993883147023</v>
      </c>
      <c r="R417" s="29">
        <v>150</v>
      </c>
      <c r="S417" s="79">
        <v>0.10181818181818182</v>
      </c>
      <c r="U417" s="80">
        <f>(S417-S416)/R417</f>
        <v>4.8787878787878789E-4</v>
      </c>
      <c r="V417" s="80">
        <f t="shared" si="29"/>
        <v>4.878787878787879E-2</v>
      </c>
    </row>
    <row r="418" spans="1:22" x14ac:dyDescent="0.3">
      <c r="A418" s="5" t="s">
        <v>314</v>
      </c>
      <c r="B418" s="5" t="s">
        <v>315</v>
      </c>
      <c r="C418" s="5">
        <v>2016</v>
      </c>
      <c r="D418" s="5">
        <v>113.89</v>
      </c>
      <c r="E418" s="5">
        <v>28.29</v>
      </c>
      <c r="F418" s="5">
        <v>2014</v>
      </c>
      <c r="G418" s="29">
        <v>1036.5</v>
      </c>
      <c r="H418" s="29">
        <v>792</v>
      </c>
      <c r="I418" s="29">
        <v>25.7</v>
      </c>
      <c r="J418" s="29">
        <v>1.2914285700000001</v>
      </c>
      <c r="K418" s="29">
        <v>23</v>
      </c>
      <c r="L418" s="29">
        <v>35.785714290000001</v>
      </c>
      <c r="M418" s="29">
        <v>34.071428570000002</v>
      </c>
      <c r="N418" s="29">
        <v>5.8</v>
      </c>
      <c r="O418" s="29">
        <v>8.1032482598607896</v>
      </c>
      <c r="P418" s="29">
        <v>1.21</v>
      </c>
      <c r="Q418" s="29">
        <f t="shared" si="28"/>
        <v>6.6968993883147023</v>
      </c>
      <c r="R418" s="29">
        <v>0</v>
      </c>
      <c r="S418" s="79">
        <v>1.8454545454545453E-2</v>
      </c>
      <c r="V418" s="80">
        <f t="shared" si="29"/>
        <v>0</v>
      </c>
    </row>
    <row r="419" spans="1:22" x14ac:dyDescent="0.3">
      <c r="A419" s="81" t="s">
        <v>314</v>
      </c>
      <c r="B419" s="81" t="s">
        <v>315</v>
      </c>
      <c r="C419" s="81">
        <v>2016</v>
      </c>
      <c r="D419" s="81">
        <v>113.89</v>
      </c>
      <c r="E419" s="81">
        <v>28.29</v>
      </c>
      <c r="F419" s="81">
        <v>2014</v>
      </c>
      <c r="G419" s="34">
        <v>1036.5</v>
      </c>
      <c r="H419" s="34">
        <v>792</v>
      </c>
      <c r="I419" s="34">
        <v>25.7</v>
      </c>
      <c r="J419" s="29">
        <v>1.07</v>
      </c>
      <c r="K419" s="29">
        <v>53</v>
      </c>
      <c r="L419" s="29">
        <v>28</v>
      </c>
      <c r="M419" s="29">
        <v>19</v>
      </c>
      <c r="N419" s="34">
        <v>5.8</v>
      </c>
      <c r="O419" s="34">
        <v>8.1032482598607896</v>
      </c>
      <c r="P419" s="34">
        <v>1.21</v>
      </c>
      <c r="Q419" s="34">
        <f t="shared" si="28"/>
        <v>6.6968993883147023</v>
      </c>
      <c r="R419" s="34">
        <v>150</v>
      </c>
      <c r="S419" s="82">
        <v>0.19727272727272727</v>
      </c>
      <c r="T419" s="34"/>
      <c r="U419" s="83">
        <f>(S419-S418)/R419</f>
        <v>1.1921212121212121E-3</v>
      </c>
      <c r="V419" s="83">
        <f t="shared" si="29"/>
        <v>0.11921212121212121</v>
      </c>
    </row>
    <row r="420" spans="1:22" x14ac:dyDescent="0.3">
      <c r="A420" s="5" t="s">
        <v>316</v>
      </c>
      <c r="B420" s="5" t="s">
        <v>317</v>
      </c>
      <c r="C420" s="5">
        <v>2017</v>
      </c>
      <c r="D420" s="5">
        <v>120.68</v>
      </c>
      <c r="E420" s="5">
        <v>31.53</v>
      </c>
      <c r="F420" s="5">
        <v>2015</v>
      </c>
      <c r="G420" s="29">
        <v>1167</v>
      </c>
      <c r="H420" s="29">
        <v>883.5</v>
      </c>
      <c r="I420" s="29">
        <v>24.86</v>
      </c>
      <c r="J420" s="29">
        <v>1.12181818</v>
      </c>
      <c r="K420" s="29">
        <v>20.81818182</v>
      </c>
      <c r="L420" s="29">
        <v>27.09090909</v>
      </c>
      <c r="M420" s="29">
        <v>33.909090910000003</v>
      </c>
      <c r="N420" s="29">
        <v>7.35</v>
      </c>
      <c r="O420" s="29">
        <v>20.301624129930396</v>
      </c>
      <c r="P420" s="29">
        <v>2.0099999999999998</v>
      </c>
      <c r="Q420" s="29">
        <f t="shared" ref="Q420:Q459" si="30">O420/P420</f>
        <v>10.100310512403183</v>
      </c>
      <c r="R420" s="29">
        <v>0</v>
      </c>
      <c r="S420" s="79">
        <v>7.6363636363636356E-2</v>
      </c>
      <c r="T420" s="44">
        <f>S420</f>
        <v>7.6363636363636356E-2</v>
      </c>
      <c r="V420" s="80">
        <f t="shared" ref="V420:V460" si="31">U420*100</f>
        <v>0</v>
      </c>
    </row>
    <row r="421" spans="1:22" x14ac:dyDescent="0.3">
      <c r="A421" s="5" t="s">
        <v>316</v>
      </c>
      <c r="B421" s="5" t="s">
        <v>317</v>
      </c>
      <c r="C421" s="5">
        <v>2017</v>
      </c>
      <c r="D421" s="5">
        <v>120.68</v>
      </c>
      <c r="E421" s="5">
        <v>31.53</v>
      </c>
      <c r="F421" s="5">
        <v>2015</v>
      </c>
      <c r="G421" s="29">
        <v>1167</v>
      </c>
      <c r="H421" s="29">
        <v>883.5</v>
      </c>
      <c r="I421" s="29">
        <v>24.86</v>
      </c>
      <c r="J421" s="29">
        <v>1.52</v>
      </c>
      <c r="K421" s="29">
        <v>36</v>
      </c>
      <c r="L421" s="29">
        <v>43</v>
      </c>
      <c r="M421" s="29">
        <v>21</v>
      </c>
      <c r="N421" s="29">
        <v>7.35</v>
      </c>
      <c r="O421" s="29">
        <v>20.301624129930396</v>
      </c>
      <c r="P421" s="29">
        <v>2.0099999999999998</v>
      </c>
      <c r="Q421" s="29">
        <f t="shared" si="30"/>
        <v>10.100310512403183</v>
      </c>
      <c r="R421" s="29">
        <v>180</v>
      </c>
      <c r="S421" s="79">
        <v>0.22909090909090907</v>
      </c>
      <c r="U421" s="80">
        <f>(S421-S420)/R421</f>
        <v>8.484848484848484E-4</v>
      </c>
      <c r="V421" s="80">
        <f t="shared" si="31"/>
        <v>8.484848484848484E-2</v>
      </c>
    </row>
    <row r="422" spans="1:22" x14ac:dyDescent="0.3">
      <c r="A422" s="5" t="s">
        <v>316</v>
      </c>
      <c r="B422" s="5" t="s">
        <v>317</v>
      </c>
      <c r="C422" s="5">
        <v>2017</v>
      </c>
      <c r="D422" s="5">
        <v>120.68</v>
      </c>
      <c r="E422" s="5">
        <v>31.53</v>
      </c>
      <c r="F422" s="5">
        <v>2015</v>
      </c>
      <c r="G422" s="29">
        <v>1167</v>
      </c>
      <c r="H422" s="29">
        <v>883.5</v>
      </c>
      <c r="I422" s="29">
        <v>24.86</v>
      </c>
      <c r="J422" s="29">
        <v>1.52</v>
      </c>
      <c r="K422" s="29">
        <v>36</v>
      </c>
      <c r="L422" s="29">
        <v>43</v>
      </c>
      <c r="M422" s="29">
        <v>21</v>
      </c>
      <c r="N422" s="29">
        <v>7.35</v>
      </c>
      <c r="O422" s="29">
        <v>20.301624129930396</v>
      </c>
      <c r="P422" s="29">
        <v>2.0099999999999998</v>
      </c>
      <c r="Q422" s="29">
        <f t="shared" si="30"/>
        <v>10.100310512403183</v>
      </c>
      <c r="R422" s="29">
        <v>180</v>
      </c>
      <c r="S422" s="79">
        <v>0.17181818181818184</v>
      </c>
      <c r="U422" s="80">
        <f>(S422-S420)/R422</f>
        <v>5.3030303030303047E-4</v>
      </c>
      <c r="V422" s="80">
        <f t="shared" si="31"/>
        <v>5.3030303030303046E-2</v>
      </c>
    </row>
    <row r="423" spans="1:22" x14ac:dyDescent="0.3">
      <c r="A423" s="5" t="s">
        <v>316</v>
      </c>
      <c r="B423" s="5" t="s">
        <v>317</v>
      </c>
      <c r="C423" s="5">
        <v>2017</v>
      </c>
      <c r="D423" s="5">
        <v>120.68</v>
      </c>
      <c r="E423" s="5">
        <v>31.53</v>
      </c>
      <c r="F423" s="5">
        <v>2015</v>
      </c>
      <c r="G423" s="29">
        <v>1167</v>
      </c>
      <c r="H423" s="29">
        <v>883.5</v>
      </c>
      <c r="I423" s="29">
        <v>24.86</v>
      </c>
      <c r="J423" s="29">
        <v>1.52</v>
      </c>
      <c r="K423" s="29">
        <v>36</v>
      </c>
      <c r="L423" s="29">
        <v>43</v>
      </c>
      <c r="M423" s="29">
        <v>21</v>
      </c>
      <c r="N423" s="29">
        <v>7.35</v>
      </c>
      <c r="O423" s="29">
        <v>20.301624129930396</v>
      </c>
      <c r="P423" s="29">
        <v>2.0099999999999998</v>
      </c>
      <c r="Q423" s="29">
        <f t="shared" si="30"/>
        <v>10.100310512403183</v>
      </c>
      <c r="R423" s="29">
        <v>180</v>
      </c>
      <c r="S423" s="79">
        <v>0.11454545454545453</v>
      </c>
      <c r="U423" s="80">
        <f>(S423-S420)/R423</f>
        <v>2.121212121212121E-4</v>
      </c>
      <c r="V423" s="80">
        <f t="shared" si="31"/>
        <v>2.121212121212121E-2</v>
      </c>
    </row>
    <row r="424" spans="1:22" x14ac:dyDescent="0.3">
      <c r="A424" s="81" t="s">
        <v>316</v>
      </c>
      <c r="B424" s="81" t="s">
        <v>317</v>
      </c>
      <c r="C424" s="81">
        <v>2017</v>
      </c>
      <c r="D424" s="81">
        <v>120.68</v>
      </c>
      <c r="E424" s="81">
        <v>31.53</v>
      </c>
      <c r="F424" s="81">
        <v>2015</v>
      </c>
      <c r="G424" s="34">
        <v>1167</v>
      </c>
      <c r="H424" s="34">
        <v>883.5</v>
      </c>
      <c r="I424" s="34">
        <v>24.86</v>
      </c>
      <c r="J424" s="29">
        <v>1.52</v>
      </c>
      <c r="K424" s="29">
        <v>36</v>
      </c>
      <c r="L424" s="29">
        <v>43</v>
      </c>
      <c r="M424" s="29">
        <v>21</v>
      </c>
      <c r="N424" s="34">
        <v>7.35</v>
      </c>
      <c r="O424" s="34">
        <v>20.301624129930396</v>
      </c>
      <c r="P424" s="34">
        <v>2.0099999999999998</v>
      </c>
      <c r="Q424" s="34">
        <f t="shared" si="30"/>
        <v>10.100310512403183</v>
      </c>
      <c r="R424" s="34">
        <v>180</v>
      </c>
      <c r="S424" s="82">
        <v>0.12727272727272729</v>
      </c>
      <c r="T424" s="34"/>
      <c r="U424" s="83">
        <f>(S424-S420)/R424</f>
        <v>2.8282828282828298E-4</v>
      </c>
      <c r="V424" s="83">
        <f t="shared" si="31"/>
        <v>2.8282828282828298E-2</v>
      </c>
    </row>
    <row r="425" spans="1:22" x14ac:dyDescent="0.3">
      <c r="A425" s="5" t="s">
        <v>318</v>
      </c>
      <c r="B425" s="5" t="s">
        <v>319</v>
      </c>
      <c r="C425" s="5">
        <v>2017</v>
      </c>
      <c r="D425" s="5">
        <v>112.5</v>
      </c>
      <c r="E425" s="5">
        <v>29.55</v>
      </c>
      <c r="F425" s="5" t="s">
        <v>199</v>
      </c>
      <c r="G425" s="29">
        <v>830.4</v>
      </c>
      <c r="H425" s="29">
        <v>447.6</v>
      </c>
      <c r="I425" s="29">
        <v>24.75</v>
      </c>
      <c r="J425" s="29">
        <v>1.27</v>
      </c>
      <c r="K425" s="29">
        <v>21.58823529</v>
      </c>
      <c r="L425" s="29">
        <v>29.882352940000001</v>
      </c>
      <c r="M425" s="29">
        <v>42.647058819999998</v>
      </c>
      <c r="N425" s="29">
        <v>7.7</v>
      </c>
      <c r="O425" s="29">
        <v>29.2</v>
      </c>
      <c r="P425" s="29">
        <v>2.95</v>
      </c>
      <c r="Q425" s="29">
        <f t="shared" si="30"/>
        <v>9.8983050847457612</v>
      </c>
      <c r="R425" s="29">
        <v>0</v>
      </c>
      <c r="S425" s="79">
        <v>0.20363636363636364</v>
      </c>
      <c r="T425" s="44">
        <f>AVERAGE(S425,S428,S429,S434,S435,S440,S441,S444,S445,S450,S451)</f>
        <v>0.2406611570247934</v>
      </c>
      <c r="V425" s="80">
        <f t="shared" si="31"/>
        <v>0</v>
      </c>
    </row>
    <row r="426" spans="1:22" x14ac:dyDescent="0.3">
      <c r="A426" s="5" t="s">
        <v>318</v>
      </c>
      <c r="B426" s="5" t="s">
        <v>319</v>
      </c>
      <c r="C426" s="5">
        <v>2017</v>
      </c>
      <c r="D426" s="5">
        <v>112.5</v>
      </c>
      <c r="E426" s="5">
        <v>29.55</v>
      </c>
      <c r="F426" s="5" t="s">
        <v>199</v>
      </c>
      <c r="G426" s="29">
        <v>456</v>
      </c>
      <c r="H426" s="29">
        <v>435.6</v>
      </c>
      <c r="I426" s="29">
        <v>25.55</v>
      </c>
      <c r="J426" s="29">
        <v>1.27</v>
      </c>
      <c r="K426" s="29">
        <v>24</v>
      </c>
      <c r="L426" s="29">
        <v>46</v>
      </c>
      <c r="M426" s="29">
        <v>30</v>
      </c>
      <c r="N426" s="29">
        <v>7.7</v>
      </c>
      <c r="O426" s="29">
        <v>29.2</v>
      </c>
      <c r="P426" s="29">
        <v>2.95</v>
      </c>
      <c r="Q426" s="29">
        <f t="shared" si="30"/>
        <v>9.8983050847457612</v>
      </c>
      <c r="R426" s="29">
        <v>100</v>
      </c>
      <c r="S426" s="79">
        <v>0.5154545454545455</v>
      </c>
      <c r="U426" s="80">
        <f>(S426-S425)/R426</f>
        <v>3.118181818181819E-3</v>
      </c>
      <c r="V426" s="80">
        <f t="shared" si="31"/>
        <v>0.31181818181818188</v>
      </c>
    </row>
    <row r="427" spans="1:22" x14ac:dyDescent="0.3">
      <c r="A427" s="5" t="s">
        <v>318</v>
      </c>
      <c r="B427" s="5" t="s">
        <v>319</v>
      </c>
      <c r="C427" s="5">
        <v>2017</v>
      </c>
      <c r="D427" s="5">
        <v>112.5</v>
      </c>
      <c r="E427" s="5">
        <v>29.55</v>
      </c>
      <c r="F427" s="5" t="s">
        <v>199</v>
      </c>
      <c r="G427" s="29">
        <v>735.6</v>
      </c>
      <c r="H427" s="29">
        <v>672</v>
      </c>
      <c r="I427" s="29">
        <v>25.17</v>
      </c>
      <c r="J427" s="29">
        <v>1.27</v>
      </c>
      <c r="K427" s="29">
        <v>24</v>
      </c>
      <c r="L427" s="29">
        <v>46</v>
      </c>
      <c r="M427" s="29">
        <v>30</v>
      </c>
      <c r="N427" s="29">
        <v>7.7</v>
      </c>
      <c r="O427" s="29">
        <v>29.2</v>
      </c>
      <c r="P427" s="29">
        <v>2.95</v>
      </c>
      <c r="Q427" s="29">
        <f t="shared" si="30"/>
        <v>9.8983050847457612</v>
      </c>
      <c r="R427" s="29">
        <v>200</v>
      </c>
      <c r="S427" s="79">
        <v>0.5918181818181818</v>
      </c>
      <c r="U427" s="80">
        <f>(S427-S425)/R427</f>
        <v>1.940909090909091E-3</v>
      </c>
      <c r="V427" s="80">
        <f t="shared" si="31"/>
        <v>0.19409090909090909</v>
      </c>
    </row>
    <row r="428" spans="1:22" x14ac:dyDescent="0.3">
      <c r="A428" s="5" t="s">
        <v>318</v>
      </c>
      <c r="B428" s="5" t="s">
        <v>319</v>
      </c>
      <c r="C428" s="5">
        <v>2017</v>
      </c>
      <c r="D428" s="5">
        <v>112.5</v>
      </c>
      <c r="E428" s="5">
        <v>29.55</v>
      </c>
      <c r="F428" s="5" t="s">
        <v>199</v>
      </c>
      <c r="G428" s="29">
        <v>318</v>
      </c>
      <c r="H428" s="29">
        <v>678</v>
      </c>
      <c r="I428" s="29">
        <v>26.8</v>
      </c>
      <c r="J428" s="29">
        <v>1.27</v>
      </c>
      <c r="K428" s="29">
        <v>21.58823529</v>
      </c>
      <c r="L428" s="29">
        <v>29.882352940000001</v>
      </c>
      <c r="M428" s="29">
        <v>42.647058819999998</v>
      </c>
      <c r="N428" s="29">
        <v>7.7</v>
      </c>
      <c r="O428" s="29">
        <v>29.2</v>
      </c>
      <c r="P428" s="29">
        <v>2.95</v>
      </c>
      <c r="Q428" s="29">
        <f t="shared" si="30"/>
        <v>9.8983050847457612</v>
      </c>
      <c r="R428" s="29">
        <v>0</v>
      </c>
      <c r="S428" s="79">
        <v>0.30545454545454542</v>
      </c>
      <c r="V428" s="80">
        <f t="shared" si="31"/>
        <v>0</v>
      </c>
    </row>
    <row r="429" spans="1:22" x14ac:dyDescent="0.3">
      <c r="A429" s="5" t="s">
        <v>318</v>
      </c>
      <c r="B429" s="5" t="s">
        <v>319</v>
      </c>
      <c r="C429" s="5">
        <v>2017</v>
      </c>
      <c r="D429" s="5">
        <v>112.5</v>
      </c>
      <c r="E429" s="5">
        <v>29.55</v>
      </c>
      <c r="F429" s="5" t="s">
        <v>199</v>
      </c>
      <c r="G429" s="29">
        <v>804</v>
      </c>
      <c r="H429" s="29">
        <v>672</v>
      </c>
      <c r="I429" s="29">
        <v>23.73</v>
      </c>
      <c r="J429" s="29">
        <v>1.27</v>
      </c>
      <c r="K429" s="29">
        <v>21.58823529</v>
      </c>
      <c r="L429" s="29">
        <v>29.882352940000001</v>
      </c>
      <c r="M429" s="29">
        <v>42.647058819999998</v>
      </c>
      <c r="N429" s="29">
        <v>7.7</v>
      </c>
      <c r="O429" s="29">
        <v>29.2</v>
      </c>
      <c r="P429" s="29">
        <v>2.95</v>
      </c>
      <c r="Q429" s="29">
        <f t="shared" si="30"/>
        <v>9.8983050847457612</v>
      </c>
      <c r="R429" s="29">
        <v>0</v>
      </c>
      <c r="S429" s="79">
        <v>0.18454545454545454</v>
      </c>
      <c r="V429" s="80">
        <f t="shared" si="31"/>
        <v>0</v>
      </c>
    </row>
    <row r="430" spans="1:22" x14ac:dyDescent="0.3">
      <c r="A430" s="5" t="s">
        <v>318</v>
      </c>
      <c r="B430" s="5" t="s">
        <v>319</v>
      </c>
      <c r="C430" s="5">
        <v>2017</v>
      </c>
      <c r="D430" s="5">
        <v>112.5</v>
      </c>
      <c r="E430" s="5">
        <v>29.55</v>
      </c>
      <c r="F430" s="5" t="s">
        <v>199</v>
      </c>
      <c r="G430" s="29">
        <v>609.6</v>
      </c>
      <c r="H430" s="29">
        <v>678</v>
      </c>
      <c r="I430" s="29">
        <v>25.1</v>
      </c>
      <c r="J430" s="29">
        <v>1.27</v>
      </c>
      <c r="K430" s="29">
        <v>24</v>
      </c>
      <c r="L430" s="29">
        <v>46</v>
      </c>
      <c r="M430" s="29">
        <v>30</v>
      </c>
      <c r="N430" s="29">
        <v>7.7</v>
      </c>
      <c r="O430" s="29">
        <v>29.2</v>
      </c>
      <c r="P430" s="29">
        <v>2.95</v>
      </c>
      <c r="Q430" s="29">
        <f t="shared" si="30"/>
        <v>9.8983050847457612</v>
      </c>
      <c r="R430" s="29">
        <v>100</v>
      </c>
      <c r="S430" s="79">
        <v>0.54727272727272736</v>
      </c>
      <c r="U430" s="80">
        <f>(S430-S428)/R430</f>
        <v>2.4181818181818193E-3</v>
      </c>
      <c r="V430" s="80">
        <f t="shared" si="31"/>
        <v>0.24181818181818193</v>
      </c>
    </row>
    <row r="431" spans="1:22" x14ac:dyDescent="0.3">
      <c r="A431" s="5" t="s">
        <v>318</v>
      </c>
      <c r="B431" s="5" t="s">
        <v>319</v>
      </c>
      <c r="C431" s="5">
        <v>2017</v>
      </c>
      <c r="D431" s="5">
        <v>112.5</v>
      </c>
      <c r="E431" s="5">
        <v>29.55</v>
      </c>
      <c r="F431" s="5" t="s">
        <v>199</v>
      </c>
      <c r="G431" s="29">
        <v>1117.2</v>
      </c>
      <c r="H431" s="29">
        <v>672</v>
      </c>
      <c r="I431" s="29">
        <v>23.77</v>
      </c>
      <c r="J431" s="29">
        <v>1.27</v>
      </c>
      <c r="K431" s="29">
        <v>24</v>
      </c>
      <c r="L431" s="29">
        <v>46</v>
      </c>
      <c r="M431" s="29">
        <v>30</v>
      </c>
      <c r="N431" s="29">
        <v>7.7</v>
      </c>
      <c r="O431" s="29">
        <v>29.2</v>
      </c>
      <c r="P431" s="29">
        <v>2.95</v>
      </c>
      <c r="Q431" s="29">
        <f t="shared" si="30"/>
        <v>9.8983050847457612</v>
      </c>
      <c r="R431" s="29">
        <v>100</v>
      </c>
      <c r="S431" s="79">
        <v>0.42000000000000004</v>
      </c>
      <c r="U431" s="80">
        <f>(S431-S429)/R431</f>
        <v>2.3545454545454551E-3</v>
      </c>
      <c r="V431" s="80">
        <f t="shared" si="31"/>
        <v>0.2354545454545455</v>
      </c>
    </row>
    <row r="432" spans="1:22" x14ac:dyDescent="0.3">
      <c r="A432" s="5" t="s">
        <v>318</v>
      </c>
      <c r="B432" s="5" t="s">
        <v>319</v>
      </c>
      <c r="C432" s="5">
        <v>2017</v>
      </c>
      <c r="D432" s="5">
        <v>112.5</v>
      </c>
      <c r="E432" s="5">
        <v>29.55</v>
      </c>
      <c r="F432" s="5" t="s">
        <v>199</v>
      </c>
      <c r="G432" s="29">
        <v>388.8</v>
      </c>
      <c r="H432" s="29">
        <v>678</v>
      </c>
      <c r="I432" s="29">
        <v>25.31</v>
      </c>
      <c r="J432" s="29">
        <v>1.27</v>
      </c>
      <c r="K432" s="29">
        <v>24</v>
      </c>
      <c r="L432" s="29">
        <v>46</v>
      </c>
      <c r="M432" s="29">
        <v>30</v>
      </c>
      <c r="N432" s="29">
        <v>7.7</v>
      </c>
      <c r="O432" s="29">
        <v>29.2</v>
      </c>
      <c r="P432" s="29">
        <v>2.95</v>
      </c>
      <c r="Q432" s="29">
        <f t="shared" si="30"/>
        <v>9.8983050847457612</v>
      </c>
      <c r="R432" s="29">
        <v>200</v>
      </c>
      <c r="S432" s="79">
        <v>0.80818181818181822</v>
      </c>
      <c r="U432" s="80">
        <f>(S432-S428)/R432</f>
        <v>2.5136363636363642E-3</v>
      </c>
      <c r="V432" s="80">
        <f t="shared" si="31"/>
        <v>0.2513636363636364</v>
      </c>
    </row>
    <row r="433" spans="1:22" x14ac:dyDescent="0.3">
      <c r="A433" s="5" t="s">
        <v>318</v>
      </c>
      <c r="B433" s="5" t="s">
        <v>319</v>
      </c>
      <c r="C433" s="5">
        <v>2017</v>
      </c>
      <c r="D433" s="5">
        <v>112.5</v>
      </c>
      <c r="E433" s="5">
        <v>29.55</v>
      </c>
      <c r="F433" s="5" t="s">
        <v>199</v>
      </c>
      <c r="G433" s="29">
        <v>388.8</v>
      </c>
      <c r="H433" s="29">
        <v>678</v>
      </c>
      <c r="I433" s="29">
        <v>25.31</v>
      </c>
      <c r="J433" s="29">
        <v>1.27</v>
      </c>
      <c r="K433" s="29">
        <v>24</v>
      </c>
      <c r="L433" s="29">
        <v>46</v>
      </c>
      <c r="M433" s="29">
        <v>30</v>
      </c>
      <c r="N433" s="29">
        <v>7.7</v>
      </c>
      <c r="O433" s="29">
        <v>29.2</v>
      </c>
      <c r="P433" s="29">
        <v>2.95</v>
      </c>
      <c r="Q433" s="29">
        <f t="shared" si="30"/>
        <v>9.8983050847457612</v>
      </c>
      <c r="R433" s="29">
        <v>200</v>
      </c>
      <c r="S433" s="79">
        <v>0.61727272727272731</v>
      </c>
      <c r="U433" s="80">
        <f>(S433-S428)/R433</f>
        <v>1.5590909090909095E-3</v>
      </c>
      <c r="V433" s="80">
        <f t="shared" si="31"/>
        <v>0.15590909090909094</v>
      </c>
    </row>
    <row r="434" spans="1:22" x14ac:dyDescent="0.3">
      <c r="A434" s="5" t="s">
        <v>318</v>
      </c>
      <c r="B434" s="5" t="s">
        <v>319</v>
      </c>
      <c r="C434" s="5">
        <v>2017</v>
      </c>
      <c r="D434" s="5">
        <v>112.5</v>
      </c>
      <c r="E434" s="5">
        <v>29.55</v>
      </c>
      <c r="F434" s="5" t="s">
        <v>199</v>
      </c>
      <c r="G434" s="29">
        <v>388.8</v>
      </c>
      <c r="H434" s="29">
        <v>678</v>
      </c>
      <c r="I434" s="29">
        <v>25.31</v>
      </c>
      <c r="J434" s="29">
        <v>1.27</v>
      </c>
      <c r="K434" s="29">
        <v>21.58823529</v>
      </c>
      <c r="L434" s="29">
        <v>29.882352940000001</v>
      </c>
      <c r="M434" s="29">
        <v>42.647058819999998</v>
      </c>
      <c r="N434" s="29">
        <v>7.7</v>
      </c>
      <c r="O434" s="29">
        <v>29.2</v>
      </c>
      <c r="P434" s="29">
        <v>2.95</v>
      </c>
      <c r="Q434" s="29">
        <f t="shared" si="30"/>
        <v>9.8983050847457612</v>
      </c>
      <c r="R434" s="29">
        <v>0</v>
      </c>
      <c r="S434" s="79">
        <v>0.22272727272727272</v>
      </c>
      <c r="V434" s="80">
        <f t="shared" si="31"/>
        <v>0</v>
      </c>
    </row>
    <row r="435" spans="1:22" x14ac:dyDescent="0.3">
      <c r="A435" s="5" t="s">
        <v>318</v>
      </c>
      <c r="B435" s="5" t="s">
        <v>319</v>
      </c>
      <c r="C435" s="5">
        <v>2017</v>
      </c>
      <c r="D435" s="5">
        <v>112.5</v>
      </c>
      <c r="E435" s="5">
        <v>29.55</v>
      </c>
      <c r="F435" s="5" t="s">
        <v>199</v>
      </c>
      <c r="G435" s="29">
        <v>388.8</v>
      </c>
      <c r="H435" s="29">
        <v>678</v>
      </c>
      <c r="I435" s="29">
        <v>25.31</v>
      </c>
      <c r="J435" s="29">
        <v>1.27</v>
      </c>
      <c r="K435" s="29">
        <v>21.58823529</v>
      </c>
      <c r="L435" s="29">
        <v>29.882352940000001</v>
      </c>
      <c r="M435" s="29">
        <v>42.647058819999998</v>
      </c>
      <c r="N435" s="29">
        <v>7.7</v>
      </c>
      <c r="O435" s="29">
        <v>29.2</v>
      </c>
      <c r="P435" s="29">
        <v>2.95</v>
      </c>
      <c r="Q435" s="29">
        <f t="shared" si="30"/>
        <v>9.8983050847457612</v>
      </c>
      <c r="R435" s="29">
        <v>0</v>
      </c>
      <c r="S435" s="79">
        <v>0.14636363636363636</v>
      </c>
      <c r="V435" s="80">
        <f t="shared" si="31"/>
        <v>0</v>
      </c>
    </row>
    <row r="436" spans="1:22" x14ac:dyDescent="0.3">
      <c r="A436" s="5" t="s">
        <v>318</v>
      </c>
      <c r="B436" s="5" t="s">
        <v>319</v>
      </c>
      <c r="C436" s="5">
        <v>2017</v>
      </c>
      <c r="D436" s="5">
        <v>112.5</v>
      </c>
      <c r="E436" s="5">
        <v>29.55</v>
      </c>
      <c r="F436" s="5" t="s">
        <v>199</v>
      </c>
      <c r="G436" s="29">
        <v>388.8</v>
      </c>
      <c r="H436" s="29">
        <v>678</v>
      </c>
      <c r="I436" s="29">
        <v>25.31</v>
      </c>
      <c r="J436" s="29">
        <v>1.27</v>
      </c>
      <c r="K436" s="29">
        <v>24</v>
      </c>
      <c r="L436" s="29">
        <v>46</v>
      </c>
      <c r="M436" s="29">
        <v>30</v>
      </c>
      <c r="N436" s="29">
        <v>7.7</v>
      </c>
      <c r="O436" s="29">
        <v>29.2</v>
      </c>
      <c r="P436" s="29">
        <v>2.95</v>
      </c>
      <c r="Q436" s="29">
        <f t="shared" si="30"/>
        <v>9.8983050847457612</v>
      </c>
      <c r="R436" s="29">
        <v>100</v>
      </c>
      <c r="S436" s="79">
        <v>0.5281818181818182</v>
      </c>
      <c r="U436" s="80">
        <f>(S436-S434)/R436</f>
        <v>3.0545454545454548E-3</v>
      </c>
      <c r="V436" s="80">
        <f t="shared" si="31"/>
        <v>0.30545454545454548</v>
      </c>
    </row>
    <row r="437" spans="1:22" x14ac:dyDescent="0.3">
      <c r="A437" s="5" t="s">
        <v>318</v>
      </c>
      <c r="B437" s="5" t="s">
        <v>319</v>
      </c>
      <c r="C437" s="5">
        <v>2017</v>
      </c>
      <c r="D437" s="5">
        <v>112.5</v>
      </c>
      <c r="E437" s="5">
        <v>29.55</v>
      </c>
      <c r="F437" s="5" t="s">
        <v>199</v>
      </c>
      <c r="G437" s="29">
        <v>388.8</v>
      </c>
      <c r="H437" s="29">
        <v>678</v>
      </c>
      <c r="I437" s="29">
        <v>25.31</v>
      </c>
      <c r="J437" s="29">
        <v>1.27</v>
      </c>
      <c r="K437" s="29">
        <v>24</v>
      </c>
      <c r="L437" s="29">
        <v>46</v>
      </c>
      <c r="M437" s="29">
        <v>30</v>
      </c>
      <c r="N437" s="29">
        <v>7.7</v>
      </c>
      <c r="O437" s="29">
        <v>29.2</v>
      </c>
      <c r="P437" s="29">
        <v>2.95</v>
      </c>
      <c r="Q437" s="29">
        <f t="shared" si="30"/>
        <v>9.8983050847457612</v>
      </c>
      <c r="R437" s="29">
        <v>100</v>
      </c>
      <c r="S437" s="79">
        <v>0.38818181818181818</v>
      </c>
      <c r="U437" s="80">
        <f>(S437-S435)/R437</f>
        <v>2.418181818181818E-3</v>
      </c>
      <c r="V437" s="80">
        <f t="shared" si="31"/>
        <v>0.24181818181818179</v>
      </c>
    </row>
    <row r="438" spans="1:22" x14ac:dyDescent="0.3">
      <c r="A438" s="5" t="s">
        <v>318</v>
      </c>
      <c r="B438" s="5" t="s">
        <v>319</v>
      </c>
      <c r="C438" s="5">
        <v>2017</v>
      </c>
      <c r="D438" s="5">
        <v>112.5</v>
      </c>
      <c r="E438" s="5">
        <v>29.55</v>
      </c>
      <c r="F438" s="5" t="s">
        <v>199</v>
      </c>
      <c r="G438" s="29">
        <v>388.8</v>
      </c>
      <c r="H438" s="29">
        <v>678</v>
      </c>
      <c r="I438" s="29">
        <v>25.31</v>
      </c>
      <c r="J438" s="29">
        <v>1.27</v>
      </c>
      <c r="K438" s="29">
        <v>24</v>
      </c>
      <c r="L438" s="29">
        <v>46</v>
      </c>
      <c r="M438" s="29">
        <v>30</v>
      </c>
      <c r="N438" s="29">
        <v>7.7</v>
      </c>
      <c r="O438" s="29">
        <v>29.2</v>
      </c>
      <c r="P438" s="29">
        <v>2.95</v>
      </c>
      <c r="Q438" s="29">
        <f t="shared" si="30"/>
        <v>9.8983050847457612</v>
      </c>
      <c r="R438" s="29">
        <v>200</v>
      </c>
      <c r="S438" s="79">
        <v>0.67454545454545456</v>
      </c>
      <c r="U438" s="80">
        <f>(S438-S434)/R438</f>
        <v>2.2590909090909094E-3</v>
      </c>
      <c r="V438" s="80">
        <f t="shared" si="31"/>
        <v>0.22590909090909095</v>
      </c>
    </row>
    <row r="439" spans="1:22" x14ac:dyDescent="0.3">
      <c r="A439" s="5" t="s">
        <v>318</v>
      </c>
      <c r="B439" s="5" t="s">
        <v>319</v>
      </c>
      <c r="C439" s="5">
        <v>2017</v>
      </c>
      <c r="D439" s="5">
        <v>112.5</v>
      </c>
      <c r="E439" s="5">
        <v>29.55</v>
      </c>
      <c r="F439" s="5" t="s">
        <v>199</v>
      </c>
      <c r="G439" s="29">
        <v>388.8</v>
      </c>
      <c r="H439" s="29">
        <v>678</v>
      </c>
      <c r="I439" s="29">
        <v>25.31</v>
      </c>
      <c r="J439" s="29">
        <v>1.27</v>
      </c>
      <c r="K439" s="29">
        <v>24</v>
      </c>
      <c r="L439" s="29">
        <v>46</v>
      </c>
      <c r="M439" s="29">
        <v>30</v>
      </c>
      <c r="N439" s="29">
        <v>7.7</v>
      </c>
      <c r="O439" s="29">
        <v>29.2</v>
      </c>
      <c r="P439" s="29">
        <v>2.95</v>
      </c>
      <c r="Q439" s="29">
        <f t="shared" si="30"/>
        <v>9.8983050847457612</v>
      </c>
      <c r="R439" s="29">
        <v>200</v>
      </c>
      <c r="S439" s="79">
        <v>0.61090909090909085</v>
      </c>
      <c r="U439" s="80">
        <f>(S439-S434)/R439</f>
        <v>1.9409090909090906E-3</v>
      </c>
      <c r="V439" s="80">
        <f t="shared" si="31"/>
        <v>0.19409090909090906</v>
      </c>
    </row>
    <row r="440" spans="1:22" x14ac:dyDescent="0.3">
      <c r="A440" s="5" t="s">
        <v>318</v>
      </c>
      <c r="B440" s="5" t="s">
        <v>319</v>
      </c>
      <c r="C440" s="5">
        <v>2017</v>
      </c>
      <c r="D440" s="5">
        <v>112.5</v>
      </c>
      <c r="E440" s="5">
        <v>29.55</v>
      </c>
      <c r="F440" s="5" t="s">
        <v>199</v>
      </c>
      <c r="G440" s="29">
        <v>700.5</v>
      </c>
      <c r="H440" s="29">
        <v>768</v>
      </c>
      <c r="I440" s="29">
        <v>26.7</v>
      </c>
      <c r="J440" s="29">
        <v>1.27</v>
      </c>
      <c r="K440" s="29">
        <v>21.58823529</v>
      </c>
      <c r="L440" s="29">
        <v>29.882352940000001</v>
      </c>
      <c r="M440" s="29">
        <v>42.647058819999998</v>
      </c>
      <c r="N440" s="29">
        <v>7.7</v>
      </c>
      <c r="O440" s="29">
        <v>29.2</v>
      </c>
      <c r="P440" s="29">
        <v>2.95</v>
      </c>
      <c r="Q440" s="29">
        <f t="shared" si="30"/>
        <v>9.8983050847457612</v>
      </c>
      <c r="R440" s="29">
        <v>0</v>
      </c>
      <c r="S440" s="79">
        <v>0.35000000000000003</v>
      </c>
      <c r="V440" s="80">
        <f t="shared" si="31"/>
        <v>0</v>
      </c>
    </row>
    <row r="441" spans="1:22" x14ac:dyDescent="0.3">
      <c r="A441" s="5" t="s">
        <v>318</v>
      </c>
      <c r="B441" s="5" t="s">
        <v>319</v>
      </c>
      <c r="C441" s="5">
        <v>2017</v>
      </c>
      <c r="D441" s="5">
        <v>112.5</v>
      </c>
      <c r="E441" s="5">
        <v>29.55</v>
      </c>
      <c r="F441" s="5" t="s">
        <v>199</v>
      </c>
      <c r="G441" s="29">
        <v>700.5</v>
      </c>
      <c r="H441" s="29">
        <v>768</v>
      </c>
      <c r="I441" s="29">
        <v>26.7</v>
      </c>
      <c r="J441" s="29">
        <v>1.27</v>
      </c>
      <c r="K441" s="29">
        <v>21.58823529</v>
      </c>
      <c r="L441" s="29">
        <v>29.882352940000001</v>
      </c>
      <c r="M441" s="29">
        <v>42.647058819999998</v>
      </c>
      <c r="N441" s="29">
        <v>7.7</v>
      </c>
      <c r="O441" s="29">
        <v>29.2</v>
      </c>
      <c r="P441" s="29">
        <v>2.95</v>
      </c>
      <c r="Q441" s="29">
        <f t="shared" si="30"/>
        <v>9.8983050847457612</v>
      </c>
      <c r="R441" s="29">
        <v>0</v>
      </c>
      <c r="S441" s="79">
        <v>0.21636363636363637</v>
      </c>
      <c r="V441" s="80">
        <f t="shared" si="31"/>
        <v>0</v>
      </c>
    </row>
    <row r="442" spans="1:22" x14ac:dyDescent="0.3">
      <c r="A442" s="5" t="s">
        <v>318</v>
      </c>
      <c r="B442" s="5" t="s">
        <v>319</v>
      </c>
      <c r="C442" s="5">
        <v>2017</v>
      </c>
      <c r="D442" s="5">
        <v>112.5</v>
      </c>
      <c r="E442" s="5">
        <v>29.55</v>
      </c>
      <c r="F442" s="5" t="s">
        <v>199</v>
      </c>
      <c r="G442" s="29">
        <v>700.5</v>
      </c>
      <c r="H442" s="29">
        <v>768</v>
      </c>
      <c r="I442" s="29">
        <v>26.7</v>
      </c>
      <c r="J442" s="29">
        <v>1.27</v>
      </c>
      <c r="K442" s="29">
        <v>24</v>
      </c>
      <c r="L442" s="29">
        <v>46</v>
      </c>
      <c r="M442" s="29">
        <v>30</v>
      </c>
      <c r="N442" s="29">
        <v>7.7</v>
      </c>
      <c r="O442" s="29">
        <v>29.2</v>
      </c>
      <c r="P442" s="29">
        <v>2.95</v>
      </c>
      <c r="Q442" s="29">
        <f t="shared" si="30"/>
        <v>9.8983050847457612</v>
      </c>
      <c r="R442" s="29">
        <v>100</v>
      </c>
      <c r="S442" s="79">
        <v>0.68727272727272737</v>
      </c>
      <c r="U442" s="80">
        <f>(S442-S441)/R442</f>
        <v>4.7090909090909102E-3</v>
      </c>
      <c r="V442" s="80">
        <f t="shared" si="31"/>
        <v>0.470909090909091</v>
      </c>
    </row>
    <row r="443" spans="1:22" x14ac:dyDescent="0.3">
      <c r="A443" s="5" t="s">
        <v>318</v>
      </c>
      <c r="B443" s="5" t="s">
        <v>319</v>
      </c>
      <c r="C443" s="5">
        <v>2017</v>
      </c>
      <c r="D443" s="5">
        <v>112.5</v>
      </c>
      <c r="E443" s="5">
        <v>29.55</v>
      </c>
      <c r="F443" s="5" t="s">
        <v>199</v>
      </c>
      <c r="G443" s="29">
        <v>700.5</v>
      </c>
      <c r="H443" s="29">
        <v>768</v>
      </c>
      <c r="I443" s="29">
        <v>26.7</v>
      </c>
      <c r="J443" s="29">
        <v>1.27</v>
      </c>
      <c r="K443" s="29">
        <v>24</v>
      </c>
      <c r="L443" s="29">
        <v>46</v>
      </c>
      <c r="M443" s="29">
        <v>30</v>
      </c>
      <c r="N443" s="29">
        <v>7.7</v>
      </c>
      <c r="O443" s="29">
        <v>29.2</v>
      </c>
      <c r="P443" s="29">
        <v>2.95</v>
      </c>
      <c r="Q443" s="29">
        <f t="shared" si="30"/>
        <v>9.8983050847457612</v>
      </c>
      <c r="R443" s="29">
        <v>200</v>
      </c>
      <c r="S443" s="79">
        <v>0.77</v>
      </c>
      <c r="U443" s="80">
        <f>(S443-S441)/R443</f>
        <v>2.7681818181818185E-3</v>
      </c>
      <c r="V443" s="80">
        <f t="shared" si="31"/>
        <v>0.27681818181818185</v>
      </c>
    </row>
    <row r="444" spans="1:22" x14ac:dyDescent="0.3">
      <c r="A444" s="5" t="s">
        <v>318</v>
      </c>
      <c r="B444" s="5" t="s">
        <v>319</v>
      </c>
      <c r="C444" s="5">
        <v>2017</v>
      </c>
      <c r="D444" s="5">
        <v>112.5</v>
      </c>
      <c r="E444" s="5">
        <v>29.55</v>
      </c>
      <c r="F444" s="5" t="s">
        <v>199</v>
      </c>
      <c r="G444" s="29">
        <v>700.5</v>
      </c>
      <c r="H444" s="29">
        <v>768</v>
      </c>
      <c r="I444" s="29">
        <v>26.7</v>
      </c>
      <c r="J444" s="29">
        <v>1.27</v>
      </c>
      <c r="K444" s="29">
        <v>21.58823529</v>
      </c>
      <c r="L444" s="29">
        <v>29.882352940000001</v>
      </c>
      <c r="M444" s="29">
        <v>42.647058819999998</v>
      </c>
      <c r="N444" s="29">
        <v>7.7</v>
      </c>
      <c r="O444" s="29">
        <v>29.2</v>
      </c>
      <c r="P444" s="29">
        <v>2.95</v>
      </c>
      <c r="Q444" s="29">
        <f t="shared" si="30"/>
        <v>9.8983050847457612</v>
      </c>
      <c r="R444" s="29">
        <v>0</v>
      </c>
      <c r="S444" s="79">
        <v>0.32454545454545453</v>
      </c>
      <c r="V444" s="80">
        <f t="shared" si="31"/>
        <v>0</v>
      </c>
    </row>
    <row r="445" spans="1:22" x14ac:dyDescent="0.3">
      <c r="A445" s="5" t="s">
        <v>318</v>
      </c>
      <c r="B445" s="5" t="s">
        <v>319</v>
      </c>
      <c r="C445" s="5">
        <v>2017</v>
      </c>
      <c r="D445" s="5">
        <v>112.5</v>
      </c>
      <c r="E445" s="5">
        <v>29.55</v>
      </c>
      <c r="F445" s="5" t="s">
        <v>199</v>
      </c>
      <c r="G445" s="29">
        <v>700.5</v>
      </c>
      <c r="H445" s="29">
        <v>768</v>
      </c>
      <c r="I445" s="29">
        <v>26.7</v>
      </c>
      <c r="J445" s="29">
        <v>1.27</v>
      </c>
      <c r="K445" s="29">
        <v>21.58823529</v>
      </c>
      <c r="L445" s="29">
        <v>29.882352940000001</v>
      </c>
      <c r="M445" s="29">
        <v>42.647058819999998</v>
      </c>
      <c r="N445" s="29">
        <v>7.7</v>
      </c>
      <c r="O445" s="29">
        <v>29.2</v>
      </c>
      <c r="P445" s="29">
        <v>2.95</v>
      </c>
      <c r="Q445" s="29">
        <f t="shared" si="30"/>
        <v>9.8983050847457612</v>
      </c>
      <c r="R445" s="29">
        <v>0</v>
      </c>
      <c r="S445" s="79">
        <v>0.21636363636363637</v>
      </c>
      <c r="V445" s="80">
        <f t="shared" si="31"/>
        <v>0</v>
      </c>
    </row>
    <row r="446" spans="1:22" x14ac:dyDescent="0.3">
      <c r="A446" s="5" t="s">
        <v>318</v>
      </c>
      <c r="B446" s="5" t="s">
        <v>319</v>
      </c>
      <c r="C446" s="5">
        <v>2017</v>
      </c>
      <c r="D446" s="5">
        <v>112.5</v>
      </c>
      <c r="E446" s="5">
        <v>29.55</v>
      </c>
      <c r="F446" s="5" t="s">
        <v>199</v>
      </c>
      <c r="G446" s="29">
        <v>700.5</v>
      </c>
      <c r="H446" s="29">
        <v>768</v>
      </c>
      <c r="I446" s="29">
        <v>26.7</v>
      </c>
      <c r="J446" s="29">
        <v>1.27</v>
      </c>
      <c r="K446" s="29">
        <v>24</v>
      </c>
      <c r="L446" s="29">
        <v>46</v>
      </c>
      <c r="M446" s="29">
        <v>30</v>
      </c>
      <c r="N446" s="29">
        <v>7.7</v>
      </c>
      <c r="O446" s="29">
        <v>29.2</v>
      </c>
      <c r="P446" s="29">
        <v>2.95</v>
      </c>
      <c r="Q446" s="29">
        <f t="shared" si="30"/>
        <v>9.8983050847457612</v>
      </c>
      <c r="R446" s="29">
        <v>100</v>
      </c>
      <c r="S446" s="79">
        <v>1.0054545454545456</v>
      </c>
      <c r="U446" s="80">
        <f>(S446-S444)/R446</f>
        <v>6.8090909090909113E-3</v>
      </c>
      <c r="V446" s="80">
        <f t="shared" si="31"/>
        <v>0.68090909090909113</v>
      </c>
    </row>
    <row r="447" spans="1:22" x14ac:dyDescent="0.3">
      <c r="A447" s="5" t="s">
        <v>318</v>
      </c>
      <c r="B447" s="5" t="s">
        <v>319</v>
      </c>
      <c r="C447" s="5">
        <v>2017</v>
      </c>
      <c r="D447" s="5">
        <v>112.5</v>
      </c>
      <c r="E447" s="5">
        <v>29.55</v>
      </c>
      <c r="F447" s="5" t="s">
        <v>199</v>
      </c>
      <c r="G447" s="29">
        <v>700.5</v>
      </c>
      <c r="H447" s="29">
        <v>768</v>
      </c>
      <c r="I447" s="29">
        <v>26.7</v>
      </c>
      <c r="J447" s="29">
        <v>1.27</v>
      </c>
      <c r="K447" s="29">
        <v>24</v>
      </c>
      <c r="L447" s="29">
        <v>46</v>
      </c>
      <c r="M447" s="29">
        <v>30</v>
      </c>
      <c r="N447" s="29">
        <v>7.7</v>
      </c>
      <c r="O447" s="29">
        <v>29.2</v>
      </c>
      <c r="P447" s="29">
        <v>2.95</v>
      </c>
      <c r="Q447" s="29">
        <f t="shared" si="30"/>
        <v>9.8983050847457612</v>
      </c>
      <c r="R447" s="29">
        <v>100</v>
      </c>
      <c r="S447" s="79">
        <v>0.68090909090909091</v>
      </c>
      <c r="U447" s="80">
        <f>(S447-S445)/R447</f>
        <v>4.6454545454545455E-3</v>
      </c>
      <c r="V447" s="80">
        <f t="shared" si="31"/>
        <v>0.46454545454545454</v>
      </c>
    </row>
    <row r="448" spans="1:22" x14ac:dyDescent="0.3">
      <c r="A448" s="5" t="s">
        <v>318</v>
      </c>
      <c r="B448" s="5" t="s">
        <v>319</v>
      </c>
      <c r="C448" s="5">
        <v>2017</v>
      </c>
      <c r="D448" s="5">
        <v>112.5</v>
      </c>
      <c r="E448" s="5">
        <v>29.55</v>
      </c>
      <c r="F448" s="5" t="s">
        <v>199</v>
      </c>
      <c r="G448" s="29">
        <v>700.5</v>
      </c>
      <c r="H448" s="29">
        <v>768</v>
      </c>
      <c r="I448" s="29">
        <v>26.7</v>
      </c>
      <c r="J448" s="29">
        <v>1.27</v>
      </c>
      <c r="K448" s="29">
        <v>24</v>
      </c>
      <c r="L448" s="29">
        <v>46</v>
      </c>
      <c r="M448" s="29">
        <v>30</v>
      </c>
      <c r="N448" s="29">
        <v>7.7</v>
      </c>
      <c r="O448" s="29">
        <v>29.2</v>
      </c>
      <c r="P448" s="29">
        <v>2.95</v>
      </c>
      <c r="Q448" s="29">
        <f t="shared" si="30"/>
        <v>9.8983050847457612</v>
      </c>
      <c r="R448" s="29">
        <v>200</v>
      </c>
      <c r="S448" s="79">
        <v>1.4954545454545456</v>
      </c>
      <c r="U448" s="80">
        <f>(S448-S444)/R448</f>
        <v>5.854545454545456E-3</v>
      </c>
      <c r="V448" s="80">
        <f t="shared" si="31"/>
        <v>0.58545454545454556</v>
      </c>
    </row>
    <row r="449" spans="1:22" x14ac:dyDescent="0.3">
      <c r="A449" s="5" t="s">
        <v>318</v>
      </c>
      <c r="B449" s="5" t="s">
        <v>319</v>
      </c>
      <c r="C449" s="5">
        <v>2017</v>
      </c>
      <c r="D449" s="5">
        <v>112.5</v>
      </c>
      <c r="E449" s="5">
        <v>29.55</v>
      </c>
      <c r="F449" s="5" t="s">
        <v>199</v>
      </c>
      <c r="G449" s="29">
        <v>700.5</v>
      </c>
      <c r="H449" s="29">
        <v>768</v>
      </c>
      <c r="I449" s="29">
        <v>26.7</v>
      </c>
      <c r="J449" s="29">
        <v>1.27</v>
      </c>
      <c r="K449" s="29">
        <v>24</v>
      </c>
      <c r="L449" s="29">
        <v>46</v>
      </c>
      <c r="M449" s="29">
        <v>30</v>
      </c>
      <c r="N449" s="29">
        <v>7.7</v>
      </c>
      <c r="O449" s="29">
        <v>29.2</v>
      </c>
      <c r="P449" s="29">
        <v>2.95</v>
      </c>
      <c r="Q449" s="29">
        <f t="shared" si="30"/>
        <v>9.8983050847457612</v>
      </c>
      <c r="R449" s="29">
        <v>200</v>
      </c>
      <c r="S449" s="79">
        <v>1.2027272727272726</v>
      </c>
      <c r="U449" s="80">
        <f>(S449-S444)/R449</f>
        <v>4.3909090909090912E-3</v>
      </c>
      <c r="V449" s="80">
        <f t="shared" si="31"/>
        <v>0.43909090909090909</v>
      </c>
    </row>
    <row r="450" spans="1:22" x14ac:dyDescent="0.3">
      <c r="A450" s="5" t="s">
        <v>318</v>
      </c>
      <c r="B450" s="5" t="s">
        <v>319</v>
      </c>
      <c r="C450" s="5">
        <v>2017</v>
      </c>
      <c r="D450" s="5">
        <v>112.5</v>
      </c>
      <c r="E450" s="5">
        <v>29.55</v>
      </c>
      <c r="F450" s="5" t="s">
        <v>199</v>
      </c>
      <c r="G450" s="29">
        <v>700.5</v>
      </c>
      <c r="H450" s="29">
        <v>768</v>
      </c>
      <c r="I450" s="29">
        <v>26.7</v>
      </c>
      <c r="J450" s="29">
        <v>1.27</v>
      </c>
      <c r="K450" s="29">
        <v>21.58823529</v>
      </c>
      <c r="L450" s="29">
        <v>29.882352940000001</v>
      </c>
      <c r="M450" s="29">
        <v>42.647058819999998</v>
      </c>
      <c r="N450" s="29">
        <v>7.7</v>
      </c>
      <c r="O450" s="29">
        <v>29.2</v>
      </c>
      <c r="P450" s="29">
        <v>2.95</v>
      </c>
      <c r="Q450" s="29">
        <f t="shared" si="30"/>
        <v>9.8983050847457612</v>
      </c>
      <c r="R450" s="29">
        <v>0</v>
      </c>
      <c r="S450" s="79">
        <v>0.28000000000000003</v>
      </c>
      <c r="V450" s="80">
        <f t="shared" si="31"/>
        <v>0</v>
      </c>
    </row>
    <row r="451" spans="1:22" x14ac:dyDescent="0.3">
      <c r="A451" s="5" t="s">
        <v>318</v>
      </c>
      <c r="B451" s="5" t="s">
        <v>319</v>
      </c>
      <c r="C451" s="5">
        <v>2017</v>
      </c>
      <c r="D451" s="5">
        <v>112.5</v>
      </c>
      <c r="E451" s="5">
        <v>29.55</v>
      </c>
      <c r="F451" s="5" t="s">
        <v>199</v>
      </c>
      <c r="G451" s="29">
        <v>700.5</v>
      </c>
      <c r="H451" s="29">
        <v>768</v>
      </c>
      <c r="I451" s="29">
        <v>26.7</v>
      </c>
      <c r="J451" s="29">
        <v>1.27</v>
      </c>
      <c r="K451" s="29">
        <v>21.58823529</v>
      </c>
      <c r="L451" s="29">
        <v>29.882352940000001</v>
      </c>
      <c r="M451" s="29">
        <v>42.647058819999998</v>
      </c>
      <c r="N451" s="29">
        <v>7.7</v>
      </c>
      <c r="O451" s="29">
        <v>29.2</v>
      </c>
      <c r="P451" s="29">
        <v>2.95</v>
      </c>
      <c r="Q451" s="29">
        <f t="shared" si="30"/>
        <v>9.8983050847457612</v>
      </c>
      <c r="R451" s="29">
        <v>0</v>
      </c>
      <c r="S451" s="79">
        <v>0.19727272727272727</v>
      </c>
      <c r="V451" s="80">
        <f t="shared" si="31"/>
        <v>0</v>
      </c>
    </row>
    <row r="452" spans="1:22" x14ac:dyDescent="0.3">
      <c r="A452" s="5" t="s">
        <v>318</v>
      </c>
      <c r="B452" s="5" t="s">
        <v>319</v>
      </c>
      <c r="C452" s="5">
        <v>2017</v>
      </c>
      <c r="D452" s="5">
        <v>112.5</v>
      </c>
      <c r="E452" s="5">
        <v>29.55</v>
      </c>
      <c r="F452" s="5" t="s">
        <v>199</v>
      </c>
      <c r="G452" s="29">
        <v>700.5</v>
      </c>
      <c r="H452" s="29">
        <v>768</v>
      </c>
      <c r="I452" s="29">
        <v>26.7</v>
      </c>
      <c r="J452" s="29">
        <v>1.27</v>
      </c>
      <c r="K452" s="29">
        <v>24</v>
      </c>
      <c r="L452" s="29">
        <v>46</v>
      </c>
      <c r="M452" s="29">
        <v>30</v>
      </c>
      <c r="N452" s="29">
        <v>7.7</v>
      </c>
      <c r="O452" s="29">
        <v>29.2</v>
      </c>
      <c r="P452" s="29">
        <v>2.95</v>
      </c>
      <c r="Q452" s="29">
        <f t="shared" si="30"/>
        <v>9.8983050847457612</v>
      </c>
      <c r="R452" s="29">
        <v>100</v>
      </c>
      <c r="S452" s="79">
        <v>0.66818181818181821</v>
      </c>
      <c r="U452" s="80">
        <f>(S452-S450)/R452</f>
        <v>3.881818181818182E-3</v>
      </c>
      <c r="V452" s="80">
        <f t="shared" si="31"/>
        <v>0.38818181818181818</v>
      </c>
    </row>
    <row r="453" spans="1:22" x14ac:dyDescent="0.3">
      <c r="A453" s="5" t="s">
        <v>318</v>
      </c>
      <c r="B453" s="5" t="s">
        <v>319</v>
      </c>
      <c r="C453" s="5">
        <v>2017</v>
      </c>
      <c r="D453" s="5">
        <v>112.5</v>
      </c>
      <c r="E453" s="5">
        <v>29.55</v>
      </c>
      <c r="F453" s="5" t="s">
        <v>199</v>
      </c>
      <c r="G453" s="29">
        <v>700.5</v>
      </c>
      <c r="H453" s="29">
        <v>768</v>
      </c>
      <c r="I453" s="29">
        <v>26.7</v>
      </c>
      <c r="J453" s="29">
        <v>1.27</v>
      </c>
      <c r="K453" s="29">
        <v>24</v>
      </c>
      <c r="L453" s="29">
        <v>46</v>
      </c>
      <c r="M453" s="29">
        <v>30</v>
      </c>
      <c r="N453" s="29">
        <v>7.7</v>
      </c>
      <c r="O453" s="29">
        <v>29.2</v>
      </c>
      <c r="P453" s="29">
        <v>2.95</v>
      </c>
      <c r="Q453" s="29">
        <f t="shared" si="30"/>
        <v>9.8983050847457612</v>
      </c>
      <c r="R453" s="29">
        <v>100</v>
      </c>
      <c r="S453" s="79">
        <v>0.47090909090909094</v>
      </c>
      <c r="U453" s="80">
        <f>(S453-S451)/R453</f>
        <v>2.7363636363636366E-3</v>
      </c>
      <c r="V453" s="80">
        <f t="shared" si="31"/>
        <v>0.27363636363636368</v>
      </c>
    </row>
    <row r="454" spans="1:22" x14ac:dyDescent="0.3">
      <c r="A454" s="5" t="s">
        <v>318</v>
      </c>
      <c r="B454" s="5" t="s">
        <v>319</v>
      </c>
      <c r="C454" s="5">
        <v>2017</v>
      </c>
      <c r="D454" s="5">
        <v>112.5</v>
      </c>
      <c r="E454" s="5">
        <v>29.55</v>
      </c>
      <c r="F454" s="5" t="s">
        <v>199</v>
      </c>
      <c r="G454" s="29">
        <v>700.5</v>
      </c>
      <c r="H454" s="29">
        <v>768</v>
      </c>
      <c r="I454" s="29">
        <v>26.7</v>
      </c>
      <c r="J454" s="29">
        <v>1.27</v>
      </c>
      <c r="K454" s="29">
        <v>24</v>
      </c>
      <c r="L454" s="29">
        <v>46</v>
      </c>
      <c r="M454" s="29">
        <v>30</v>
      </c>
      <c r="N454" s="29">
        <v>7.7</v>
      </c>
      <c r="O454" s="29">
        <v>29.2</v>
      </c>
      <c r="P454" s="29">
        <v>2.95</v>
      </c>
      <c r="Q454" s="29">
        <f t="shared" si="30"/>
        <v>9.8983050847457612</v>
      </c>
      <c r="R454" s="29">
        <v>200</v>
      </c>
      <c r="S454" s="79">
        <v>0.94181818181818189</v>
      </c>
      <c r="U454" s="80">
        <f>(S454-S450)/R454</f>
        <v>3.3090909090909091E-3</v>
      </c>
      <c r="V454" s="80">
        <f t="shared" si="31"/>
        <v>0.33090909090909093</v>
      </c>
    </row>
    <row r="455" spans="1:22" x14ac:dyDescent="0.3">
      <c r="A455" s="81" t="s">
        <v>318</v>
      </c>
      <c r="B455" s="81" t="s">
        <v>319</v>
      </c>
      <c r="C455" s="81">
        <v>2017</v>
      </c>
      <c r="D455" s="81">
        <v>112.5</v>
      </c>
      <c r="E455" s="81">
        <v>29.55</v>
      </c>
      <c r="F455" s="81" t="s">
        <v>199</v>
      </c>
      <c r="G455" s="34">
        <v>700.5</v>
      </c>
      <c r="H455" s="34">
        <v>768</v>
      </c>
      <c r="I455" s="34">
        <v>26.7</v>
      </c>
      <c r="J455" s="34">
        <v>1.27</v>
      </c>
      <c r="K455" s="29">
        <v>24</v>
      </c>
      <c r="L455" s="29">
        <v>46</v>
      </c>
      <c r="M455" s="29">
        <v>30</v>
      </c>
      <c r="N455" s="34">
        <v>7.7</v>
      </c>
      <c r="O455" s="34">
        <v>29.2</v>
      </c>
      <c r="P455" s="34">
        <v>2.95</v>
      </c>
      <c r="Q455" s="34">
        <f t="shared" si="30"/>
        <v>9.8983050847457612</v>
      </c>
      <c r="R455" s="34">
        <v>200</v>
      </c>
      <c r="S455" s="82">
        <v>0.82727272727272727</v>
      </c>
      <c r="T455" s="34"/>
      <c r="U455" s="83">
        <f>(S455-S450)/R455</f>
        <v>2.7363636363636362E-3</v>
      </c>
      <c r="V455" s="83">
        <f t="shared" si="31"/>
        <v>0.27363636363636362</v>
      </c>
    </row>
    <row r="456" spans="1:22" x14ac:dyDescent="0.3">
      <c r="A456" s="5" t="s">
        <v>200</v>
      </c>
      <c r="B456" s="5" t="s">
        <v>189</v>
      </c>
      <c r="C456" s="5">
        <v>2017</v>
      </c>
      <c r="D456" s="5">
        <v>110.8</v>
      </c>
      <c r="E456" s="5">
        <v>32.32</v>
      </c>
      <c r="F456" s="5">
        <v>2013</v>
      </c>
      <c r="G456" s="29">
        <v>571.5</v>
      </c>
      <c r="H456" s="29">
        <v>700.5</v>
      </c>
      <c r="I456" s="29">
        <v>22.2</v>
      </c>
      <c r="J456" s="29">
        <v>1.36</v>
      </c>
      <c r="K456" s="29">
        <v>20.2</v>
      </c>
      <c r="L456" s="29">
        <v>50.3</v>
      </c>
      <c r="M456" s="29">
        <v>19.8</v>
      </c>
      <c r="N456" s="29">
        <v>6</v>
      </c>
      <c r="O456" s="29">
        <v>11.9</v>
      </c>
      <c r="P456" s="29">
        <v>1.31</v>
      </c>
      <c r="Q456" s="29">
        <f t="shared" si="30"/>
        <v>9.0839694656488543</v>
      </c>
      <c r="R456" s="29">
        <v>0</v>
      </c>
      <c r="S456" s="79">
        <v>0.19</v>
      </c>
      <c r="T456" s="44">
        <f>AVERAGE(S456,S461)</f>
        <v>0.14500000000000002</v>
      </c>
      <c r="V456" s="80">
        <f t="shared" si="31"/>
        <v>0</v>
      </c>
    </row>
    <row r="457" spans="1:22" x14ac:dyDescent="0.3">
      <c r="A457" s="5" t="s">
        <v>200</v>
      </c>
      <c r="B457" s="5" t="s">
        <v>189</v>
      </c>
      <c r="C457" s="5">
        <v>2017</v>
      </c>
      <c r="D457" s="5">
        <v>110.8</v>
      </c>
      <c r="E457" s="5">
        <v>32.32</v>
      </c>
      <c r="F457" s="5">
        <v>2013</v>
      </c>
      <c r="G457" s="29">
        <v>571.5</v>
      </c>
      <c r="H457" s="29">
        <v>700.5</v>
      </c>
      <c r="I457" s="29">
        <v>22.2</v>
      </c>
      <c r="J457" s="29">
        <v>1.36</v>
      </c>
      <c r="K457" s="29">
        <v>41</v>
      </c>
      <c r="L457" s="29">
        <v>42</v>
      </c>
      <c r="M457" s="29">
        <v>17</v>
      </c>
      <c r="N457" s="29">
        <v>6</v>
      </c>
      <c r="O457" s="29">
        <v>11.9</v>
      </c>
      <c r="P457" s="29">
        <v>1.31</v>
      </c>
      <c r="Q457" s="29">
        <f t="shared" si="30"/>
        <v>9.0839694656488543</v>
      </c>
      <c r="R457" s="29">
        <v>150</v>
      </c>
      <c r="S457" s="79">
        <v>1.97</v>
      </c>
      <c r="U457" s="80">
        <f>(S457-S456)/R457</f>
        <v>1.1866666666666666E-2</v>
      </c>
      <c r="V457" s="80">
        <f t="shared" si="31"/>
        <v>1.1866666666666665</v>
      </c>
    </row>
    <row r="458" spans="1:22" x14ac:dyDescent="0.3">
      <c r="A458" s="5" t="s">
        <v>200</v>
      </c>
      <c r="B458" s="5" t="s">
        <v>189</v>
      </c>
      <c r="C458" s="5">
        <v>2017</v>
      </c>
      <c r="D458" s="5">
        <v>110.8</v>
      </c>
      <c r="E458" s="5">
        <v>32.32</v>
      </c>
      <c r="F458" s="5">
        <v>2013</v>
      </c>
      <c r="G458" s="29">
        <v>571.5</v>
      </c>
      <c r="H458" s="29">
        <v>700.5</v>
      </c>
      <c r="I458" s="29">
        <v>22.2</v>
      </c>
      <c r="J458" s="29">
        <v>1.36</v>
      </c>
      <c r="K458" s="29">
        <v>41</v>
      </c>
      <c r="L458" s="29">
        <v>42</v>
      </c>
      <c r="M458" s="29">
        <v>17</v>
      </c>
      <c r="N458" s="29">
        <v>6</v>
      </c>
      <c r="O458" s="29">
        <v>11.9</v>
      </c>
      <c r="P458" s="29">
        <v>1.31</v>
      </c>
      <c r="Q458" s="29">
        <f t="shared" si="30"/>
        <v>9.0839694656488543</v>
      </c>
      <c r="R458" s="29">
        <v>150</v>
      </c>
      <c r="S458" s="79">
        <v>2.1800000000000002</v>
      </c>
      <c r="U458" s="80">
        <f>(S458-S456)/R458</f>
        <v>1.3266666666666668E-2</v>
      </c>
      <c r="V458" s="80">
        <f t="shared" si="31"/>
        <v>1.3266666666666669</v>
      </c>
    </row>
    <row r="459" spans="1:22" x14ac:dyDescent="0.3">
      <c r="A459" s="5" t="s">
        <v>200</v>
      </c>
      <c r="B459" s="5" t="s">
        <v>189</v>
      </c>
      <c r="C459" s="5">
        <v>2017</v>
      </c>
      <c r="D459" s="5">
        <v>110.8</v>
      </c>
      <c r="E459" s="5">
        <v>32.32</v>
      </c>
      <c r="F459" s="5">
        <v>2013</v>
      </c>
      <c r="G459" s="29">
        <v>571.5</v>
      </c>
      <c r="H459" s="29">
        <v>700.5</v>
      </c>
      <c r="I459" s="29">
        <v>22.2</v>
      </c>
      <c r="J459" s="29">
        <v>1.36</v>
      </c>
      <c r="K459" s="29">
        <v>41</v>
      </c>
      <c r="L459" s="29">
        <v>42</v>
      </c>
      <c r="M459" s="29">
        <v>17</v>
      </c>
      <c r="N459" s="29">
        <v>6</v>
      </c>
      <c r="O459" s="29">
        <v>21.9</v>
      </c>
      <c r="P459" s="29">
        <v>2.31</v>
      </c>
      <c r="Q459" s="29">
        <f t="shared" si="30"/>
        <v>9.4805194805194795</v>
      </c>
      <c r="R459" s="29">
        <v>150</v>
      </c>
      <c r="S459" s="79">
        <v>3.77</v>
      </c>
      <c r="U459" s="80">
        <f>(S459-S456)/R459</f>
        <v>2.3866666666666668E-2</v>
      </c>
      <c r="V459" s="80">
        <f t="shared" si="31"/>
        <v>2.3866666666666667</v>
      </c>
    </row>
    <row r="460" spans="1:22" x14ac:dyDescent="0.3">
      <c r="A460" s="5" t="s">
        <v>200</v>
      </c>
      <c r="B460" s="5" t="s">
        <v>189</v>
      </c>
      <c r="C460" s="5">
        <v>2017</v>
      </c>
      <c r="D460" s="5">
        <v>110.8</v>
      </c>
      <c r="E460" s="5">
        <v>32.32</v>
      </c>
      <c r="F460" s="5">
        <v>2013</v>
      </c>
      <c r="G460" s="29">
        <v>571.5</v>
      </c>
      <c r="H460" s="29">
        <v>700.5</v>
      </c>
      <c r="I460" s="29">
        <v>22.2</v>
      </c>
      <c r="J460" s="29">
        <v>1.36</v>
      </c>
      <c r="K460" s="29">
        <v>41</v>
      </c>
      <c r="L460" s="29">
        <v>42</v>
      </c>
      <c r="M460" s="29">
        <v>17</v>
      </c>
      <c r="N460" s="29">
        <v>6</v>
      </c>
      <c r="O460" s="29">
        <v>11.9</v>
      </c>
      <c r="P460" s="29">
        <v>1.31</v>
      </c>
      <c r="Q460" s="29">
        <f t="shared" ref="Q460:Q468" si="32">O460/P460</f>
        <v>9.0839694656488543</v>
      </c>
      <c r="R460" s="29">
        <v>150</v>
      </c>
      <c r="S460" s="79">
        <v>1.63</v>
      </c>
      <c r="U460" s="80">
        <f>(S460-S456)/R460</f>
        <v>9.5999999999999992E-3</v>
      </c>
      <c r="V460" s="80">
        <f t="shared" si="31"/>
        <v>0.96</v>
      </c>
    </row>
    <row r="461" spans="1:22" x14ac:dyDescent="0.3">
      <c r="A461" s="5" t="s">
        <v>200</v>
      </c>
      <c r="B461" s="5" t="s">
        <v>189</v>
      </c>
      <c r="C461" s="5">
        <v>2017</v>
      </c>
      <c r="D461" s="5">
        <v>110.8</v>
      </c>
      <c r="E461" s="5">
        <v>32.32</v>
      </c>
      <c r="F461" s="5">
        <v>2014</v>
      </c>
      <c r="G461" s="29">
        <v>703.50000000000011</v>
      </c>
      <c r="H461" s="29">
        <v>700.5</v>
      </c>
      <c r="I461" s="29">
        <v>20.46</v>
      </c>
      <c r="J461" s="29">
        <v>1.36</v>
      </c>
      <c r="K461" s="29">
        <v>20.2</v>
      </c>
      <c r="L461" s="29">
        <v>50.3</v>
      </c>
      <c r="M461" s="29">
        <v>19.8</v>
      </c>
      <c r="N461" s="29">
        <v>6</v>
      </c>
      <c r="O461" s="29">
        <v>11.9</v>
      </c>
      <c r="P461" s="29">
        <v>1.31</v>
      </c>
      <c r="Q461" s="29">
        <f t="shared" si="32"/>
        <v>9.0839694656488543</v>
      </c>
      <c r="R461" s="29">
        <v>0</v>
      </c>
      <c r="S461" s="79">
        <v>0.1</v>
      </c>
      <c r="V461" s="80">
        <f t="shared" ref="V461:V469" si="33">U461*100</f>
        <v>0</v>
      </c>
    </row>
    <row r="462" spans="1:22" x14ac:dyDescent="0.3">
      <c r="A462" s="5" t="s">
        <v>200</v>
      </c>
      <c r="B462" s="5" t="s">
        <v>189</v>
      </c>
      <c r="C462" s="5">
        <v>2017</v>
      </c>
      <c r="D462" s="5">
        <v>110.8</v>
      </c>
      <c r="E462" s="5">
        <v>32.32</v>
      </c>
      <c r="F462" s="5">
        <v>2014</v>
      </c>
      <c r="G462" s="29">
        <v>703.50000000000011</v>
      </c>
      <c r="H462" s="29">
        <v>700.5</v>
      </c>
      <c r="I462" s="29">
        <v>20.46</v>
      </c>
      <c r="J462" s="29">
        <v>1.36</v>
      </c>
      <c r="K462" s="29">
        <v>41</v>
      </c>
      <c r="L462" s="29">
        <v>42</v>
      </c>
      <c r="M462" s="29">
        <v>17</v>
      </c>
      <c r="N462" s="29">
        <v>6</v>
      </c>
      <c r="O462" s="29">
        <v>11.9</v>
      </c>
      <c r="P462" s="29">
        <v>1.31</v>
      </c>
      <c r="Q462" s="29">
        <f t="shared" si="32"/>
        <v>9.0839694656488543</v>
      </c>
      <c r="R462" s="29">
        <v>150</v>
      </c>
      <c r="S462" s="79">
        <v>1.85</v>
      </c>
      <c r="U462" s="80">
        <f>(S462-S461)/R462</f>
        <v>1.1666666666666667E-2</v>
      </c>
      <c r="V462" s="80">
        <f t="shared" si="33"/>
        <v>1.1666666666666667</v>
      </c>
    </row>
    <row r="463" spans="1:22" x14ac:dyDescent="0.3">
      <c r="A463" s="5" t="s">
        <v>200</v>
      </c>
      <c r="B463" s="5" t="s">
        <v>189</v>
      </c>
      <c r="C463" s="5">
        <v>2017</v>
      </c>
      <c r="D463" s="5">
        <v>110.8</v>
      </c>
      <c r="E463" s="5">
        <v>32.32</v>
      </c>
      <c r="F463" s="5">
        <v>2014</v>
      </c>
      <c r="G463" s="29">
        <v>703.50000000000011</v>
      </c>
      <c r="H463" s="29">
        <v>700.5</v>
      </c>
      <c r="I463" s="29">
        <v>20.46</v>
      </c>
      <c r="J463" s="29">
        <v>1.36</v>
      </c>
      <c r="K463" s="29">
        <v>41</v>
      </c>
      <c r="L463" s="29">
        <v>42</v>
      </c>
      <c r="M463" s="29">
        <v>17</v>
      </c>
      <c r="N463" s="29">
        <v>6</v>
      </c>
      <c r="O463" s="29">
        <v>11.9</v>
      </c>
      <c r="P463" s="29">
        <v>1.31</v>
      </c>
      <c r="Q463" s="29">
        <f t="shared" si="32"/>
        <v>9.0839694656488543</v>
      </c>
      <c r="R463" s="29">
        <v>150</v>
      </c>
      <c r="S463" s="79">
        <v>2.11</v>
      </c>
      <c r="U463" s="80">
        <f>(S463-S461)/R463</f>
        <v>1.3399999999999999E-2</v>
      </c>
      <c r="V463" s="80">
        <f t="shared" si="33"/>
        <v>1.3399999999999999</v>
      </c>
    </row>
    <row r="464" spans="1:22" x14ac:dyDescent="0.3">
      <c r="A464" s="5" t="s">
        <v>200</v>
      </c>
      <c r="B464" s="5" t="s">
        <v>189</v>
      </c>
      <c r="C464" s="5">
        <v>2017</v>
      </c>
      <c r="D464" s="5">
        <v>110.8</v>
      </c>
      <c r="E464" s="5">
        <v>32.32</v>
      </c>
      <c r="F464" s="5">
        <v>2014</v>
      </c>
      <c r="G464" s="29">
        <v>703.50000000000011</v>
      </c>
      <c r="H464" s="29">
        <v>700.5</v>
      </c>
      <c r="I464" s="29">
        <v>20.46</v>
      </c>
      <c r="J464" s="29">
        <v>1.36</v>
      </c>
      <c r="K464" s="29">
        <v>41</v>
      </c>
      <c r="L464" s="29">
        <v>42</v>
      </c>
      <c r="M464" s="29">
        <v>17</v>
      </c>
      <c r="N464" s="29">
        <v>6</v>
      </c>
      <c r="O464" s="29">
        <v>31.9</v>
      </c>
      <c r="P464" s="29">
        <v>2.31</v>
      </c>
      <c r="Q464" s="29">
        <f t="shared" si="32"/>
        <v>13.809523809523808</v>
      </c>
      <c r="R464" s="29">
        <v>150</v>
      </c>
      <c r="S464" s="79">
        <v>6.41</v>
      </c>
      <c r="U464" s="80">
        <f>(S464-S461)/R464</f>
        <v>4.2066666666666669E-2</v>
      </c>
      <c r="V464" s="80">
        <f t="shared" si="33"/>
        <v>4.206666666666667</v>
      </c>
    </row>
    <row r="465" spans="1:22" x14ac:dyDescent="0.3">
      <c r="A465" s="81" t="s">
        <v>200</v>
      </c>
      <c r="B465" s="81" t="s">
        <v>189</v>
      </c>
      <c r="C465" s="81">
        <v>2017</v>
      </c>
      <c r="D465" s="81">
        <v>110.8</v>
      </c>
      <c r="E465" s="81">
        <v>32.32</v>
      </c>
      <c r="F465" s="81">
        <v>2014</v>
      </c>
      <c r="G465" s="34">
        <v>703.50000000000011</v>
      </c>
      <c r="H465" s="34">
        <v>700.5</v>
      </c>
      <c r="I465" s="34">
        <v>20.46</v>
      </c>
      <c r="J465" s="34">
        <v>1.36</v>
      </c>
      <c r="K465" s="29">
        <v>41</v>
      </c>
      <c r="L465" s="29">
        <v>42</v>
      </c>
      <c r="M465" s="29">
        <v>17</v>
      </c>
      <c r="N465" s="34">
        <v>6</v>
      </c>
      <c r="O465" s="34">
        <v>21.9</v>
      </c>
      <c r="P465" s="34">
        <v>2.31</v>
      </c>
      <c r="Q465" s="34">
        <f t="shared" si="32"/>
        <v>9.4805194805194795</v>
      </c>
      <c r="R465" s="34">
        <v>150</v>
      </c>
      <c r="S465" s="82">
        <v>3.79</v>
      </c>
      <c r="T465" s="34"/>
      <c r="U465" s="83">
        <f>(S465-S461)/R465</f>
        <v>2.46E-2</v>
      </c>
      <c r="V465" s="83">
        <f t="shared" si="33"/>
        <v>2.46</v>
      </c>
    </row>
    <row r="466" spans="1:22" ht="16.5" x14ac:dyDescent="0.45">
      <c r="A466" s="5" t="s">
        <v>323</v>
      </c>
      <c r="B466" s="5" t="s">
        <v>324</v>
      </c>
      <c r="C466" s="5">
        <v>2013</v>
      </c>
      <c r="D466" s="5">
        <v>120.4</v>
      </c>
      <c r="E466" s="5">
        <v>30.43</v>
      </c>
      <c r="F466" s="5">
        <v>2012</v>
      </c>
      <c r="G466" s="29">
        <v>538.79999999999995</v>
      </c>
      <c r="H466" s="29">
        <v>524.4</v>
      </c>
      <c r="I466" s="29">
        <v>25.53</v>
      </c>
      <c r="J466" s="29">
        <v>1.28</v>
      </c>
      <c r="K466" s="29">
        <v>35</v>
      </c>
      <c r="L466" s="29">
        <v>34</v>
      </c>
      <c r="M466" s="29">
        <v>31</v>
      </c>
      <c r="N466" s="29">
        <v>6.27</v>
      </c>
      <c r="O466" s="29">
        <v>7.1925754060324829</v>
      </c>
      <c r="P466" s="29">
        <v>0.75</v>
      </c>
      <c r="Q466" s="29">
        <f t="shared" si="32"/>
        <v>9.5901005413766445</v>
      </c>
      <c r="R466" s="29">
        <v>0</v>
      </c>
      <c r="S466" s="79">
        <v>0.14898354545454545</v>
      </c>
      <c r="T466" s="44">
        <f>S466</f>
        <v>0.14898354545454545</v>
      </c>
      <c r="V466" s="80">
        <f t="shared" si="33"/>
        <v>0</v>
      </c>
    </row>
    <row r="467" spans="1:22" x14ac:dyDescent="0.3">
      <c r="A467" s="81" t="s">
        <v>167</v>
      </c>
      <c r="B467" s="81" t="s">
        <v>322</v>
      </c>
      <c r="C467" s="81">
        <v>2013</v>
      </c>
      <c r="D467" s="81">
        <v>120.4</v>
      </c>
      <c r="E467" s="81">
        <v>30.43</v>
      </c>
      <c r="F467" s="81">
        <v>2012</v>
      </c>
      <c r="G467" s="34">
        <v>538.79999999999995</v>
      </c>
      <c r="H467" s="34">
        <v>524.4</v>
      </c>
      <c r="I467" s="34">
        <v>25.53</v>
      </c>
      <c r="J467" s="34">
        <v>1.28</v>
      </c>
      <c r="K467" s="34">
        <v>35</v>
      </c>
      <c r="L467" s="34">
        <v>34</v>
      </c>
      <c r="M467" s="34">
        <v>31</v>
      </c>
      <c r="N467" s="34">
        <v>6.27</v>
      </c>
      <c r="O467" s="34">
        <v>7.1925754060324829</v>
      </c>
      <c r="P467" s="34">
        <v>0.75</v>
      </c>
      <c r="Q467" s="34">
        <f t="shared" si="32"/>
        <v>9.5901005413766445</v>
      </c>
      <c r="R467" s="34">
        <v>180</v>
      </c>
      <c r="S467" s="82">
        <v>0.23875568181818183</v>
      </c>
      <c r="T467" s="34"/>
      <c r="U467" s="83">
        <f>(S467-S466)/R467</f>
        <v>4.9873409090909094E-4</v>
      </c>
      <c r="V467" s="83">
        <f t="shared" si="33"/>
        <v>4.9873409090909093E-2</v>
      </c>
    </row>
    <row r="468" spans="1:22" x14ac:dyDescent="0.3">
      <c r="A468" s="91" t="s">
        <v>326</v>
      </c>
      <c r="B468" s="91" t="s">
        <v>325</v>
      </c>
      <c r="C468" s="5">
        <v>2013</v>
      </c>
      <c r="D468" s="5">
        <v>120.84</v>
      </c>
      <c r="E468" s="5">
        <v>30.83</v>
      </c>
      <c r="F468" s="5">
        <v>2010</v>
      </c>
      <c r="G468" s="29">
        <v>679.5</v>
      </c>
      <c r="H468" s="29">
        <v>771</v>
      </c>
      <c r="I468" s="29">
        <v>26.19</v>
      </c>
      <c r="J468" s="29">
        <v>1.2</v>
      </c>
      <c r="K468" s="29">
        <v>36</v>
      </c>
      <c r="L468" s="29">
        <v>43</v>
      </c>
      <c r="M468" s="29">
        <v>21</v>
      </c>
      <c r="N468" s="29">
        <v>6</v>
      </c>
      <c r="O468" s="29">
        <v>13.921113689095128</v>
      </c>
      <c r="P468" s="29">
        <v>3</v>
      </c>
      <c r="Q468" s="29">
        <f t="shared" si="32"/>
        <v>4.6403712296983759</v>
      </c>
      <c r="R468" s="29">
        <v>0</v>
      </c>
      <c r="S468" s="79">
        <v>0.8</v>
      </c>
      <c r="T468" s="44">
        <f>S468</f>
        <v>0.8</v>
      </c>
      <c r="V468" s="80">
        <f t="shared" si="33"/>
        <v>0</v>
      </c>
    </row>
    <row r="469" spans="1:22" x14ac:dyDescent="0.3">
      <c r="A469" s="89" t="s">
        <v>326</v>
      </c>
      <c r="B469" s="89" t="s">
        <v>325</v>
      </c>
      <c r="C469" s="5">
        <v>2013</v>
      </c>
      <c r="D469" s="5">
        <v>120.84</v>
      </c>
      <c r="E469" s="5">
        <v>30.83</v>
      </c>
      <c r="F469" s="5">
        <v>2010</v>
      </c>
      <c r="G469" s="29">
        <v>679.5</v>
      </c>
      <c r="H469" s="29">
        <v>771</v>
      </c>
      <c r="I469" s="29">
        <v>26.19</v>
      </c>
      <c r="J469" s="29">
        <v>1.2</v>
      </c>
      <c r="K469" s="29">
        <v>36</v>
      </c>
      <c r="L469" s="29">
        <v>43</v>
      </c>
      <c r="M469" s="29">
        <v>21</v>
      </c>
      <c r="N469" s="29">
        <v>6</v>
      </c>
      <c r="O469" s="29">
        <v>13.921113689095128</v>
      </c>
      <c r="P469" s="29">
        <v>3.05</v>
      </c>
      <c r="Q469" s="29">
        <f t="shared" ref="Q469:Q490" si="34">O469/P469</f>
        <v>4.5642995701951241</v>
      </c>
      <c r="R469" s="29">
        <v>270</v>
      </c>
      <c r="S469" s="79">
        <v>1.2</v>
      </c>
      <c r="U469" s="80">
        <f>(S469-S468)/R469</f>
        <v>1.4814814814814812E-3</v>
      </c>
      <c r="V469" s="80">
        <f t="shared" si="33"/>
        <v>0.14814814814814811</v>
      </c>
    </row>
    <row r="470" spans="1:22" x14ac:dyDescent="0.3">
      <c r="A470" s="81" t="s">
        <v>326</v>
      </c>
      <c r="B470" s="81" t="s">
        <v>325</v>
      </c>
      <c r="C470" s="81">
        <v>2013</v>
      </c>
      <c r="D470" s="81">
        <v>120.84</v>
      </c>
      <c r="E470" s="81">
        <v>30.83</v>
      </c>
      <c r="F470" s="81">
        <v>2010</v>
      </c>
      <c r="G470" s="34">
        <v>679.5</v>
      </c>
      <c r="H470" s="34">
        <v>771</v>
      </c>
      <c r="I470" s="34">
        <v>26.19</v>
      </c>
      <c r="J470" s="34">
        <v>1.2</v>
      </c>
      <c r="K470" s="34">
        <v>36</v>
      </c>
      <c r="L470" s="34">
        <v>43</v>
      </c>
      <c r="M470" s="34">
        <v>21</v>
      </c>
      <c r="N470" s="34">
        <v>6</v>
      </c>
      <c r="O470" s="34">
        <v>13.921113689095128</v>
      </c>
      <c r="P470" s="34">
        <v>3.05</v>
      </c>
      <c r="Q470" s="34">
        <f t="shared" si="34"/>
        <v>4.5642995701951241</v>
      </c>
      <c r="R470" s="34">
        <v>270</v>
      </c>
      <c r="S470" s="82">
        <v>1.5</v>
      </c>
      <c r="T470" s="34"/>
      <c r="U470" s="83">
        <f>(S470-S468)/R470</f>
        <v>2.5925925925925925E-3</v>
      </c>
      <c r="V470" s="83">
        <f t="shared" ref="V470:V490" si="35">U470*100</f>
        <v>0.25925925925925924</v>
      </c>
    </row>
    <row r="471" spans="1:22" x14ac:dyDescent="0.3">
      <c r="A471" s="91" t="s">
        <v>327</v>
      </c>
      <c r="B471" s="91" t="s">
        <v>328</v>
      </c>
      <c r="C471" s="5">
        <v>2013</v>
      </c>
      <c r="D471" s="5">
        <v>117.15</v>
      </c>
      <c r="E471" s="5">
        <v>36.15</v>
      </c>
      <c r="F471" s="5">
        <v>2007</v>
      </c>
      <c r="G471" s="29">
        <v>666</v>
      </c>
      <c r="H471" s="29">
        <v>1072.8</v>
      </c>
      <c r="I471" s="29">
        <v>22.47</v>
      </c>
      <c r="J471" s="29">
        <v>1.75</v>
      </c>
      <c r="K471" s="29">
        <v>23</v>
      </c>
      <c r="L471" s="29">
        <v>55</v>
      </c>
      <c r="M471" s="29">
        <v>22</v>
      </c>
      <c r="N471" s="29">
        <v>7.3</v>
      </c>
      <c r="O471" s="29">
        <v>4.7563805104408345</v>
      </c>
      <c r="P471" s="29">
        <v>1.75</v>
      </c>
      <c r="Q471" s="29">
        <f t="shared" si="34"/>
        <v>2.7179317202519053</v>
      </c>
      <c r="R471" s="29">
        <v>0</v>
      </c>
      <c r="S471" s="79">
        <v>2.6100000000000002E-2</v>
      </c>
      <c r="T471" s="44">
        <f>AVERAGE(S471,S475)</f>
        <v>2.7550000000000002E-2</v>
      </c>
      <c r="V471" s="80">
        <f t="shared" si="35"/>
        <v>0</v>
      </c>
    </row>
    <row r="472" spans="1:22" x14ac:dyDescent="0.3">
      <c r="A472" s="89" t="s">
        <v>327</v>
      </c>
      <c r="B472" s="89" t="s">
        <v>328</v>
      </c>
      <c r="C472" s="5">
        <v>2013</v>
      </c>
      <c r="D472" s="5">
        <v>117.15</v>
      </c>
      <c r="E472" s="5">
        <v>36.15</v>
      </c>
      <c r="F472" s="5">
        <v>2007</v>
      </c>
      <c r="G472" s="29">
        <v>666</v>
      </c>
      <c r="H472" s="29">
        <v>1072.8</v>
      </c>
      <c r="I472" s="29">
        <v>22.47</v>
      </c>
      <c r="J472" s="29">
        <v>1.51</v>
      </c>
      <c r="K472" s="29">
        <v>25</v>
      </c>
      <c r="L472" s="29">
        <v>61</v>
      </c>
      <c r="M472" s="29">
        <v>14</v>
      </c>
      <c r="N472" s="29">
        <v>7.3</v>
      </c>
      <c r="O472" s="29">
        <v>4.7563805104408345</v>
      </c>
      <c r="P472" s="29">
        <v>1.75</v>
      </c>
      <c r="Q472" s="29">
        <f t="shared" si="34"/>
        <v>2.7179317202519053</v>
      </c>
      <c r="R472" s="29">
        <v>100</v>
      </c>
      <c r="S472" s="79">
        <v>0.184</v>
      </c>
      <c r="U472" s="80">
        <f>(S472-S471)/R472</f>
        <v>1.5789999999999999E-3</v>
      </c>
      <c r="V472" s="80">
        <f t="shared" si="35"/>
        <v>0.15789999999999998</v>
      </c>
    </row>
    <row r="473" spans="1:22" x14ac:dyDescent="0.3">
      <c r="A473" s="89" t="s">
        <v>327</v>
      </c>
      <c r="B473" s="89" t="s">
        <v>328</v>
      </c>
      <c r="C473" s="5">
        <v>2013</v>
      </c>
      <c r="D473" s="5">
        <v>117.15</v>
      </c>
      <c r="E473" s="5">
        <v>36.15</v>
      </c>
      <c r="F473" s="5">
        <v>2007</v>
      </c>
      <c r="G473" s="29">
        <v>666</v>
      </c>
      <c r="H473" s="29">
        <v>1072.8</v>
      </c>
      <c r="I473" s="29">
        <v>22.47</v>
      </c>
      <c r="J473" s="29">
        <v>1.51</v>
      </c>
      <c r="K473" s="29">
        <v>25</v>
      </c>
      <c r="L473" s="29">
        <v>61</v>
      </c>
      <c r="M473" s="29">
        <v>14</v>
      </c>
      <c r="N473" s="29">
        <v>7.3</v>
      </c>
      <c r="O473" s="29">
        <v>4.7563805104408345</v>
      </c>
      <c r="P473" s="29">
        <v>1.75</v>
      </c>
      <c r="Q473" s="29">
        <f t="shared" si="34"/>
        <v>2.7179317202519053</v>
      </c>
      <c r="R473" s="29">
        <v>200</v>
      </c>
      <c r="S473" s="79">
        <v>0.26300000000000001</v>
      </c>
      <c r="U473" s="80">
        <f>(S473-S471)/R473</f>
        <v>1.1845E-3</v>
      </c>
      <c r="V473" s="80">
        <f t="shared" si="35"/>
        <v>0.11845</v>
      </c>
    </row>
    <row r="474" spans="1:22" x14ac:dyDescent="0.3">
      <c r="A474" s="89" t="s">
        <v>327</v>
      </c>
      <c r="B474" s="89" t="s">
        <v>328</v>
      </c>
      <c r="C474" s="5">
        <v>2013</v>
      </c>
      <c r="D474" s="5">
        <v>117.15</v>
      </c>
      <c r="E474" s="5">
        <v>36.15</v>
      </c>
      <c r="F474" s="5">
        <v>2007</v>
      </c>
      <c r="G474" s="29">
        <v>666</v>
      </c>
      <c r="H474" s="29">
        <v>1072.8</v>
      </c>
      <c r="I474" s="29">
        <v>22.47</v>
      </c>
      <c r="J474" s="29">
        <v>1.51</v>
      </c>
      <c r="K474" s="29">
        <v>25</v>
      </c>
      <c r="L474" s="29">
        <v>61</v>
      </c>
      <c r="M474" s="29">
        <v>14</v>
      </c>
      <c r="N474" s="29">
        <v>7.3</v>
      </c>
      <c r="O474" s="29">
        <v>4.7563805104408345</v>
      </c>
      <c r="P474" s="29">
        <v>1.75</v>
      </c>
      <c r="Q474" s="29">
        <f t="shared" si="34"/>
        <v>2.7179317202519053</v>
      </c>
      <c r="R474" s="29">
        <v>300</v>
      </c>
      <c r="S474" s="79">
        <v>0.34200000000000003</v>
      </c>
      <c r="U474" s="80">
        <f>(S474-S471)/R474</f>
        <v>1.0530000000000001E-3</v>
      </c>
      <c r="V474" s="80">
        <f t="shared" si="35"/>
        <v>0.1053</v>
      </c>
    </row>
    <row r="475" spans="1:22" x14ac:dyDescent="0.3">
      <c r="A475" s="89" t="s">
        <v>327</v>
      </c>
      <c r="B475" s="89" t="s">
        <v>328</v>
      </c>
      <c r="C475" s="5">
        <v>2013</v>
      </c>
      <c r="D475" s="5">
        <v>117.15</v>
      </c>
      <c r="E475" s="5">
        <v>36.15</v>
      </c>
      <c r="F475" s="5">
        <v>2008</v>
      </c>
      <c r="G475" s="29">
        <v>666</v>
      </c>
      <c r="H475" s="29">
        <v>1072.8</v>
      </c>
      <c r="I475" s="29">
        <v>22.47</v>
      </c>
      <c r="J475" s="29">
        <v>1.75</v>
      </c>
      <c r="K475" s="29">
        <v>23</v>
      </c>
      <c r="L475" s="29">
        <v>55</v>
      </c>
      <c r="M475" s="29">
        <v>22</v>
      </c>
      <c r="N475" s="29">
        <v>7.3</v>
      </c>
      <c r="O475" s="29">
        <v>4.7563805104408345</v>
      </c>
      <c r="P475" s="29">
        <v>1.75</v>
      </c>
      <c r="Q475" s="29">
        <f t="shared" si="34"/>
        <v>2.7179317202519053</v>
      </c>
      <c r="R475" s="29">
        <v>0</v>
      </c>
      <c r="S475" s="79">
        <v>2.9000000000000001E-2</v>
      </c>
      <c r="V475" s="80">
        <f t="shared" si="35"/>
        <v>0</v>
      </c>
    </row>
    <row r="476" spans="1:22" x14ac:dyDescent="0.3">
      <c r="A476" s="89" t="s">
        <v>327</v>
      </c>
      <c r="B476" s="89" t="s">
        <v>328</v>
      </c>
      <c r="C476" s="5">
        <v>2013</v>
      </c>
      <c r="D476" s="5">
        <v>117.15</v>
      </c>
      <c r="E476" s="5">
        <v>36.15</v>
      </c>
      <c r="F476" s="5">
        <v>2008</v>
      </c>
      <c r="G476" s="29">
        <v>666</v>
      </c>
      <c r="H476" s="29">
        <v>1072.8</v>
      </c>
      <c r="I476" s="29">
        <v>22.47</v>
      </c>
      <c r="J476" s="29">
        <v>1.51</v>
      </c>
      <c r="K476" s="29">
        <v>25</v>
      </c>
      <c r="L476" s="29">
        <v>61</v>
      </c>
      <c r="M476" s="29">
        <v>14</v>
      </c>
      <c r="N476" s="29">
        <v>7.3</v>
      </c>
      <c r="O476" s="29">
        <v>4.7563805104408345</v>
      </c>
      <c r="P476" s="29">
        <v>1.75</v>
      </c>
      <c r="Q476" s="29">
        <f t="shared" si="34"/>
        <v>2.7179317202519053</v>
      </c>
      <c r="R476" s="29">
        <v>100</v>
      </c>
      <c r="S476" s="79">
        <v>0.105</v>
      </c>
      <c r="U476" s="80">
        <f>(S476-S475)/R476</f>
        <v>7.5999999999999993E-4</v>
      </c>
      <c r="V476" s="80">
        <f t="shared" si="35"/>
        <v>7.5999999999999998E-2</v>
      </c>
    </row>
    <row r="477" spans="1:22" x14ac:dyDescent="0.3">
      <c r="A477" s="89" t="s">
        <v>327</v>
      </c>
      <c r="B477" s="89" t="s">
        <v>328</v>
      </c>
      <c r="C477" s="5">
        <v>2013</v>
      </c>
      <c r="D477" s="5">
        <v>117.15</v>
      </c>
      <c r="E477" s="5">
        <v>36.15</v>
      </c>
      <c r="F477" s="5">
        <v>2008</v>
      </c>
      <c r="G477" s="29">
        <v>666</v>
      </c>
      <c r="H477" s="29">
        <v>1072.8</v>
      </c>
      <c r="I477" s="29">
        <v>22.47</v>
      </c>
      <c r="J477" s="29">
        <v>1.51</v>
      </c>
      <c r="K477" s="29">
        <v>25</v>
      </c>
      <c r="L477" s="29">
        <v>61</v>
      </c>
      <c r="M477" s="29">
        <v>14</v>
      </c>
      <c r="N477" s="29">
        <v>7.3</v>
      </c>
      <c r="O477" s="29">
        <v>4.7563805104408345</v>
      </c>
      <c r="P477" s="29">
        <v>1.75</v>
      </c>
      <c r="Q477" s="29">
        <f t="shared" si="34"/>
        <v>2.7179317202519053</v>
      </c>
      <c r="R477" s="29">
        <v>200</v>
      </c>
      <c r="S477" s="79">
        <v>0.25700000000000001</v>
      </c>
      <c r="U477" s="80">
        <f>(S477-S475)/R477</f>
        <v>1.14E-3</v>
      </c>
      <c r="V477" s="80">
        <f t="shared" si="35"/>
        <v>0.11399999999999999</v>
      </c>
    </row>
    <row r="478" spans="1:22" x14ac:dyDescent="0.3">
      <c r="A478" s="81" t="s">
        <v>327</v>
      </c>
      <c r="B478" s="81" t="s">
        <v>328</v>
      </c>
      <c r="C478" s="81">
        <v>2013</v>
      </c>
      <c r="D478" s="81">
        <v>117.15</v>
      </c>
      <c r="E478" s="81">
        <v>36.15</v>
      </c>
      <c r="F478" s="81">
        <v>2008</v>
      </c>
      <c r="G478" s="34">
        <v>666</v>
      </c>
      <c r="H478" s="34">
        <v>1072.8</v>
      </c>
      <c r="I478" s="34">
        <v>22.47</v>
      </c>
      <c r="J478" s="29">
        <v>1.51</v>
      </c>
      <c r="K478" s="29">
        <v>25</v>
      </c>
      <c r="L478" s="29">
        <v>61</v>
      </c>
      <c r="M478" s="29">
        <v>14</v>
      </c>
      <c r="N478" s="34">
        <v>7.3</v>
      </c>
      <c r="O478" s="34">
        <v>4.7563805104408345</v>
      </c>
      <c r="P478" s="34">
        <v>1.75</v>
      </c>
      <c r="Q478" s="34">
        <f t="shared" si="34"/>
        <v>2.7179317202519053</v>
      </c>
      <c r="R478" s="34">
        <v>300</v>
      </c>
      <c r="S478" s="82">
        <v>0.32500000000000001</v>
      </c>
      <c r="T478" s="34"/>
      <c r="U478" s="83">
        <f>(S478-S475)/R478</f>
        <v>9.8666666666666672E-4</v>
      </c>
      <c r="V478" s="83">
        <f t="shared" si="35"/>
        <v>9.8666666666666666E-2</v>
      </c>
    </row>
    <row r="479" spans="1:22" ht="14.5" x14ac:dyDescent="0.3">
      <c r="A479" s="95" t="s">
        <v>329</v>
      </c>
      <c r="B479" s="95" t="s">
        <v>330</v>
      </c>
      <c r="C479" s="5">
        <v>2016</v>
      </c>
      <c r="D479" s="5">
        <v>120.16</v>
      </c>
      <c r="E479" s="5">
        <v>30.13</v>
      </c>
      <c r="F479" s="5" t="s">
        <v>78</v>
      </c>
      <c r="G479" s="29">
        <v>714</v>
      </c>
      <c r="H479" s="29">
        <v>781.5</v>
      </c>
      <c r="I479" s="29">
        <v>25.7</v>
      </c>
      <c r="J479" s="29">
        <v>1.2224999999999999</v>
      </c>
      <c r="K479" s="29">
        <v>13.83333333</v>
      </c>
      <c r="L479" s="29">
        <v>41.583333330000002</v>
      </c>
      <c r="M479" s="29">
        <v>27.916666670000001</v>
      </c>
      <c r="N479" s="29">
        <v>5.57</v>
      </c>
      <c r="O479" s="29">
        <v>12.216426914153132</v>
      </c>
      <c r="P479" s="29">
        <v>2.0499999999999998</v>
      </c>
      <c r="Q479" s="29">
        <f t="shared" si="34"/>
        <v>5.9592326410503089</v>
      </c>
      <c r="R479" s="29">
        <v>0</v>
      </c>
      <c r="S479" s="79">
        <v>5.0909090909090911E-2</v>
      </c>
      <c r="T479" s="44">
        <f>AVERAGE(S479,S485)</f>
        <v>0.12727272727272729</v>
      </c>
      <c r="V479" s="80">
        <f t="shared" si="35"/>
        <v>0</v>
      </c>
    </row>
    <row r="480" spans="1:22" ht="14.5" x14ac:dyDescent="0.3">
      <c r="A480" s="96" t="s">
        <v>329</v>
      </c>
      <c r="B480" s="96" t="s">
        <v>330</v>
      </c>
      <c r="C480" s="5">
        <v>2016</v>
      </c>
      <c r="D480" s="5">
        <v>120.16</v>
      </c>
      <c r="E480" s="5">
        <v>30.13</v>
      </c>
      <c r="F480" s="5" t="s">
        <v>78</v>
      </c>
      <c r="G480" s="29">
        <v>714</v>
      </c>
      <c r="H480" s="29">
        <v>781.5</v>
      </c>
      <c r="I480" s="29">
        <v>25.7</v>
      </c>
      <c r="J480" s="29">
        <v>1.4</v>
      </c>
      <c r="K480" s="29">
        <v>38</v>
      </c>
      <c r="L480" s="29">
        <v>37</v>
      </c>
      <c r="M480" s="29">
        <v>25</v>
      </c>
      <c r="N480" s="29">
        <v>5.57</v>
      </c>
      <c r="O480" s="29">
        <v>12.16</v>
      </c>
      <c r="P480" s="29">
        <v>2.0499999999999998</v>
      </c>
      <c r="Q480" s="29">
        <f t="shared" si="34"/>
        <v>5.9317073170731716</v>
      </c>
      <c r="R480" s="29">
        <v>75</v>
      </c>
      <c r="S480" s="79">
        <v>0.12727272727272729</v>
      </c>
      <c r="U480" s="80">
        <f>(S480-S479)/R480</f>
        <v>1.0181818181818185E-3</v>
      </c>
      <c r="V480" s="80">
        <f t="shared" si="35"/>
        <v>0.10181818181818185</v>
      </c>
    </row>
    <row r="481" spans="1:22" ht="14.5" x14ac:dyDescent="0.3">
      <c r="A481" s="96" t="s">
        <v>329</v>
      </c>
      <c r="B481" s="96" t="s">
        <v>330</v>
      </c>
      <c r="C481" s="5">
        <v>2016</v>
      </c>
      <c r="D481" s="5">
        <v>120.16</v>
      </c>
      <c r="E481" s="5">
        <v>30.13</v>
      </c>
      <c r="F481" s="5" t="s">
        <v>78</v>
      </c>
      <c r="G481" s="29">
        <v>714</v>
      </c>
      <c r="H481" s="29">
        <v>781.5</v>
      </c>
      <c r="I481" s="29">
        <v>25.7</v>
      </c>
      <c r="J481" s="29">
        <v>1.4</v>
      </c>
      <c r="K481" s="29">
        <v>38</v>
      </c>
      <c r="L481" s="29">
        <v>37</v>
      </c>
      <c r="M481" s="29">
        <v>25</v>
      </c>
      <c r="N481" s="29">
        <v>5.57</v>
      </c>
      <c r="O481" s="29">
        <v>12.16</v>
      </c>
      <c r="P481" s="29">
        <v>2.0499999999999998</v>
      </c>
      <c r="Q481" s="29">
        <f t="shared" si="34"/>
        <v>5.9317073170731716</v>
      </c>
      <c r="R481" s="29">
        <v>150</v>
      </c>
      <c r="S481" s="79">
        <v>0.19090909090909089</v>
      </c>
      <c r="U481" s="80">
        <f>(S481-S479)/R481</f>
        <v>9.3333333333333322E-4</v>
      </c>
      <c r="V481" s="80">
        <f t="shared" si="35"/>
        <v>9.3333333333333324E-2</v>
      </c>
    </row>
    <row r="482" spans="1:22" ht="14.5" x14ac:dyDescent="0.3">
      <c r="A482" s="96" t="s">
        <v>329</v>
      </c>
      <c r="B482" s="96" t="s">
        <v>330</v>
      </c>
      <c r="C482" s="5">
        <v>2016</v>
      </c>
      <c r="D482" s="5">
        <v>120.16</v>
      </c>
      <c r="E482" s="5">
        <v>30.13</v>
      </c>
      <c r="F482" s="5" t="s">
        <v>78</v>
      </c>
      <c r="G482" s="29">
        <v>714</v>
      </c>
      <c r="H482" s="29">
        <v>781.5</v>
      </c>
      <c r="I482" s="29">
        <v>25.7</v>
      </c>
      <c r="J482" s="29">
        <v>1.4</v>
      </c>
      <c r="K482" s="29">
        <v>38</v>
      </c>
      <c r="L482" s="29">
        <v>37</v>
      </c>
      <c r="M482" s="29">
        <v>25</v>
      </c>
      <c r="N482" s="29">
        <v>5.57</v>
      </c>
      <c r="O482" s="29">
        <v>12.16</v>
      </c>
      <c r="P482" s="29">
        <v>2.0499999999999998</v>
      </c>
      <c r="Q482" s="29">
        <f t="shared" si="34"/>
        <v>5.9317073170731716</v>
      </c>
      <c r="R482" s="29">
        <v>225</v>
      </c>
      <c r="S482" s="79">
        <v>0.20363636363636364</v>
      </c>
      <c r="U482" s="80">
        <f>(S482-S479)/R482</f>
        <v>6.7878787878787887E-4</v>
      </c>
      <c r="V482" s="80">
        <f t="shared" si="35"/>
        <v>6.7878787878787886E-2</v>
      </c>
    </row>
    <row r="483" spans="1:22" ht="14.5" x14ac:dyDescent="0.3">
      <c r="A483" s="96" t="s">
        <v>329</v>
      </c>
      <c r="B483" s="96" t="s">
        <v>330</v>
      </c>
      <c r="C483" s="5">
        <v>2016</v>
      </c>
      <c r="D483" s="5">
        <v>120.16</v>
      </c>
      <c r="E483" s="5">
        <v>30.13</v>
      </c>
      <c r="F483" s="5" t="s">
        <v>78</v>
      </c>
      <c r="G483" s="29">
        <v>714</v>
      </c>
      <c r="H483" s="29">
        <v>781.5</v>
      </c>
      <c r="I483" s="29">
        <v>25.7</v>
      </c>
      <c r="J483" s="29">
        <v>1.4</v>
      </c>
      <c r="K483" s="29">
        <v>38</v>
      </c>
      <c r="L483" s="29">
        <v>37</v>
      </c>
      <c r="M483" s="29">
        <v>25</v>
      </c>
      <c r="N483" s="29">
        <v>5.57</v>
      </c>
      <c r="O483" s="29">
        <v>12.16</v>
      </c>
      <c r="P483" s="29">
        <v>2.0499999999999998</v>
      </c>
      <c r="Q483" s="29">
        <f t="shared" si="34"/>
        <v>5.9317073170731716</v>
      </c>
      <c r="R483" s="29">
        <v>300</v>
      </c>
      <c r="S483" s="79">
        <v>0.35636363636363638</v>
      </c>
      <c r="U483" s="80">
        <f>(S483-S479)/R483</f>
        <v>1.0181818181818183E-3</v>
      </c>
      <c r="V483" s="80">
        <f t="shared" si="35"/>
        <v>0.10181818181818182</v>
      </c>
    </row>
    <row r="484" spans="1:22" ht="14.5" x14ac:dyDescent="0.3">
      <c r="A484" s="96" t="s">
        <v>329</v>
      </c>
      <c r="B484" s="96" t="s">
        <v>330</v>
      </c>
      <c r="C484" s="5">
        <v>2016</v>
      </c>
      <c r="D484" s="5">
        <v>120.16</v>
      </c>
      <c r="E484" s="5">
        <v>30.13</v>
      </c>
      <c r="F484" s="5" t="s">
        <v>78</v>
      </c>
      <c r="G484" s="29">
        <v>714</v>
      </c>
      <c r="H484" s="29">
        <v>781.5</v>
      </c>
      <c r="I484" s="29">
        <v>25.7</v>
      </c>
      <c r="J484" s="29">
        <v>1.4</v>
      </c>
      <c r="K484" s="29">
        <v>38</v>
      </c>
      <c r="L484" s="29">
        <v>37</v>
      </c>
      <c r="M484" s="29">
        <v>25</v>
      </c>
      <c r="N484" s="29">
        <v>5.57</v>
      </c>
      <c r="O484" s="29">
        <v>12.16</v>
      </c>
      <c r="P484" s="29">
        <v>2.0499999999999998</v>
      </c>
      <c r="Q484" s="29">
        <f t="shared" si="34"/>
        <v>5.9317073170731716</v>
      </c>
      <c r="R484" s="29">
        <v>375</v>
      </c>
      <c r="S484" s="79">
        <v>0.36272727272727268</v>
      </c>
      <c r="U484" s="80">
        <f>(S484-S479)/R484</f>
        <v>8.3151515151515135E-4</v>
      </c>
      <c r="V484" s="80">
        <f t="shared" si="35"/>
        <v>8.3151515151515129E-2</v>
      </c>
    </row>
    <row r="485" spans="1:22" ht="14.5" x14ac:dyDescent="0.3">
      <c r="A485" s="96" t="s">
        <v>329</v>
      </c>
      <c r="B485" s="96" t="s">
        <v>330</v>
      </c>
      <c r="C485" s="5">
        <v>2016</v>
      </c>
      <c r="D485" s="5">
        <v>120.16</v>
      </c>
      <c r="E485" s="5">
        <v>30.13</v>
      </c>
      <c r="F485" s="5" t="s">
        <v>78</v>
      </c>
      <c r="G485" s="29">
        <v>714</v>
      </c>
      <c r="H485" s="29">
        <v>781.5</v>
      </c>
      <c r="I485" s="29">
        <v>25.7</v>
      </c>
      <c r="J485" s="29">
        <v>1.2224999999999999</v>
      </c>
      <c r="K485" s="29">
        <v>13.83333333</v>
      </c>
      <c r="L485" s="29">
        <v>41.583333330000002</v>
      </c>
      <c r="M485" s="29">
        <v>27.916666670000001</v>
      </c>
      <c r="N485" s="29">
        <v>5.57</v>
      </c>
      <c r="O485" s="29">
        <v>12.216426914153132</v>
      </c>
      <c r="P485" s="29">
        <v>2.0499999999999998</v>
      </c>
      <c r="Q485" s="29">
        <f t="shared" si="34"/>
        <v>5.9592326410503089</v>
      </c>
      <c r="R485" s="29">
        <v>0</v>
      </c>
      <c r="S485" s="79">
        <v>0.20363636363636364</v>
      </c>
      <c r="V485" s="80">
        <f t="shared" si="35"/>
        <v>0</v>
      </c>
    </row>
    <row r="486" spans="1:22" ht="14.5" x14ac:dyDescent="0.3">
      <c r="A486" s="96" t="s">
        <v>329</v>
      </c>
      <c r="B486" s="96" t="s">
        <v>330</v>
      </c>
      <c r="C486" s="5">
        <v>2016</v>
      </c>
      <c r="D486" s="5">
        <v>120.16</v>
      </c>
      <c r="E486" s="5">
        <v>30.13</v>
      </c>
      <c r="F486" s="5" t="s">
        <v>78</v>
      </c>
      <c r="G486" s="29">
        <v>714</v>
      </c>
      <c r="H486" s="29">
        <v>781.5</v>
      </c>
      <c r="I486" s="29">
        <v>25.7</v>
      </c>
      <c r="J486" s="29">
        <v>1.4</v>
      </c>
      <c r="K486" s="29">
        <v>38</v>
      </c>
      <c r="L486" s="29">
        <v>37</v>
      </c>
      <c r="M486" s="29">
        <v>25</v>
      </c>
      <c r="N486" s="29">
        <v>5.57</v>
      </c>
      <c r="O486" s="29">
        <v>12.16</v>
      </c>
      <c r="P486" s="29">
        <v>2.0499999999999998</v>
      </c>
      <c r="Q486" s="29">
        <f t="shared" si="34"/>
        <v>5.9317073170731716</v>
      </c>
      <c r="R486" s="29">
        <v>75</v>
      </c>
      <c r="S486" s="79">
        <v>0.22909090909090907</v>
      </c>
      <c r="U486" s="80">
        <f>(S486-S485)/R486</f>
        <v>3.39393939393939E-4</v>
      </c>
      <c r="V486" s="80">
        <f t="shared" si="35"/>
        <v>3.3939393939393901E-2</v>
      </c>
    </row>
    <row r="487" spans="1:22" ht="14.5" x14ac:dyDescent="0.3">
      <c r="A487" s="96" t="s">
        <v>329</v>
      </c>
      <c r="B487" s="96" t="s">
        <v>330</v>
      </c>
      <c r="C487" s="5">
        <v>2016</v>
      </c>
      <c r="D487" s="5">
        <v>120.16</v>
      </c>
      <c r="E487" s="5">
        <v>30.13</v>
      </c>
      <c r="F487" s="5" t="s">
        <v>78</v>
      </c>
      <c r="G487" s="29">
        <v>714</v>
      </c>
      <c r="H487" s="29">
        <v>781.5</v>
      </c>
      <c r="I487" s="29">
        <v>25.7</v>
      </c>
      <c r="J487" s="29">
        <v>1.4</v>
      </c>
      <c r="K487" s="29">
        <v>38</v>
      </c>
      <c r="L487" s="29">
        <v>37</v>
      </c>
      <c r="M487" s="29">
        <v>25</v>
      </c>
      <c r="N487" s="29">
        <v>5.57</v>
      </c>
      <c r="O487" s="29">
        <v>12.16</v>
      </c>
      <c r="P487" s="29">
        <v>2.0499999999999998</v>
      </c>
      <c r="Q487" s="29">
        <f t="shared" si="34"/>
        <v>5.9317073170731716</v>
      </c>
      <c r="R487" s="29">
        <v>150</v>
      </c>
      <c r="S487" s="79">
        <v>0.75727272727272721</v>
      </c>
      <c r="U487" s="80">
        <f>(S487-S485)/R487</f>
        <v>3.6909090909090906E-3</v>
      </c>
      <c r="V487" s="80">
        <f t="shared" si="35"/>
        <v>0.36909090909090908</v>
      </c>
    </row>
    <row r="488" spans="1:22" ht="14.5" x14ac:dyDescent="0.3">
      <c r="A488" s="96" t="s">
        <v>329</v>
      </c>
      <c r="B488" s="96" t="s">
        <v>330</v>
      </c>
      <c r="C488" s="5">
        <v>2016</v>
      </c>
      <c r="D488" s="5">
        <v>120.16</v>
      </c>
      <c r="E488" s="5">
        <v>30.13</v>
      </c>
      <c r="F488" s="5" t="s">
        <v>78</v>
      </c>
      <c r="G488" s="29">
        <v>714</v>
      </c>
      <c r="H488" s="29">
        <v>781.5</v>
      </c>
      <c r="I488" s="29">
        <v>25.7</v>
      </c>
      <c r="J488" s="29">
        <v>1.4</v>
      </c>
      <c r="K488" s="29">
        <v>38</v>
      </c>
      <c r="L488" s="29">
        <v>37</v>
      </c>
      <c r="M488" s="29">
        <v>25</v>
      </c>
      <c r="N488" s="29">
        <v>5.57</v>
      </c>
      <c r="O488" s="29">
        <v>12.16</v>
      </c>
      <c r="P488" s="29">
        <v>2.0499999999999998</v>
      </c>
      <c r="Q488" s="29">
        <f t="shared" si="34"/>
        <v>5.9317073170731716</v>
      </c>
      <c r="R488" s="29">
        <v>225</v>
      </c>
      <c r="S488" s="79">
        <v>0.43909090909090909</v>
      </c>
      <c r="U488" s="80">
        <f>(S488-S485)/R488</f>
        <v>1.0464646464646463E-3</v>
      </c>
      <c r="V488" s="80">
        <f t="shared" si="35"/>
        <v>0.10464646464646464</v>
      </c>
    </row>
    <row r="489" spans="1:22" ht="14.5" x14ac:dyDescent="0.3">
      <c r="A489" s="96" t="s">
        <v>329</v>
      </c>
      <c r="B489" s="96" t="s">
        <v>330</v>
      </c>
      <c r="C489" s="5">
        <v>2016</v>
      </c>
      <c r="D489" s="5">
        <v>120.16</v>
      </c>
      <c r="E489" s="5">
        <v>30.13</v>
      </c>
      <c r="F489" s="5" t="s">
        <v>78</v>
      </c>
      <c r="G489" s="29">
        <v>714</v>
      </c>
      <c r="H489" s="29">
        <v>781.5</v>
      </c>
      <c r="I489" s="29">
        <v>25.7</v>
      </c>
      <c r="J489" s="29">
        <v>1.4</v>
      </c>
      <c r="K489" s="29">
        <v>38</v>
      </c>
      <c r="L489" s="29">
        <v>37</v>
      </c>
      <c r="M489" s="29">
        <v>25</v>
      </c>
      <c r="N489" s="29">
        <v>5.57</v>
      </c>
      <c r="O489" s="29">
        <v>12.16</v>
      </c>
      <c r="P489" s="29">
        <v>2.0499999999999998</v>
      </c>
      <c r="Q489" s="29">
        <f t="shared" si="34"/>
        <v>5.9317073170731716</v>
      </c>
      <c r="R489" s="29">
        <v>300</v>
      </c>
      <c r="S489" s="79">
        <v>1.0690909090909089</v>
      </c>
      <c r="U489" s="80">
        <f>(S489-S485)/R489</f>
        <v>2.884848484848484E-3</v>
      </c>
      <c r="V489" s="80">
        <f t="shared" si="35"/>
        <v>0.2884848484848484</v>
      </c>
    </row>
    <row r="490" spans="1:22" ht="14.5" x14ac:dyDescent="0.3">
      <c r="A490" s="94" t="s">
        <v>329</v>
      </c>
      <c r="B490" s="94" t="s">
        <v>330</v>
      </c>
      <c r="C490" s="81">
        <v>2016</v>
      </c>
      <c r="D490" s="81">
        <v>120.16</v>
      </c>
      <c r="E490" s="81">
        <v>30.13</v>
      </c>
      <c r="F490" s="81" t="s">
        <v>78</v>
      </c>
      <c r="G490" s="34">
        <v>714</v>
      </c>
      <c r="H490" s="34">
        <v>781.5</v>
      </c>
      <c r="I490" s="34">
        <v>25.7</v>
      </c>
      <c r="J490" s="29">
        <v>1.4</v>
      </c>
      <c r="K490" s="29">
        <v>38</v>
      </c>
      <c r="L490" s="29">
        <v>37</v>
      </c>
      <c r="M490" s="29">
        <v>25</v>
      </c>
      <c r="N490" s="34">
        <v>5.57</v>
      </c>
      <c r="O490" s="29">
        <v>12.16</v>
      </c>
      <c r="P490" s="34">
        <v>2.0499999999999998</v>
      </c>
      <c r="Q490" s="34">
        <f t="shared" si="34"/>
        <v>5.9317073170731716</v>
      </c>
      <c r="R490" s="34">
        <v>375</v>
      </c>
      <c r="S490" s="82">
        <v>1.1263636363636365</v>
      </c>
      <c r="T490" s="34"/>
      <c r="U490" s="83">
        <f>(S490-S485)/R490</f>
        <v>2.4606060606060607E-3</v>
      </c>
      <c r="V490" s="83">
        <f t="shared" si="35"/>
        <v>0.24606060606060606</v>
      </c>
    </row>
  </sheetData>
  <mergeCells count="5">
    <mergeCell ref="S1:V1"/>
    <mergeCell ref="A1:C1"/>
    <mergeCell ref="D1:E1"/>
    <mergeCell ref="G1:I1"/>
    <mergeCell ref="J1:Q1"/>
  </mergeCells>
  <phoneticPr fontId="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AD5A1-313A-4F54-8A50-677D9F586215}">
  <dimension ref="A1:W79"/>
  <sheetViews>
    <sheetView workbookViewId="0">
      <selection activeCell="T3" sqref="T3:U3"/>
    </sheetView>
  </sheetViews>
  <sheetFormatPr defaultRowHeight="14" x14ac:dyDescent="0.3"/>
  <cols>
    <col min="1" max="7" width="8.6640625" style="5"/>
    <col min="8" max="18" width="8.1640625" style="5" customWidth="1"/>
    <col min="19" max="21" width="8.6640625" style="5"/>
    <col min="22" max="22" width="10.6640625" style="5" hidden="1" customWidth="1"/>
    <col min="23" max="23" width="10.6640625" style="5" customWidth="1"/>
  </cols>
  <sheetData>
    <row r="1" spans="1:23" x14ac:dyDescent="0.3">
      <c r="A1" s="76" t="s">
        <v>0</v>
      </c>
      <c r="B1" s="76"/>
      <c r="C1" s="76"/>
      <c r="D1" s="71" t="s">
        <v>1</v>
      </c>
      <c r="E1" s="77"/>
      <c r="F1" s="1"/>
      <c r="G1" s="66" t="s">
        <v>2</v>
      </c>
      <c r="H1" s="71" t="s">
        <v>3</v>
      </c>
      <c r="I1" s="72"/>
      <c r="J1" s="77"/>
      <c r="K1" s="71" t="s">
        <v>4</v>
      </c>
      <c r="L1" s="72"/>
      <c r="M1" s="72"/>
      <c r="N1" s="72"/>
      <c r="O1" s="72"/>
      <c r="P1" s="72"/>
      <c r="Q1" s="72"/>
      <c r="R1" s="77"/>
      <c r="S1" s="69" t="s">
        <v>257</v>
      </c>
      <c r="T1" s="71" t="s">
        <v>252</v>
      </c>
      <c r="U1" s="72"/>
      <c r="V1" s="72"/>
      <c r="W1" s="77"/>
    </row>
    <row r="2" spans="1:23" ht="14.5" x14ac:dyDescent="0.3">
      <c r="A2" s="1" t="s">
        <v>5</v>
      </c>
      <c r="B2" s="1" t="s">
        <v>6</v>
      </c>
      <c r="C2" s="1" t="s">
        <v>7</v>
      </c>
      <c r="D2" s="1" t="s">
        <v>8</v>
      </c>
      <c r="E2" s="1" t="s">
        <v>10</v>
      </c>
      <c r="F2" s="1" t="s">
        <v>9</v>
      </c>
      <c r="G2" s="1" t="s">
        <v>7</v>
      </c>
      <c r="H2" s="1" t="s">
        <v>11</v>
      </c>
      <c r="I2" s="1" t="s">
        <v>12</v>
      </c>
      <c r="J2" s="1" t="s">
        <v>13</v>
      </c>
      <c r="K2" s="61" t="s">
        <v>14</v>
      </c>
      <c r="L2" s="61" t="s">
        <v>15</v>
      </c>
      <c r="M2" s="61" t="s">
        <v>16</v>
      </c>
      <c r="N2" s="61" t="s">
        <v>17</v>
      </c>
      <c r="O2" s="61" t="s">
        <v>18</v>
      </c>
      <c r="P2" s="61" t="s">
        <v>255</v>
      </c>
      <c r="Q2" s="61" t="s">
        <v>254</v>
      </c>
      <c r="R2" s="61" t="s">
        <v>20</v>
      </c>
      <c r="S2" s="1" t="s">
        <v>245</v>
      </c>
      <c r="T2" s="1" t="s">
        <v>201</v>
      </c>
      <c r="U2" s="1" t="s">
        <v>247</v>
      </c>
      <c r="V2" s="8" t="s">
        <v>141</v>
      </c>
      <c r="W2" s="8" t="s">
        <v>321</v>
      </c>
    </row>
    <row r="3" spans="1:23" ht="14.5" thickBot="1" x14ac:dyDescent="0.35">
      <c r="A3" s="3"/>
      <c r="B3" s="3"/>
      <c r="C3" s="4"/>
      <c r="D3" s="3"/>
      <c r="E3" s="3"/>
      <c r="F3" s="3"/>
      <c r="G3" s="2"/>
      <c r="H3" s="3" t="s">
        <v>22</v>
      </c>
      <c r="I3" s="3" t="s">
        <v>23</v>
      </c>
      <c r="J3" s="3" t="s">
        <v>24</v>
      </c>
      <c r="K3" s="63" t="s">
        <v>25</v>
      </c>
      <c r="L3" s="62" t="s">
        <v>26</v>
      </c>
      <c r="M3" s="62" t="s">
        <v>27</v>
      </c>
      <c r="N3" s="62" t="s">
        <v>28</v>
      </c>
      <c r="O3" s="62" t="s">
        <v>29</v>
      </c>
      <c r="P3" s="62" t="s">
        <v>19</v>
      </c>
      <c r="Q3" s="62" t="s">
        <v>30</v>
      </c>
      <c r="R3" s="64" t="s">
        <v>31</v>
      </c>
      <c r="S3" s="20" t="s">
        <v>246</v>
      </c>
      <c r="T3" s="60" t="s">
        <v>246</v>
      </c>
      <c r="U3" s="60" t="s">
        <v>246</v>
      </c>
      <c r="V3" s="9" t="s">
        <v>32</v>
      </c>
      <c r="W3" s="87" t="s">
        <v>320</v>
      </c>
    </row>
    <row r="4" spans="1:23" x14ac:dyDescent="0.3">
      <c r="A4" s="5" t="s">
        <v>202</v>
      </c>
      <c r="B4" s="5" t="s">
        <v>203</v>
      </c>
      <c r="C4" s="5">
        <v>2007</v>
      </c>
      <c r="D4" s="5" t="s">
        <v>204</v>
      </c>
      <c r="E4" s="5">
        <v>120.69799999999999</v>
      </c>
      <c r="F4" s="5">
        <v>31.55</v>
      </c>
      <c r="G4" s="5">
        <v>2006</v>
      </c>
      <c r="H4" s="5">
        <v>503.2</v>
      </c>
      <c r="I4" s="5">
        <v>762.38</v>
      </c>
      <c r="J4" s="5">
        <v>26.07</v>
      </c>
      <c r="K4" s="5">
        <v>1.48</v>
      </c>
      <c r="L4" s="5">
        <v>68</v>
      </c>
      <c r="M4" s="5">
        <v>20</v>
      </c>
      <c r="N4" s="5">
        <v>12</v>
      </c>
      <c r="O4" s="5">
        <v>7.3</v>
      </c>
      <c r="P4" s="5">
        <v>20.301624129930396</v>
      </c>
      <c r="Q4" s="5">
        <v>2.09</v>
      </c>
      <c r="R4" s="5">
        <v>9.7136957559475583</v>
      </c>
      <c r="S4" s="5">
        <v>0</v>
      </c>
      <c r="T4" s="5">
        <v>2.7E-2</v>
      </c>
      <c r="U4" s="5">
        <f>T4</f>
        <v>2.7E-2</v>
      </c>
      <c r="W4" s="5">
        <f>V4*100</f>
        <v>0</v>
      </c>
    </row>
    <row r="5" spans="1:23" x14ac:dyDescent="0.3">
      <c r="A5" s="5" t="s">
        <v>202</v>
      </c>
      <c r="B5" s="5" t="s">
        <v>203</v>
      </c>
      <c r="C5" s="5">
        <v>2007</v>
      </c>
      <c r="D5" s="5" t="s">
        <v>204</v>
      </c>
      <c r="E5" s="5">
        <v>120.69799999999999</v>
      </c>
      <c r="F5" s="5">
        <v>31.55</v>
      </c>
      <c r="G5" s="5">
        <v>2006</v>
      </c>
      <c r="H5" s="5">
        <v>503.2</v>
      </c>
      <c r="I5" s="5">
        <v>762.38</v>
      </c>
      <c r="J5" s="5">
        <v>26.07</v>
      </c>
      <c r="K5" s="5">
        <v>1.48</v>
      </c>
      <c r="L5" s="5">
        <v>68</v>
      </c>
      <c r="M5" s="5">
        <v>20</v>
      </c>
      <c r="N5" s="5">
        <v>12</v>
      </c>
      <c r="O5" s="5">
        <v>7.3</v>
      </c>
      <c r="P5" s="5">
        <v>20.301624129930396</v>
      </c>
      <c r="Q5" s="5">
        <v>2.09</v>
      </c>
      <c r="R5" s="5">
        <v>9.7136957559475583</v>
      </c>
      <c r="S5" s="5">
        <v>150</v>
      </c>
      <c r="T5" s="5">
        <v>5.1299999999999998E-2</v>
      </c>
      <c r="V5" s="5">
        <f>(T5-T4)/S5</f>
        <v>1.6199999999999998E-4</v>
      </c>
      <c r="W5" s="5">
        <f t="shared" ref="W5:W65" si="0">V5*100</f>
        <v>1.6199999999999999E-2</v>
      </c>
    </row>
    <row r="6" spans="1:23" x14ac:dyDescent="0.3">
      <c r="A6" s="81" t="s">
        <v>202</v>
      </c>
      <c r="B6" s="81" t="s">
        <v>203</v>
      </c>
      <c r="C6" s="81">
        <v>2007</v>
      </c>
      <c r="D6" s="81" t="s">
        <v>204</v>
      </c>
      <c r="E6" s="81">
        <v>120.69799999999999</v>
      </c>
      <c r="F6" s="81">
        <v>31.55</v>
      </c>
      <c r="G6" s="81">
        <v>2006</v>
      </c>
      <c r="H6" s="81">
        <v>503.2</v>
      </c>
      <c r="I6" s="81">
        <v>762.38</v>
      </c>
      <c r="J6" s="81">
        <v>26.07</v>
      </c>
      <c r="K6" s="81">
        <v>1.48</v>
      </c>
      <c r="L6" s="81">
        <v>68</v>
      </c>
      <c r="M6" s="81">
        <v>20</v>
      </c>
      <c r="N6" s="81">
        <v>12</v>
      </c>
      <c r="O6" s="81">
        <v>7.3</v>
      </c>
      <c r="P6" s="81">
        <v>20.301624129930396</v>
      </c>
      <c r="Q6" s="81">
        <v>2.09</v>
      </c>
      <c r="R6" s="81">
        <v>9.7136957559475583</v>
      </c>
      <c r="S6" s="81">
        <v>330</v>
      </c>
      <c r="T6" s="81">
        <v>0.152</v>
      </c>
      <c r="U6" s="81"/>
      <c r="V6" s="81">
        <f>(T6-T4)/S6</f>
        <v>3.7878787878787879E-4</v>
      </c>
      <c r="W6" s="81">
        <f t="shared" si="0"/>
        <v>3.787878787878788E-2</v>
      </c>
    </row>
    <row r="7" spans="1:23" x14ac:dyDescent="0.3">
      <c r="A7" s="5" t="s">
        <v>205</v>
      </c>
      <c r="B7" s="5" t="s">
        <v>206</v>
      </c>
      <c r="C7" s="5">
        <v>2013</v>
      </c>
      <c r="D7" s="5" t="s">
        <v>204</v>
      </c>
      <c r="E7" s="5">
        <v>120.69799999999999</v>
      </c>
      <c r="F7" s="5">
        <v>31.55</v>
      </c>
      <c r="G7" s="5">
        <v>2012</v>
      </c>
      <c r="H7" s="5">
        <v>489.3</v>
      </c>
      <c r="I7" s="5">
        <v>620.67999999999995</v>
      </c>
      <c r="J7" s="5">
        <v>25.34</v>
      </c>
      <c r="K7" s="5">
        <v>1.48</v>
      </c>
      <c r="L7" s="5">
        <v>68</v>
      </c>
      <c r="M7" s="5">
        <v>20</v>
      </c>
      <c r="N7" s="5">
        <v>12</v>
      </c>
      <c r="O7" s="5">
        <v>7.35</v>
      </c>
      <c r="P7" s="5">
        <v>20.301624129930396</v>
      </c>
      <c r="Q7" s="5">
        <v>2.09</v>
      </c>
      <c r="R7" s="5">
        <v>9.7136957559475583</v>
      </c>
      <c r="S7" s="5">
        <v>0</v>
      </c>
      <c r="T7" s="5">
        <v>1.2999999999999999E-2</v>
      </c>
      <c r="U7" s="5">
        <f>AVERAGE(T7)</f>
        <v>1.2999999999999999E-2</v>
      </c>
      <c r="W7" s="5">
        <f t="shared" si="0"/>
        <v>0</v>
      </c>
    </row>
    <row r="8" spans="1:23" x14ac:dyDescent="0.3">
      <c r="A8" s="5" t="s">
        <v>205</v>
      </c>
      <c r="B8" s="5" t="s">
        <v>206</v>
      </c>
      <c r="C8" s="5">
        <v>2013</v>
      </c>
      <c r="D8" s="5" t="s">
        <v>204</v>
      </c>
      <c r="E8" s="5">
        <v>120.69799999999999</v>
      </c>
      <c r="F8" s="5">
        <v>31.55</v>
      </c>
      <c r="G8" s="5">
        <v>2012</v>
      </c>
      <c r="H8" s="5">
        <v>489.3</v>
      </c>
      <c r="I8" s="5">
        <v>620.67999999999995</v>
      </c>
      <c r="J8" s="5">
        <v>25.34</v>
      </c>
      <c r="K8" s="5">
        <v>1.48</v>
      </c>
      <c r="L8" s="5">
        <v>68</v>
      </c>
      <c r="M8" s="5">
        <v>20</v>
      </c>
      <c r="N8" s="5">
        <v>12</v>
      </c>
      <c r="O8" s="5">
        <v>7.35</v>
      </c>
      <c r="P8" s="5">
        <v>20.301624129930396</v>
      </c>
      <c r="Q8" s="5">
        <v>2.09</v>
      </c>
      <c r="R8" s="5">
        <v>9.7136957559475583</v>
      </c>
      <c r="S8" s="5">
        <v>225</v>
      </c>
      <c r="T8" s="5">
        <v>2.5000000000000001E-2</v>
      </c>
      <c r="V8" s="5">
        <f>(T8-T7)/S8</f>
        <v>5.333333333333334E-5</v>
      </c>
      <c r="W8" s="5">
        <f t="shared" si="0"/>
        <v>5.333333333333334E-3</v>
      </c>
    </row>
    <row r="9" spans="1:23" x14ac:dyDescent="0.3">
      <c r="A9" s="5" t="s">
        <v>205</v>
      </c>
      <c r="B9" s="5" t="s">
        <v>206</v>
      </c>
      <c r="C9" s="5">
        <v>2014</v>
      </c>
      <c r="D9" s="5" t="s">
        <v>204</v>
      </c>
      <c r="E9" s="5">
        <v>120.69799999999999</v>
      </c>
      <c r="F9" s="5">
        <v>31.55</v>
      </c>
      <c r="G9" s="5">
        <v>2012</v>
      </c>
      <c r="H9" s="5">
        <v>489.3</v>
      </c>
      <c r="I9" s="5">
        <v>620.67999999999995</v>
      </c>
      <c r="J9" s="5">
        <v>25.34</v>
      </c>
      <c r="K9" s="5">
        <v>1.48</v>
      </c>
      <c r="L9" s="5">
        <v>68</v>
      </c>
      <c r="M9" s="5">
        <v>20</v>
      </c>
      <c r="N9" s="5">
        <v>12</v>
      </c>
      <c r="O9" s="5">
        <v>7.35</v>
      </c>
      <c r="P9" s="5">
        <v>20.301624129930396</v>
      </c>
      <c r="Q9" s="5">
        <v>2.09</v>
      </c>
      <c r="R9" s="5">
        <v>9.7136957559475583</v>
      </c>
      <c r="S9" s="5">
        <v>300</v>
      </c>
      <c r="T9" s="5">
        <v>0.04</v>
      </c>
      <c r="V9" s="5">
        <f>(T9-T7)/S9</f>
        <v>9.0000000000000006E-5</v>
      </c>
      <c r="W9" s="5">
        <f t="shared" si="0"/>
        <v>9.0000000000000011E-3</v>
      </c>
    </row>
    <row r="10" spans="1:23" x14ac:dyDescent="0.3">
      <c r="A10" s="81" t="s">
        <v>205</v>
      </c>
      <c r="B10" s="81" t="s">
        <v>206</v>
      </c>
      <c r="C10" s="81">
        <v>2014</v>
      </c>
      <c r="D10" s="81" t="s">
        <v>204</v>
      </c>
      <c r="E10" s="81">
        <v>120.69799999999999</v>
      </c>
      <c r="F10" s="81">
        <v>31.55</v>
      </c>
      <c r="G10" s="81">
        <v>2012</v>
      </c>
      <c r="H10" s="81">
        <v>489.3</v>
      </c>
      <c r="I10" s="81">
        <v>620.67999999999995</v>
      </c>
      <c r="J10" s="81">
        <v>25.34</v>
      </c>
      <c r="K10" s="81">
        <v>1.48</v>
      </c>
      <c r="L10" s="81">
        <v>68</v>
      </c>
      <c r="M10" s="81">
        <v>20</v>
      </c>
      <c r="N10" s="81">
        <v>12</v>
      </c>
      <c r="O10" s="81">
        <v>7.35</v>
      </c>
      <c r="P10" s="81">
        <v>20.301624129930396</v>
      </c>
      <c r="Q10" s="81">
        <v>2.09</v>
      </c>
      <c r="R10" s="81">
        <v>9.7136957559475583</v>
      </c>
      <c r="S10" s="81">
        <v>375</v>
      </c>
      <c r="T10" s="81">
        <v>0.1</v>
      </c>
      <c r="U10" s="81"/>
      <c r="V10" s="81">
        <f>(T10-T7)/S10</f>
        <v>2.3200000000000003E-4</v>
      </c>
      <c r="W10" s="81">
        <f t="shared" si="0"/>
        <v>2.3200000000000002E-2</v>
      </c>
    </row>
    <row r="11" spans="1:23" x14ac:dyDescent="0.3">
      <c r="A11" s="5" t="s">
        <v>207</v>
      </c>
      <c r="B11" s="5" t="s">
        <v>208</v>
      </c>
      <c r="C11" s="5">
        <v>2015</v>
      </c>
      <c r="D11" s="5" t="s">
        <v>204</v>
      </c>
      <c r="E11" s="5">
        <v>120.69799999999999</v>
      </c>
      <c r="F11" s="5">
        <v>31.55</v>
      </c>
      <c r="G11" s="5">
        <v>2013</v>
      </c>
      <c r="H11" s="5">
        <v>575</v>
      </c>
      <c r="I11" s="5">
        <v>743.82</v>
      </c>
      <c r="J11" s="5">
        <v>26.34</v>
      </c>
      <c r="K11" s="5">
        <v>1.48</v>
      </c>
      <c r="L11" s="5">
        <v>68</v>
      </c>
      <c r="M11" s="5">
        <v>20</v>
      </c>
      <c r="N11" s="5">
        <v>12</v>
      </c>
      <c r="O11" s="5">
        <v>7.35</v>
      </c>
      <c r="P11" s="5">
        <v>20.301624129930396</v>
      </c>
      <c r="Q11" s="5">
        <v>2.09</v>
      </c>
      <c r="R11" s="5">
        <v>9.7136957559475583</v>
      </c>
      <c r="S11" s="5">
        <v>0</v>
      </c>
      <c r="T11" s="5">
        <v>0.7</v>
      </c>
      <c r="U11" s="5">
        <f>T11</f>
        <v>0.7</v>
      </c>
      <c r="W11" s="5">
        <f t="shared" si="0"/>
        <v>0</v>
      </c>
    </row>
    <row r="12" spans="1:23" x14ac:dyDescent="0.3">
      <c r="A12" s="5" t="s">
        <v>207</v>
      </c>
      <c r="B12" s="5" t="s">
        <v>208</v>
      </c>
      <c r="C12" s="5">
        <v>2015</v>
      </c>
      <c r="D12" s="5" t="s">
        <v>204</v>
      </c>
      <c r="E12" s="5">
        <v>120.69799999999999</v>
      </c>
      <c r="F12" s="5">
        <v>31.55</v>
      </c>
      <c r="G12" s="5">
        <v>2013</v>
      </c>
      <c r="H12" s="5">
        <v>575</v>
      </c>
      <c r="I12" s="5">
        <v>743.82</v>
      </c>
      <c r="J12" s="5">
        <v>26.34</v>
      </c>
      <c r="K12" s="5">
        <v>1.48</v>
      </c>
      <c r="L12" s="5">
        <v>68</v>
      </c>
      <c r="M12" s="5">
        <v>20</v>
      </c>
      <c r="N12" s="5">
        <v>12</v>
      </c>
      <c r="O12" s="5">
        <v>7.35</v>
      </c>
      <c r="P12" s="5">
        <v>20.301624129930396</v>
      </c>
      <c r="Q12" s="5">
        <v>2.09</v>
      </c>
      <c r="R12" s="5">
        <v>9.7136957559475583</v>
      </c>
      <c r="S12" s="5">
        <v>300</v>
      </c>
      <c r="T12" s="5">
        <v>0.68</v>
      </c>
      <c r="V12" s="5">
        <f>(T12-T11)/S12</f>
        <v>-6.6666666666666358E-5</v>
      </c>
      <c r="W12" s="5">
        <f t="shared" si="0"/>
        <v>-6.6666666666666359E-3</v>
      </c>
    </row>
    <row r="13" spans="1:23" x14ac:dyDescent="0.3">
      <c r="A13" s="81" t="s">
        <v>207</v>
      </c>
      <c r="B13" s="81" t="s">
        <v>208</v>
      </c>
      <c r="C13" s="81">
        <v>2015</v>
      </c>
      <c r="D13" s="81" t="s">
        <v>204</v>
      </c>
      <c r="E13" s="81">
        <v>120.69799999999999</v>
      </c>
      <c r="F13" s="81">
        <v>31.55</v>
      </c>
      <c r="G13" s="81">
        <v>2013</v>
      </c>
      <c r="H13" s="81">
        <v>575</v>
      </c>
      <c r="I13" s="81">
        <v>743.82</v>
      </c>
      <c r="J13" s="81">
        <v>26.34</v>
      </c>
      <c r="K13" s="81">
        <v>1.48</v>
      </c>
      <c r="L13" s="81">
        <v>68</v>
      </c>
      <c r="M13" s="81">
        <v>20</v>
      </c>
      <c r="N13" s="81">
        <v>12</v>
      </c>
      <c r="O13" s="81">
        <v>7.35</v>
      </c>
      <c r="P13" s="81">
        <v>20.301624129930396</v>
      </c>
      <c r="Q13" s="81">
        <v>2.09</v>
      </c>
      <c r="R13" s="81">
        <v>9.7136957559475583</v>
      </c>
      <c r="S13" s="81">
        <v>225</v>
      </c>
      <c r="T13" s="81">
        <v>0.75</v>
      </c>
      <c r="U13" s="81"/>
      <c r="V13" s="81">
        <f>(T13-T11)/S13</f>
        <v>2.2222222222222242E-4</v>
      </c>
      <c r="W13" s="81">
        <f t="shared" si="0"/>
        <v>2.2222222222222244E-2</v>
      </c>
    </row>
    <row r="14" spans="1:23" x14ac:dyDescent="0.3">
      <c r="A14" s="5" t="s">
        <v>209</v>
      </c>
      <c r="B14" s="5" t="s">
        <v>210</v>
      </c>
      <c r="C14" s="5">
        <v>2015</v>
      </c>
      <c r="D14" s="5" t="s">
        <v>204</v>
      </c>
      <c r="E14" s="5">
        <v>103.8</v>
      </c>
      <c r="F14" s="5">
        <v>30.67</v>
      </c>
      <c r="G14" s="5">
        <v>2005</v>
      </c>
      <c r="H14" s="5">
        <v>280.14</v>
      </c>
      <c r="I14" s="5">
        <v>526.69000000000005</v>
      </c>
      <c r="J14" s="5">
        <v>24.95</v>
      </c>
      <c r="K14" s="5">
        <v>1.31</v>
      </c>
      <c r="L14" s="5">
        <v>6</v>
      </c>
      <c r="M14" s="5">
        <v>49.9</v>
      </c>
      <c r="N14" s="5">
        <v>44.1</v>
      </c>
      <c r="O14" s="5">
        <v>7.79</v>
      </c>
      <c r="P14" s="5">
        <v>15.661252900232018</v>
      </c>
      <c r="Q14" s="5">
        <v>1.58</v>
      </c>
      <c r="R14" s="5">
        <v>9.9121853798936819</v>
      </c>
      <c r="S14" s="5">
        <v>0</v>
      </c>
      <c r="T14" s="5">
        <v>0.13341600000000001</v>
      </c>
      <c r="U14" s="5">
        <f>AVERAGE(T14,T16)</f>
        <v>0.11066400000000001</v>
      </c>
      <c r="W14" s="5">
        <f t="shared" si="0"/>
        <v>0</v>
      </c>
    </row>
    <row r="15" spans="1:23" x14ac:dyDescent="0.3">
      <c r="A15" s="5" t="s">
        <v>209</v>
      </c>
      <c r="B15" s="5" t="s">
        <v>210</v>
      </c>
      <c r="C15" s="5">
        <v>2015</v>
      </c>
      <c r="D15" s="5" t="s">
        <v>204</v>
      </c>
      <c r="E15" s="5">
        <v>103.8</v>
      </c>
      <c r="F15" s="5">
        <v>30.67</v>
      </c>
      <c r="G15" s="5">
        <v>2005</v>
      </c>
      <c r="H15" s="5">
        <v>280.14</v>
      </c>
      <c r="I15" s="5">
        <v>526.69000000000005</v>
      </c>
      <c r="J15" s="5">
        <v>24.95</v>
      </c>
      <c r="K15" s="5">
        <v>1.31</v>
      </c>
      <c r="L15" s="5">
        <v>6</v>
      </c>
      <c r="M15" s="5">
        <v>49.9</v>
      </c>
      <c r="N15" s="5">
        <v>44.1</v>
      </c>
      <c r="O15" s="5">
        <v>7.79</v>
      </c>
      <c r="P15" s="5">
        <v>15.661252900232018</v>
      </c>
      <c r="Q15" s="5">
        <v>1.58</v>
      </c>
      <c r="R15" s="5">
        <v>9.9121853798936819</v>
      </c>
      <c r="S15" s="5">
        <v>150</v>
      </c>
      <c r="T15" s="5">
        <v>0.16969119999999999</v>
      </c>
      <c r="V15" s="5">
        <f>(T15-T14)/S15</f>
        <v>2.4183466666666652E-4</v>
      </c>
      <c r="W15" s="5">
        <f t="shared" si="0"/>
        <v>2.4183466666666653E-2</v>
      </c>
    </row>
    <row r="16" spans="1:23" x14ac:dyDescent="0.3">
      <c r="A16" s="5" t="s">
        <v>209</v>
      </c>
      <c r="B16" s="5" t="s">
        <v>210</v>
      </c>
      <c r="C16" s="5">
        <v>2015</v>
      </c>
      <c r="D16" s="5" t="s">
        <v>204</v>
      </c>
      <c r="E16" s="5">
        <v>103.8</v>
      </c>
      <c r="F16" s="5">
        <v>30.67</v>
      </c>
      <c r="G16" s="5">
        <v>2005</v>
      </c>
      <c r="H16" s="5">
        <v>283.47000000000003</v>
      </c>
      <c r="I16" s="5">
        <v>531.76</v>
      </c>
      <c r="J16" s="5">
        <v>15.9</v>
      </c>
      <c r="K16" s="5">
        <v>1.31</v>
      </c>
      <c r="L16" s="5">
        <v>6</v>
      </c>
      <c r="M16" s="5">
        <v>49.9</v>
      </c>
      <c r="N16" s="5">
        <v>44.1</v>
      </c>
      <c r="O16" s="5">
        <v>7.79</v>
      </c>
      <c r="P16" s="5">
        <v>15.661252900232018</v>
      </c>
      <c r="Q16" s="5">
        <v>1.58</v>
      </c>
      <c r="R16" s="5">
        <v>9.9121853798936819</v>
      </c>
      <c r="S16" s="5">
        <v>0</v>
      </c>
      <c r="T16" s="5">
        <v>8.7912000000000004E-2</v>
      </c>
      <c r="W16" s="5">
        <f t="shared" si="0"/>
        <v>0</v>
      </c>
    </row>
    <row r="17" spans="1:23" x14ac:dyDescent="0.3">
      <c r="A17" s="81" t="s">
        <v>209</v>
      </c>
      <c r="B17" s="81" t="s">
        <v>210</v>
      </c>
      <c r="C17" s="81">
        <v>2015</v>
      </c>
      <c r="D17" s="81" t="s">
        <v>204</v>
      </c>
      <c r="E17" s="81">
        <v>103.8</v>
      </c>
      <c r="F17" s="81">
        <v>30.67</v>
      </c>
      <c r="G17" s="81">
        <v>2005</v>
      </c>
      <c r="H17" s="81">
        <v>283.47000000000003</v>
      </c>
      <c r="I17" s="81">
        <v>531.76</v>
      </c>
      <c r="J17" s="81">
        <v>15.9</v>
      </c>
      <c r="K17" s="81">
        <v>1.31</v>
      </c>
      <c r="L17" s="81">
        <v>6</v>
      </c>
      <c r="M17" s="81">
        <v>49.9</v>
      </c>
      <c r="N17" s="81">
        <v>44.1</v>
      </c>
      <c r="O17" s="81">
        <v>7.79</v>
      </c>
      <c r="P17" s="81">
        <v>15.661252900232018</v>
      </c>
      <c r="Q17" s="81">
        <v>1.58</v>
      </c>
      <c r="R17" s="81">
        <v>9.9121853798936819</v>
      </c>
      <c r="S17" s="81">
        <v>150</v>
      </c>
      <c r="T17" s="81">
        <v>9.9456000000000003E-2</v>
      </c>
      <c r="U17" s="81"/>
      <c r="V17" s="81">
        <f>(T17-T16)/S17</f>
        <v>7.6959999999999995E-5</v>
      </c>
      <c r="W17" s="81">
        <f t="shared" si="0"/>
        <v>7.6959999999999997E-3</v>
      </c>
    </row>
    <row r="18" spans="1:23" x14ac:dyDescent="0.3">
      <c r="A18" s="5" t="s">
        <v>211</v>
      </c>
      <c r="B18" s="5" t="s">
        <v>212</v>
      </c>
      <c r="C18" s="5">
        <v>2009</v>
      </c>
      <c r="D18" s="5" t="s">
        <v>204</v>
      </c>
      <c r="E18" s="5">
        <v>120.7</v>
      </c>
      <c r="F18" s="5">
        <v>30.83</v>
      </c>
      <c r="G18" s="5">
        <v>2004</v>
      </c>
      <c r="H18" s="5">
        <v>378.67</v>
      </c>
      <c r="I18" s="5">
        <v>825.62</v>
      </c>
      <c r="J18" s="5">
        <v>26.3</v>
      </c>
      <c r="K18" s="5">
        <v>1.4</v>
      </c>
      <c r="L18" s="5">
        <v>31</v>
      </c>
      <c r="M18" s="5">
        <v>54.5</v>
      </c>
      <c r="N18" s="5">
        <v>16.5</v>
      </c>
      <c r="O18" s="5">
        <v>6.12</v>
      </c>
      <c r="P18" s="5">
        <v>14.36</v>
      </c>
      <c r="Q18" s="5">
        <v>1.9</v>
      </c>
      <c r="R18" s="5">
        <v>7.5578947368421057</v>
      </c>
      <c r="S18" s="5">
        <v>0</v>
      </c>
      <c r="T18" s="5">
        <v>6.9999999999999999E-4</v>
      </c>
      <c r="U18" s="5">
        <f>T18</f>
        <v>6.9999999999999999E-4</v>
      </c>
      <c r="W18" s="5">
        <f t="shared" si="0"/>
        <v>0</v>
      </c>
    </row>
    <row r="19" spans="1:23" x14ac:dyDescent="0.3">
      <c r="A19" s="81" t="s">
        <v>211</v>
      </c>
      <c r="B19" s="81" t="s">
        <v>212</v>
      </c>
      <c r="C19" s="81">
        <v>2009</v>
      </c>
      <c r="D19" s="81" t="s">
        <v>204</v>
      </c>
      <c r="E19" s="81">
        <v>120.7</v>
      </c>
      <c r="F19" s="81">
        <v>30.83</v>
      </c>
      <c r="G19" s="81">
        <v>2004</v>
      </c>
      <c r="H19" s="81">
        <v>378.67</v>
      </c>
      <c r="I19" s="81">
        <v>825.62</v>
      </c>
      <c r="J19" s="81">
        <v>26.3</v>
      </c>
      <c r="K19" s="81">
        <v>1.4</v>
      </c>
      <c r="L19" s="81">
        <v>31</v>
      </c>
      <c r="M19" s="81">
        <v>54.5</v>
      </c>
      <c r="N19" s="81">
        <v>16.5</v>
      </c>
      <c r="O19" s="81">
        <v>6.12</v>
      </c>
      <c r="P19" s="81">
        <v>14.36</v>
      </c>
      <c r="Q19" s="81">
        <v>1.9</v>
      </c>
      <c r="R19" s="81">
        <v>7.5578947368421057</v>
      </c>
      <c r="S19" s="81">
        <v>180.7</v>
      </c>
      <c r="T19" s="81">
        <v>0.51700000000000002</v>
      </c>
      <c r="U19" s="81"/>
      <c r="V19" s="81">
        <f>(T19-T18)/S19</f>
        <v>2.8572219147758719E-3</v>
      </c>
      <c r="W19" s="81">
        <f t="shared" si="0"/>
        <v>0.28572219147758721</v>
      </c>
    </row>
    <row r="20" spans="1:23" x14ac:dyDescent="0.3">
      <c r="A20" s="5" t="s">
        <v>42</v>
      </c>
      <c r="B20" s="5" t="s">
        <v>208</v>
      </c>
      <c r="C20" s="5">
        <v>2015</v>
      </c>
      <c r="D20" s="5" t="s">
        <v>204</v>
      </c>
      <c r="E20" s="5">
        <v>120.69799999999999</v>
      </c>
      <c r="F20" s="5">
        <v>31.55</v>
      </c>
      <c r="G20" s="5">
        <v>2009</v>
      </c>
      <c r="H20" s="5">
        <v>559.4</v>
      </c>
      <c r="I20" s="5">
        <v>785.77</v>
      </c>
      <c r="J20" s="5">
        <v>25.6</v>
      </c>
      <c r="K20" s="5">
        <v>1.48</v>
      </c>
      <c r="L20" s="5">
        <v>68</v>
      </c>
      <c r="M20" s="5">
        <v>20</v>
      </c>
      <c r="N20" s="5">
        <v>12</v>
      </c>
      <c r="O20" s="5">
        <v>7.6</v>
      </c>
      <c r="P20" s="5">
        <v>20.301624129930396</v>
      </c>
      <c r="Q20" s="5">
        <v>2.12</v>
      </c>
      <c r="R20" s="5">
        <v>9.5762377971369794</v>
      </c>
      <c r="S20" s="5">
        <v>0</v>
      </c>
      <c r="T20" s="5">
        <v>0.01</v>
      </c>
      <c r="U20" s="5">
        <f>AVERAGE(T20,T24)</f>
        <v>1.4999999999999999E-2</v>
      </c>
      <c r="W20" s="5">
        <f t="shared" si="0"/>
        <v>0</v>
      </c>
    </row>
    <row r="21" spans="1:23" x14ac:dyDescent="0.3">
      <c r="A21" s="5" t="s">
        <v>42</v>
      </c>
      <c r="B21" s="5" t="s">
        <v>208</v>
      </c>
      <c r="C21" s="5">
        <v>2015</v>
      </c>
      <c r="D21" s="5" t="s">
        <v>204</v>
      </c>
      <c r="E21" s="5">
        <v>120.69799999999999</v>
      </c>
      <c r="F21" s="5">
        <v>31.55</v>
      </c>
      <c r="G21" s="5">
        <v>2009</v>
      </c>
      <c r="H21" s="5">
        <v>559.4</v>
      </c>
      <c r="I21" s="5">
        <v>785.77</v>
      </c>
      <c r="J21" s="5">
        <v>25.6</v>
      </c>
      <c r="K21" s="5">
        <v>1.48</v>
      </c>
      <c r="L21" s="5">
        <v>68</v>
      </c>
      <c r="M21" s="5">
        <v>20</v>
      </c>
      <c r="N21" s="5">
        <v>12</v>
      </c>
      <c r="O21" s="5">
        <v>8.1</v>
      </c>
      <c r="P21" s="5">
        <v>20.301624129930396</v>
      </c>
      <c r="Q21" s="5">
        <v>2.12</v>
      </c>
      <c r="R21" s="5">
        <v>9.5762377971369794</v>
      </c>
      <c r="S21" s="5">
        <v>225</v>
      </c>
      <c r="T21" s="5">
        <v>0.04</v>
      </c>
      <c r="V21" s="5">
        <f>(T21-T20)/S21</f>
        <v>1.3333333333333334E-4</v>
      </c>
      <c r="W21" s="5">
        <f t="shared" si="0"/>
        <v>1.3333333333333334E-2</v>
      </c>
    </row>
    <row r="22" spans="1:23" x14ac:dyDescent="0.3">
      <c r="A22" s="5" t="s">
        <v>42</v>
      </c>
      <c r="B22" s="5" t="s">
        <v>208</v>
      </c>
      <c r="C22" s="5">
        <v>2015</v>
      </c>
      <c r="D22" s="5" t="s">
        <v>204</v>
      </c>
      <c r="E22" s="5">
        <v>120.69799999999999</v>
      </c>
      <c r="F22" s="5">
        <v>31.55</v>
      </c>
      <c r="G22" s="5">
        <v>2009</v>
      </c>
      <c r="H22" s="5">
        <v>559.4</v>
      </c>
      <c r="I22" s="5">
        <v>785.77</v>
      </c>
      <c r="J22" s="5">
        <v>25.6</v>
      </c>
      <c r="K22" s="5">
        <v>1.48</v>
      </c>
      <c r="L22" s="5">
        <v>68</v>
      </c>
      <c r="M22" s="5">
        <v>20</v>
      </c>
      <c r="N22" s="5">
        <v>12</v>
      </c>
      <c r="O22" s="5">
        <v>2.12</v>
      </c>
      <c r="P22" s="5">
        <v>20.301624129930396</v>
      </c>
      <c r="Q22" s="5">
        <v>2.12</v>
      </c>
      <c r="R22" s="5">
        <v>9.5762377971369794</v>
      </c>
      <c r="S22" s="5">
        <v>300</v>
      </c>
      <c r="T22" s="5">
        <v>0.05</v>
      </c>
      <c r="V22" s="5">
        <f>(T22-T20)/S22</f>
        <v>1.3333333333333334E-4</v>
      </c>
      <c r="W22" s="5">
        <f t="shared" si="0"/>
        <v>1.3333333333333334E-2</v>
      </c>
    </row>
    <row r="23" spans="1:23" x14ac:dyDescent="0.3">
      <c r="A23" s="5" t="s">
        <v>42</v>
      </c>
      <c r="B23" s="5" t="s">
        <v>208</v>
      </c>
      <c r="C23" s="5">
        <v>2015</v>
      </c>
      <c r="D23" s="5" t="s">
        <v>204</v>
      </c>
      <c r="E23" s="5">
        <v>120.69799999999999</v>
      </c>
      <c r="F23" s="5">
        <v>31.55</v>
      </c>
      <c r="G23" s="5">
        <v>2009</v>
      </c>
      <c r="H23" s="5">
        <v>559.4</v>
      </c>
      <c r="I23" s="5">
        <v>785.77</v>
      </c>
      <c r="J23" s="5">
        <v>25.6</v>
      </c>
      <c r="K23" s="5">
        <v>1.48</v>
      </c>
      <c r="L23" s="5">
        <v>68</v>
      </c>
      <c r="M23" s="5">
        <v>20</v>
      </c>
      <c r="N23" s="5">
        <v>12</v>
      </c>
      <c r="O23" s="5">
        <v>8.1</v>
      </c>
      <c r="P23" s="5">
        <v>20.301624129930396</v>
      </c>
      <c r="Q23" s="5">
        <v>2.12</v>
      </c>
      <c r="R23" s="5">
        <v>9.5762377971369794</v>
      </c>
      <c r="S23" s="5">
        <v>510</v>
      </c>
      <c r="T23" s="5">
        <v>0.08</v>
      </c>
      <c r="V23" s="5">
        <f>(T23-T20)/S23</f>
        <v>1.3725490196078434E-4</v>
      </c>
      <c r="W23" s="5">
        <f t="shared" si="0"/>
        <v>1.3725490196078435E-2</v>
      </c>
    </row>
    <row r="24" spans="1:23" x14ac:dyDescent="0.3">
      <c r="A24" s="5" t="s">
        <v>42</v>
      </c>
      <c r="B24" s="5" t="s">
        <v>208</v>
      </c>
      <c r="C24" s="5">
        <v>2015</v>
      </c>
      <c r="D24" s="5" t="s">
        <v>204</v>
      </c>
      <c r="E24" s="5">
        <v>120.69799999999999</v>
      </c>
      <c r="F24" s="5">
        <v>31.55</v>
      </c>
      <c r="G24" s="5">
        <v>2010</v>
      </c>
      <c r="H24" s="5">
        <v>381.3</v>
      </c>
      <c r="I24" s="5">
        <v>708.64</v>
      </c>
      <c r="J24" s="5">
        <v>25.7</v>
      </c>
      <c r="K24" s="5">
        <v>1.48</v>
      </c>
      <c r="L24" s="5">
        <v>68</v>
      </c>
      <c r="M24" s="5">
        <v>20</v>
      </c>
      <c r="N24" s="5">
        <v>12</v>
      </c>
      <c r="O24" s="5">
        <v>7.6</v>
      </c>
      <c r="P24" s="5">
        <v>20.301624129930396</v>
      </c>
      <c r="Q24" s="5">
        <v>2.12</v>
      </c>
      <c r="R24" s="5">
        <v>9.5762377971369794</v>
      </c>
      <c r="S24" s="5">
        <v>0</v>
      </c>
      <c r="T24" s="5">
        <v>0.02</v>
      </c>
      <c r="W24" s="5">
        <f t="shared" si="0"/>
        <v>0</v>
      </c>
    </row>
    <row r="25" spans="1:23" x14ac:dyDescent="0.3">
      <c r="A25" s="5" t="s">
        <v>42</v>
      </c>
      <c r="B25" s="5" t="s">
        <v>208</v>
      </c>
      <c r="C25" s="5">
        <v>2015</v>
      </c>
      <c r="D25" s="5" t="s">
        <v>204</v>
      </c>
      <c r="E25" s="5">
        <v>120.69799999999999</v>
      </c>
      <c r="F25" s="5">
        <v>31.55</v>
      </c>
      <c r="G25" s="5">
        <v>2010</v>
      </c>
      <c r="H25" s="5">
        <v>381.3</v>
      </c>
      <c r="I25" s="5">
        <v>708.64</v>
      </c>
      <c r="J25" s="5">
        <v>25.7</v>
      </c>
      <c r="K25" s="5">
        <v>1.48</v>
      </c>
      <c r="L25" s="5">
        <v>68</v>
      </c>
      <c r="M25" s="5">
        <v>20</v>
      </c>
      <c r="N25" s="5">
        <v>12</v>
      </c>
      <c r="O25" s="5">
        <v>8.0399999999999991</v>
      </c>
      <c r="P25" s="5">
        <v>20.301624129930396</v>
      </c>
      <c r="Q25" s="5">
        <v>2.12</v>
      </c>
      <c r="R25" s="5">
        <v>9.5762377971369794</v>
      </c>
      <c r="S25" s="5">
        <v>225</v>
      </c>
      <c r="T25" s="5">
        <v>0.04</v>
      </c>
      <c r="V25" s="5">
        <f>(T25-T24)/S25</f>
        <v>8.8888888888888893E-5</v>
      </c>
      <c r="W25" s="5">
        <f t="shared" si="0"/>
        <v>8.8888888888888889E-3</v>
      </c>
    </row>
    <row r="26" spans="1:23" x14ac:dyDescent="0.3">
      <c r="A26" s="5" t="s">
        <v>42</v>
      </c>
      <c r="B26" s="5" t="s">
        <v>208</v>
      </c>
      <c r="C26" s="5">
        <v>2015</v>
      </c>
      <c r="D26" s="5" t="s">
        <v>204</v>
      </c>
      <c r="E26" s="5">
        <v>120.69799999999999</v>
      </c>
      <c r="F26" s="5">
        <v>31.55</v>
      </c>
      <c r="G26" s="5">
        <v>2010</v>
      </c>
      <c r="H26" s="5">
        <v>381.3</v>
      </c>
      <c r="I26" s="5">
        <v>708.64</v>
      </c>
      <c r="J26" s="5">
        <v>25.7</v>
      </c>
      <c r="K26" s="5">
        <v>1.48</v>
      </c>
      <c r="L26" s="5">
        <v>68</v>
      </c>
      <c r="M26" s="5">
        <v>20</v>
      </c>
      <c r="N26" s="5">
        <v>12</v>
      </c>
      <c r="O26" s="5">
        <v>8.06</v>
      </c>
      <c r="P26" s="5">
        <v>20.301624129930396</v>
      </c>
      <c r="Q26" s="5">
        <v>2.12</v>
      </c>
      <c r="R26" s="5">
        <v>9.5762377971369794</v>
      </c>
      <c r="S26" s="5">
        <v>300</v>
      </c>
      <c r="T26" s="5">
        <v>0.06</v>
      </c>
      <c r="V26" s="5">
        <f>(T26-T24)/S26</f>
        <v>1.3333333333333331E-4</v>
      </c>
      <c r="W26" s="5">
        <f t="shared" si="0"/>
        <v>1.3333333333333331E-2</v>
      </c>
    </row>
    <row r="27" spans="1:23" x14ac:dyDescent="0.3">
      <c r="A27" s="81" t="s">
        <v>42</v>
      </c>
      <c r="B27" s="81" t="s">
        <v>208</v>
      </c>
      <c r="C27" s="81">
        <v>2015</v>
      </c>
      <c r="D27" s="81" t="s">
        <v>204</v>
      </c>
      <c r="E27" s="81">
        <v>120.69799999999999</v>
      </c>
      <c r="F27" s="81">
        <v>31.55</v>
      </c>
      <c r="G27" s="81">
        <v>2010</v>
      </c>
      <c r="H27" s="81">
        <v>381.3</v>
      </c>
      <c r="I27" s="81">
        <v>708.64</v>
      </c>
      <c r="J27" s="81">
        <v>25.7</v>
      </c>
      <c r="K27" s="81">
        <v>1.48</v>
      </c>
      <c r="L27" s="81">
        <v>68</v>
      </c>
      <c r="M27" s="81">
        <v>20</v>
      </c>
      <c r="N27" s="81">
        <v>12</v>
      </c>
      <c r="O27" s="81">
        <v>8.09</v>
      </c>
      <c r="P27" s="81">
        <v>20.301624129930396</v>
      </c>
      <c r="Q27" s="81">
        <v>2.12</v>
      </c>
      <c r="R27" s="81">
        <v>9.5762377971369794</v>
      </c>
      <c r="S27" s="81">
        <v>510</v>
      </c>
      <c r="T27" s="81">
        <v>0.1</v>
      </c>
      <c r="U27" s="81"/>
      <c r="V27" s="81">
        <f>(T27-T24)/S27</f>
        <v>1.5686274509803922E-4</v>
      </c>
      <c r="W27" s="81">
        <f t="shared" si="0"/>
        <v>1.5686274509803921E-2</v>
      </c>
    </row>
    <row r="28" spans="1:23" x14ac:dyDescent="0.3">
      <c r="A28" s="5" t="s">
        <v>213</v>
      </c>
      <c r="B28" s="5" t="s">
        <v>214</v>
      </c>
      <c r="C28" s="5">
        <v>2020</v>
      </c>
      <c r="D28" s="5" t="s">
        <v>204</v>
      </c>
      <c r="E28" s="5">
        <v>120.05</v>
      </c>
      <c r="F28" s="5">
        <v>31.116</v>
      </c>
      <c r="G28" s="5">
        <v>2010</v>
      </c>
      <c r="H28" s="5">
        <v>660.05</v>
      </c>
      <c r="I28" s="5">
        <v>780.42</v>
      </c>
      <c r="J28" s="5">
        <v>24.73</v>
      </c>
      <c r="K28" s="5">
        <v>1.1499999999999999</v>
      </c>
      <c r="L28" s="5">
        <v>35.5</v>
      </c>
      <c r="M28" s="5">
        <v>36.055555560000002</v>
      </c>
      <c r="N28" s="5">
        <v>17.333333329999999</v>
      </c>
      <c r="O28" s="5">
        <v>8.4</v>
      </c>
      <c r="P28" s="5">
        <v>14.9</v>
      </c>
      <c r="Q28" s="5">
        <v>1.43</v>
      </c>
      <c r="R28" s="5">
        <v>11</v>
      </c>
      <c r="S28" s="5">
        <v>0</v>
      </c>
      <c r="T28" s="5">
        <v>0.21</v>
      </c>
      <c r="U28" s="5">
        <f>AVERAGE(T28,T33,T38)</f>
        <v>0.25333333333333335</v>
      </c>
      <c r="W28" s="5">
        <f t="shared" si="0"/>
        <v>0</v>
      </c>
    </row>
    <row r="29" spans="1:23" x14ac:dyDescent="0.3">
      <c r="A29" s="5" t="s">
        <v>213</v>
      </c>
      <c r="B29" s="5" t="s">
        <v>214</v>
      </c>
      <c r="C29" s="5">
        <v>2020</v>
      </c>
      <c r="D29" s="5" t="s">
        <v>204</v>
      </c>
      <c r="E29" s="5">
        <v>120.05</v>
      </c>
      <c r="F29" s="5">
        <v>31.116</v>
      </c>
      <c r="G29" s="5">
        <v>2010</v>
      </c>
      <c r="H29" s="5">
        <v>660.05</v>
      </c>
      <c r="I29" s="5">
        <v>780.42</v>
      </c>
      <c r="J29" s="5">
        <v>24.73</v>
      </c>
      <c r="K29" s="5">
        <v>1.1499999999999999</v>
      </c>
      <c r="L29" s="5">
        <v>35.5</v>
      </c>
      <c r="M29" s="5">
        <v>36.055555560000002</v>
      </c>
      <c r="N29" s="5">
        <v>17.333333329999999</v>
      </c>
      <c r="O29" s="5">
        <v>8.4</v>
      </c>
      <c r="P29" s="5">
        <v>14.9</v>
      </c>
      <c r="Q29" s="5">
        <v>1.43</v>
      </c>
      <c r="R29" s="5">
        <v>11</v>
      </c>
      <c r="S29" s="5">
        <v>190</v>
      </c>
      <c r="T29" s="5">
        <v>1.1399999999999999</v>
      </c>
      <c r="V29" s="5">
        <f>(T29-T28)/S29</f>
        <v>4.8947368421052625E-3</v>
      </c>
      <c r="W29" s="5">
        <f t="shared" si="0"/>
        <v>0.48947368421052623</v>
      </c>
    </row>
    <row r="30" spans="1:23" x14ac:dyDescent="0.3">
      <c r="A30" s="5" t="s">
        <v>213</v>
      </c>
      <c r="B30" s="5" t="s">
        <v>214</v>
      </c>
      <c r="C30" s="5">
        <v>2020</v>
      </c>
      <c r="D30" s="5" t="s">
        <v>204</v>
      </c>
      <c r="E30" s="5">
        <v>120.05</v>
      </c>
      <c r="F30" s="5">
        <v>31.116</v>
      </c>
      <c r="G30" s="5">
        <v>2010</v>
      </c>
      <c r="H30" s="5">
        <v>660.05</v>
      </c>
      <c r="I30" s="5">
        <v>780.42</v>
      </c>
      <c r="J30" s="5">
        <v>24.73</v>
      </c>
      <c r="K30" s="5">
        <v>1.1499999999999999</v>
      </c>
      <c r="L30" s="5">
        <v>35.5</v>
      </c>
      <c r="M30" s="5">
        <v>36.055555560000002</v>
      </c>
      <c r="N30" s="5">
        <v>17.333333329999999</v>
      </c>
      <c r="O30" s="5">
        <v>8.4</v>
      </c>
      <c r="P30" s="5">
        <v>14.9</v>
      </c>
      <c r="Q30" s="5">
        <v>1.43</v>
      </c>
      <c r="R30" s="5">
        <v>11</v>
      </c>
      <c r="S30" s="5">
        <v>190</v>
      </c>
      <c r="T30" s="5">
        <v>1.35</v>
      </c>
      <c r="V30" s="5">
        <f>(T30-T28)/S30</f>
        <v>6.000000000000001E-3</v>
      </c>
      <c r="W30" s="5">
        <f t="shared" si="0"/>
        <v>0.60000000000000009</v>
      </c>
    </row>
    <row r="31" spans="1:23" x14ac:dyDescent="0.3">
      <c r="A31" s="5" t="s">
        <v>213</v>
      </c>
      <c r="B31" s="5" t="s">
        <v>214</v>
      </c>
      <c r="C31" s="5">
        <v>2020</v>
      </c>
      <c r="D31" s="5" t="s">
        <v>204</v>
      </c>
      <c r="E31" s="5">
        <v>120.05</v>
      </c>
      <c r="F31" s="5">
        <v>31.116</v>
      </c>
      <c r="G31" s="5">
        <v>2010</v>
      </c>
      <c r="H31" s="5">
        <v>660.05</v>
      </c>
      <c r="I31" s="5">
        <v>780.42</v>
      </c>
      <c r="J31" s="5">
        <v>24.73</v>
      </c>
      <c r="K31" s="5">
        <v>1.1499999999999999</v>
      </c>
      <c r="L31" s="5">
        <v>35.5</v>
      </c>
      <c r="M31" s="5">
        <v>36.055555560000002</v>
      </c>
      <c r="N31" s="5">
        <v>17.333333329999999</v>
      </c>
      <c r="O31" s="5">
        <v>8.4</v>
      </c>
      <c r="P31" s="5">
        <v>14.9</v>
      </c>
      <c r="Q31" s="5">
        <v>1.43</v>
      </c>
      <c r="R31" s="5">
        <v>11</v>
      </c>
      <c r="S31" s="5">
        <v>270</v>
      </c>
      <c r="T31" s="5">
        <v>1.73</v>
      </c>
      <c r="V31" s="5">
        <f>(T31-T28)/S31</f>
        <v>5.6296296296296294E-3</v>
      </c>
      <c r="W31" s="5">
        <f t="shared" si="0"/>
        <v>0.56296296296296289</v>
      </c>
    </row>
    <row r="32" spans="1:23" x14ac:dyDescent="0.3">
      <c r="A32" s="5" t="s">
        <v>213</v>
      </c>
      <c r="B32" s="5" t="s">
        <v>214</v>
      </c>
      <c r="C32" s="5">
        <v>2020</v>
      </c>
      <c r="D32" s="5" t="s">
        <v>204</v>
      </c>
      <c r="E32" s="5">
        <v>120.05</v>
      </c>
      <c r="F32" s="5">
        <v>31.116</v>
      </c>
      <c r="G32" s="5">
        <v>2010</v>
      </c>
      <c r="H32" s="5">
        <v>660.05</v>
      </c>
      <c r="I32" s="5">
        <v>780.42</v>
      </c>
      <c r="J32" s="5">
        <v>24.73</v>
      </c>
      <c r="K32" s="5">
        <v>1.1499999999999999</v>
      </c>
      <c r="L32" s="5">
        <v>35.5</v>
      </c>
      <c r="M32" s="5">
        <v>36.055555560000002</v>
      </c>
      <c r="N32" s="5">
        <v>17.333333329999999</v>
      </c>
      <c r="O32" s="5">
        <v>8.4</v>
      </c>
      <c r="P32" s="5">
        <v>14.9</v>
      </c>
      <c r="Q32" s="5">
        <v>1.43</v>
      </c>
      <c r="R32" s="5">
        <v>11</v>
      </c>
      <c r="S32" s="5">
        <v>270</v>
      </c>
      <c r="T32" s="5">
        <v>1.62</v>
      </c>
      <c r="V32" s="5">
        <f>(T32-T28)/S32</f>
        <v>5.2222222222222227E-3</v>
      </c>
      <c r="W32" s="5">
        <f t="shared" si="0"/>
        <v>0.52222222222222225</v>
      </c>
    </row>
    <row r="33" spans="1:23" x14ac:dyDescent="0.3">
      <c r="A33" s="5" t="s">
        <v>213</v>
      </c>
      <c r="B33" s="5" t="s">
        <v>214</v>
      </c>
      <c r="C33" s="5">
        <v>2020</v>
      </c>
      <c r="D33" s="5" t="s">
        <v>204</v>
      </c>
      <c r="E33" s="5">
        <v>120.05</v>
      </c>
      <c r="F33" s="5">
        <v>31.116</v>
      </c>
      <c r="G33" s="5">
        <v>2011</v>
      </c>
      <c r="H33" s="5">
        <v>980.6</v>
      </c>
      <c r="I33" s="5">
        <v>817.32</v>
      </c>
      <c r="J33" s="5">
        <v>24.32</v>
      </c>
      <c r="K33" s="5">
        <v>1.1499999999999999</v>
      </c>
      <c r="L33" s="5">
        <v>35.5</v>
      </c>
      <c r="M33" s="5">
        <v>36.055555560000002</v>
      </c>
      <c r="N33" s="5">
        <v>17.333333329999999</v>
      </c>
      <c r="O33" s="5">
        <v>8.4</v>
      </c>
      <c r="P33" s="5">
        <v>14.9</v>
      </c>
      <c r="Q33" s="5">
        <v>1.43</v>
      </c>
      <c r="R33" s="5">
        <v>11</v>
      </c>
      <c r="S33" s="5">
        <v>0</v>
      </c>
      <c r="T33" s="5">
        <v>0.3</v>
      </c>
      <c r="W33" s="5">
        <f t="shared" si="0"/>
        <v>0</v>
      </c>
    </row>
    <row r="34" spans="1:23" x14ac:dyDescent="0.3">
      <c r="A34" s="5" t="s">
        <v>215</v>
      </c>
      <c r="B34" s="5" t="s">
        <v>214</v>
      </c>
      <c r="C34" s="5">
        <v>2020</v>
      </c>
      <c r="D34" s="5" t="s">
        <v>204</v>
      </c>
      <c r="E34" s="5">
        <v>120.05</v>
      </c>
      <c r="F34" s="5">
        <v>31.116</v>
      </c>
      <c r="G34" s="5">
        <v>2011</v>
      </c>
      <c r="H34" s="5">
        <v>980.6</v>
      </c>
      <c r="I34" s="5">
        <v>817.32</v>
      </c>
      <c r="J34" s="5">
        <v>24.32</v>
      </c>
      <c r="K34" s="5">
        <v>1.1499999999999999</v>
      </c>
      <c r="L34" s="5">
        <v>35.5</v>
      </c>
      <c r="M34" s="5">
        <v>36.055555560000002</v>
      </c>
      <c r="N34" s="5">
        <v>17.333333329999999</v>
      </c>
      <c r="O34" s="5">
        <v>8.4</v>
      </c>
      <c r="P34" s="5">
        <v>14.9</v>
      </c>
      <c r="Q34" s="5">
        <v>1.43</v>
      </c>
      <c r="R34" s="5">
        <v>11</v>
      </c>
      <c r="S34" s="5">
        <v>190</v>
      </c>
      <c r="T34" s="5">
        <v>1.89</v>
      </c>
      <c r="V34" s="5">
        <f>(T34-T33)/S34</f>
        <v>8.3684210526315788E-3</v>
      </c>
      <c r="W34" s="5">
        <f t="shared" si="0"/>
        <v>0.83684210526315783</v>
      </c>
    </row>
    <row r="35" spans="1:23" x14ac:dyDescent="0.3">
      <c r="A35" s="5" t="s">
        <v>216</v>
      </c>
      <c r="B35" s="5" t="s">
        <v>214</v>
      </c>
      <c r="C35" s="5">
        <v>2020</v>
      </c>
      <c r="D35" s="5" t="s">
        <v>204</v>
      </c>
      <c r="E35" s="5">
        <v>120.05</v>
      </c>
      <c r="F35" s="5">
        <v>31.116</v>
      </c>
      <c r="G35" s="5">
        <v>2011</v>
      </c>
      <c r="H35" s="5">
        <v>980.6</v>
      </c>
      <c r="I35" s="5">
        <v>817.32</v>
      </c>
      <c r="J35" s="5">
        <v>24.32</v>
      </c>
      <c r="K35" s="5">
        <v>1.1499999999999999</v>
      </c>
      <c r="L35" s="5">
        <v>35.5</v>
      </c>
      <c r="M35" s="5">
        <v>36.055555560000002</v>
      </c>
      <c r="N35" s="5">
        <v>17.333333329999999</v>
      </c>
      <c r="O35" s="5">
        <v>8.4</v>
      </c>
      <c r="P35" s="5">
        <v>14.9</v>
      </c>
      <c r="Q35" s="5">
        <v>1.43</v>
      </c>
      <c r="R35" s="5">
        <v>11</v>
      </c>
      <c r="S35" s="5">
        <v>190</v>
      </c>
      <c r="T35" s="5">
        <v>2.36</v>
      </c>
      <c r="V35" s="5">
        <f>(T35-T33)/S35</f>
        <v>1.0842105263157894E-2</v>
      </c>
      <c r="W35" s="5">
        <f t="shared" si="0"/>
        <v>1.0842105263157895</v>
      </c>
    </row>
    <row r="36" spans="1:23" x14ac:dyDescent="0.3">
      <c r="A36" s="5" t="s">
        <v>217</v>
      </c>
      <c r="B36" s="5" t="s">
        <v>214</v>
      </c>
      <c r="C36" s="5">
        <v>2020</v>
      </c>
      <c r="D36" s="5" t="s">
        <v>204</v>
      </c>
      <c r="E36" s="5">
        <v>120.05</v>
      </c>
      <c r="F36" s="5">
        <v>31.116</v>
      </c>
      <c r="G36" s="5">
        <v>2011</v>
      </c>
      <c r="H36" s="5">
        <v>980.6</v>
      </c>
      <c r="I36" s="5">
        <v>817.32</v>
      </c>
      <c r="J36" s="5">
        <v>24.32</v>
      </c>
      <c r="K36" s="5">
        <v>1.1499999999999999</v>
      </c>
      <c r="L36" s="5">
        <v>35.5</v>
      </c>
      <c r="M36" s="5">
        <v>36.055555560000002</v>
      </c>
      <c r="N36" s="5">
        <v>17.333333329999999</v>
      </c>
      <c r="O36" s="5">
        <v>8.4</v>
      </c>
      <c r="P36" s="5">
        <v>14.9</v>
      </c>
      <c r="Q36" s="5">
        <v>1.43</v>
      </c>
      <c r="R36" s="5">
        <v>11</v>
      </c>
      <c r="S36" s="5">
        <v>270</v>
      </c>
      <c r="T36" s="5">
        <v>3.56</v>
      </c>
      <c r="V36" s="5">
        <f>(T36-T33)/S36</f>
        <v>1.2074074074074076E-2</v>
      </c>
      <c r="W36" s="5">
        <f t="shared" si="0"/>
        <v>1.2074074074074075</v>
      </c>
    </row>
    <row r="37" spans="1:23" x14ac:dyDescent="0.3">
      <c r="A37" s="5" t="s">
        <v>218</v>
      </c>
      <c r="B37" s="5" t="s">
        <v>214</v>
      </c>
      <c r="C37" s="5">
        <v>2020</v>
      </c>
      <c r="D37" s="5" t="s">
        <v>204</v>
      </c>
      <c r="E37" s="5">
        <v>120.05</v>
      </c>
      <c r="F37" s="5">
        <v>31.116</v>
      </c>
      <c r="G37" s="5">
        <v>2011</v>
      </c>
      <c r="H37" s="5">
        <v>980.6</v>
      </c>
      <c r="I37" s="5">
        <v>817.32</v>
      </c>
      <c r="J37" s="5">
        <v>24.32</v>
      </c>
      <c r="K37" s="5">
        <v>1.1499999999999999</v>
      </c>
      <c r="L37" s="5">
        <v>35.5</v>
      </c>
      <c r="M37" s="5">
        <v>36.055555560000002</v>
      </c>
      <c r="N37" s="5">
        <v>17.333333329999999</v>
      </c>
      <c r="O37" s="5">
        <v>8.4</v>
      </c>
      <c r="P37" s="5">
        <v>14.9</v>
      </c>
      <c r="Q37" s="5">
        <v>1.43</v>
      </c>
      <c r="R37" s="5">
        <v>11</v>
      </c>
      <c r="S37" s="5">
        <v>270</v>
      </c>
      <c r="T37" s="5">
        <v>1.61</v>
      </c>
      <c r="V37" s="5">
        <f>(T37-T33)/S37</f>
        <v>4.851851851851852E-3</v>
      </c>
      <c r="W37" s="5">
        <f t="shared" si="0"/>
        <v>0.48518518518518522</v>
      </c>
    </row>
    <row r="38" spans="1:23" x14ac:dyDescent="0.3">
      <c r="A38" s="5" t="s">
        <v>219</v>
      </c>
      <c r="B38" s="5" t="s">
        <v>214</v>
      </c>
      <c r="C38" s="5">
        <v>2020</v>
      </c>
      <c r="D38" s="5" t="s">
        <v>204</v>
      </c>
      <c r="E38" s="5">
        <v>120.05</v>
      </c>
      <c r="F38" s="5">
        <v>31.116</v>
      </c>
      <c r="G38" s="5">
        <v>2012</v>
      </c>
      <c r="H38" s="5">
        <v>699</v>
      </c>
      <c r="I38" s="5">
        <v>729.34</v>
      </c>
      <c r="J38" s="5">
        <v>24.56</v>
      </c>
      <c r="K38" s="5">
        <v>1.1499999999999999</v>
      </c>
      <c r="L38" s="5">
        <v>35.5</v>
      </c>
      <c r="M38" s="5">
        <v>36.055555560000002</v>
      </c>
      <c r="N38" s="5">
        <v>17.333333329999999</v>
      </c>
      <c r="O38" s="5">
        <v>8.4</v>
      </c>
      <c r="P38" s="5">
        <v>14.9</v>
      </c>
      <c r="Q38" s="5">
        <v>1.43</v>
      </c>
      <c r="R38" s="5">
        <v>11</v>
      </c>
      <c r="S38" s="5">
        <v>0</v>
      </c>
      <c r="T38" s="5">
        <v>0.25</v>
      </c>
      <c r="W38" s="5">
        <f t="shared" si="0"/>
        <v>0</v>
      </c>
    </row>
    <row r="39" spans="1:23" x14ac:dyDescent="0.3">
      <c r="A39" s="5" t="s">
        <v>220</v>
      </c>
      <c r="B39" s="5" t="s">
        <v>214</v>
      </c>
      <c r="C39" s="5">
        <v>2020</v>
      </c>
      <c r="D39" s="5" t="s">
        <v>204</v>
      </c>
      <c r="E39" s="5">
        <v>120.05</v>
      </c>
      <c r="F39" s="5">
        <v>31.116</v>
      </c>
      <c r="G39" s="5">
        <v>2012</v>
      </c>
      <c r="H39" s="5">
        <v>699</v>
      </c>
      <c r="I39" s="5">
        <v>729.34</v>
      </c>
      <c r="J39" s="5">
        <v>24.56</v>
      </c>
      <c r="K39" s="5">
        <v>1.1499999999999999</v>
      </c>
      <c r="L39" s="5">
        <v>35.5</v>
      </c>
      <c r="M39" s="5">
        <v>36.055555560000002</v>
      </c>
      <c r="N39" s="5">
        <v>17.333333329999999</v>
      </c>
      <c r="O39" s="5">
        <v>8.4</v>
      </c>
      <c r="P39" s="5">
        <v>14.9</v>
      </c>
      <c r="Q39" s="5">
        <v>1.43</v>
      </c>
      <c r="R39" s="5">
        <v>11</v>
      </c>
      <c r="S39" s="5">
        <v>190</v>
      </c>
      <c r="T39" s="5">
        <v>1.34</v>
      </c>
      <c r="V39" s="5">
        <f>(T39-T38)/S39</f>
        <v>5.7368421052631582E-3</v>
      </c>
      <c r="W39" s="5">
        <f t="shared" si="0"/>
        <v>0.5736842105263158</v>
      </c>
    </row>
    <row r="40" spans="1:23" x14ac:dyDescent="0.3">
      <c r="A40" s="5" t="s">
        <v>221</v>
      </c>
      <c r="B40" s="5" t="s">
        <v>214</v>
      </c>
      <c r="C40" s="5">
        <v>2020</v>
      </c>
      <c r="D40" s="5" t="s">
        <v>204</v>
      </c>
      <c r="E40" s="5">
        <v>120.05</v>
      </c>
      <c r="F40" s="5">
        <v>31.116</v>
      </c>
      <c r="G40" s="5">
        <v>2012</v>
      </c>
      <c r="H40" s="5">
        <v>699</v>
      </c>
      <c r="I40" s="5">
        <v>729.34</v>
      </c>
      <c r="J40" s="5">
        <v>24.56</v>
      </c>
      <c r="K40" s="5">
        <v>1.1499999999999999</v>
      </c>
      <c r="L40" s="5">
        <v>35.5</v>
      </c>
      <c r="M40" s="5">
        <v>36.055555560000002</v>
      </c>
      <c r="N40" s="5">
        <v>17.333333329999999</v>
      </c>
      <c r="O40" s="5">
        <v>8.4</v>
      </c>
      <c r="P40" s="5">
        <v>14.9</v>
      </c>
      <c r="Q40" s="5">
        <v>1.43</v>
      </c>
      <c r="R40" s="5">
        <v>11</v>
      </c>
      <c r="S40" s="5">
        <v>190</v>
      </c>
      <c r="T40" s="5">
        <v>1.81</v>
      </c>
      <c r="V40" s="5">
        <f>(T40-T38)/S40</f>
        <v>8.2105263157894737E-3</v>
      </c>
      <c r="W40" s="5">
        <f t="shared" si="0"/>
        <v>0.82105263157894737</v>
      </c>
    </row>
    <row r="41" spans="1:23" x14ac:dyDescent="0.3">
      <c r="A41" s="5" t="s">
        <v>222</v>
      </c>
      <c r="B41" s="5" t="s">
        <v>214</v>
      </c>
      <c r="C41" s="5">
        <v>2020</v>
      </c>
      <c r="D41" s="5" t="s">
        <v>204</v>
      </c>
      <c r="E41" s="5">
        <v>120.05</v>
      </c>
      <c r="F41" s="5">
        <v>31.116</v>
      </c>
      <c r="G41" s="5">
        <v>2012</v>
      </c>
      <c r="H41" s="5">
        <v>699</v>
      </c>
      <c r="I41" s="5">
        <v>729.34</v>
      </c>
      <c r="J41" s="5">
        <v>24.56</v>
      </c>
      <c r="K41" s="5">
        <v>1.1499999999999999</v>
      </c>
      <c r="L41" s="5">
        <v>35.5</v>
      </c>
      <c r="M41" s="5">
        <v>36.055555560000002</v>
      </c>
      <c r="N41" s="5">
        <v>17.333333329999999</v>
      </c>
      <c r="O41" s="5">
        <v>8.4</v>
      </c>
      <c r="P41" s="5">
        <v>14.9</v>
      </c>
      <c r="Q41" s="5">
        <v>1.43</v>
      </c>
      <c r="R41" s="5">
        <v>11</v>
      </c>
      <c r="S41" s="5">
        <v>270</v>
      </c>
      <c r="T41" s="5">
        <v>3.34</v>
      </c>
      <c r="V41" s="5">
        <f>(T41-T38)/S41</f>
        <v>1.1444444444444445E-2</v>
      </c>
      <c r="W41" s="5">
        <f t="shared" si="0"/>
        <v>1.1444444444444444</v>
      </c>
    </row>
    <row r="42" spans="1:23" x14ac:dyDescent="0.3">
      <c r="A42" s="81" t="s">
        <v>223</v>
      </c>
      <c r="B42" s="81" t="s">
        <v>214</v>
      </c>
      <c r="C42" s="81">
        <v>2020</v>
      </c>
      <c r="D42" s="81" t="s">
        <v>204</v>
      </c>
      <c r="E42" s="81">
        <v>120.05</v>
      </c>
      <c r="F42" s="81">
        <v>31.116</v>
      </c>
      <c r="G42" s="81">
        <v>2012</v>
      </c>
      <c r="H42" s="81">
        <v>699</v>
      </c>
      <c r="I42" s="81">
        <v>729.34</v>
      </c>
      <c r="J42" s="81">
        <v>24.56</v>
      </c>
      <c r="K42" s="81">
        <v>1.1499999999999999</v>
      </c>
      <c r="L42" s="5">
        <v>35.5</v>
      </c>
      <c r="M42" s="5">
        <v>36.055555560000002</v>
      </c>
      <c r="N42" s="5">
        <v>17.333333329999999</v>
      </c>
      <c r="O42" s="81">
        <v>8.4</v>
      </c>
      <c r="P42" s="81">
        <v>14.9</v>
      </c>
      <c r="Q42" s="81">
        <v>1.43</v>
      </c>
      <c r="R42" s="81">
        <v>11</v>
      </c>
      <c r="S42" s="81">
        <v>270</v>
      </c>
      <c r="T42" s="81">
        <v>1.35</v>
      </c>
      <c r="U42" s="81"/>
      <c r="V42" s="81">
        <f>(T42-T38)/S42</f>
        <v>4.0740740740740746E-3</v>
      </c>
      <c r="W42" s="81">
        <f t="shared" si="0"/>
        <v>0.40740740740740744</v>
      </c>
    </row>
    <row r="43" spans="1:23" x14ac:dyDescent="0.3">
      <c r="A43" s="5" t="s">
        <v>224</v>
      </c>
      <c r="B43" s="5" t="s">
        <v>225</v>
      </c>
      <c r="C43" s="5">
        <v>2017</v>
      </c>
      <c r="D43" s="5" t="s">
        <v>204</v>
      </c>
      <c r="E43" s="5">
        <v>110.72</v>
      </c>
      <c r="F43" s="5">
        <v>32.119999999999997</v>
      </c>
      <c r="G43" s="5">
        <v>2013</v>
      </c>
      <c r="H43" s="5">
        <v>539.35</v>
      </c>
      <c r="I43" s="5">
        <v>640.88</v>
      </c>
      <c r="J43" s="5">
        <v>20.86</v>
      </c>
      <c r="K43" s="5">
        <v>1.36</v>
      </c>
      <c r="L43" s="5">
        <v>20.2</v>
      </c>
      <c r="M43" s="5">
        <v>60</v>
      </c>
      <c r="N43" s="5">
        <v>19.8</v>
      </c>
      <c r="O43" s="5">
        <v>6</v>
      </c>
      <c r="P43" s="5">
        <v>11.9</v>
      </c>
      <c r="Q43" s="5">
        <v>1.31</v>
      </c>
      <c r="R43" s="5">
        <v>9.0839694656488543</v>
      </c>
      <c r="S43" s="5">
        <v>0</v>
      </c>
      <c r="T43" s="5">
        <v>2.8000000000000001E-2</v>
      </c>
      <c r="U43" s="5">
        <f>AVERAGE(T43,T46,T48,T51)</f>
        <v>2.4250000000000001E-2</v>
      </c>
      <c r="W43" s="5">
        <f t="shared" si="0"/>
        <v>0</v>
      </c>
    </row>
    <row r="44" spans="1:23" x14ac:dyDescent="0.3">
      <c r="A44" s="5" t="s">
        <v>224</v>
      </c>
      <c r="B44" s="5" t="s">
        <v>225</v>
      </c>
      <c r="C44" s="5">
        <v>2017</v>
      </c>
      <c r="D44" s="5" t="s">
        <v>204</v>
      </c>
      <c r="E44" s="5">
        <v>110.72</v>
      </c>
      <c r="F44" s="5">
        <v>32.119999999999997</v>
      </c>
      <c r="G44" s="5">
        <v>2013</v>
      </c>
      <c r="H44" s="5">
        <v>539.35</v>
      </c>
      <c r="I44" s="5">
        <v>640.88</v>
      </c>
      <c r="J44" s="5">
        <v>20.86</v>
      </c>
      <c r="K44" s="5">
        <v>1.36</v>
      </c>
      <c r="L44" s="5">
        <v>20.2</v>
      </c>
      <c r="M44" s="5">
        <v>60</v>
      </c>
      <c r="N44" s="5">
        <v>19.8</v>
      </c>
      <c r="O44" s="5">
        <v>6</v>
      </c>
      <c r="P44" s="5">
        <v>11.9</v>
      </c>
      <c r="Q44" s="5">
        <v>1.31</v>
      </c>
      <c r="R44" s="5">
        <v>9.0839694656488543</v>
      </c>
      <c r="S44" s="5">
        <v>150</v>
      </c>
      <c r="T44" s="5">
        <v>8.5999999999999993E-2</v>
      </c>
      <c r="V44" s="5">
        <f>(T44-T43)/S44</f>
        <v>3.8666666666666661E-4</v>
      </c>
      <c r="W44" s="5">
        <f t="shared" si="0"/>
        <v>3.8666666666666662E-2</v>
      </c>
    </row>
    <row r="45" spans="1:23" x14ac:dyDescent="0.3">
      <c r="A45" s="5" t="s">
        <v>224</v>
      </c>
      <c r="B45" s="5" t="s">
        <v>225</v>
      </c>
      <c r="C45" s="5">
        <v>2017</v>
      </c>
      <c r="D45" s="5" t="s">
        <v>204</v>
      </c>
      <c r="E45" s="5">
        <v>110.72</v>
      </c>
      <c r="F45" s="5">
        <v>32.119999999999997</v>
      </c>
      <c r="G45" s="5">
        <v>2013</v>
      </c>
      <c r="H45" s="5">
        <v>539.35</v>
      </c>
      <c r="I45" s="5">
        <v>640.88</v>
      </c>
      <c r="J45" s="5">
        <v>20.86</v>
      </c>
      <c r="K45" s="5">
        <v>1.36</v>
      </c>
      <c r="L45" s="5">
        <v>20.2</v>
      </c>
      <c r="M45" s="5">
        <v>60</v>
      </c>
      <c r="N45" s="5">
        <v>19.8</v>
      </c>
      <c r="O45" s="5">
        <v>6</v>
      </c>
      <c r="P45" s="5">
        <v>11.9</v>
      </c>
      <c r="Q45" s="5">
        <v>1.31</v>
      </c>
      <c r="R45" s="5">
        <v>9.0839694656488543</v>
      </c>
      <c r="S45" s="5">
        <v>150</v>
      </c>
      <c r="T45" s="5">
        <v>4.9000000000000002E-2</v>
      </c>
      <c r="V45" s="5">
        <f>(T45-T43)/S45</f>
        <v>1.4000000000000001E-4</v>
      </c>
      <c r="W45" s="5">
        <f t="shared" si="0"/>
        <v>1.4000000000000002E-2</v>
      </c>
    </row>
    <row r="46" spans="1:23" x14ac:dyDescent="0.3">
      <c r="A46" s="5" t="s">
        <v>224</v>
      </c>
      <c r="B46" s="5" t="s">
        <v>225</v>
      </c>
      <c r="C46" s="5">
        <v>2017</v>
      </c>
      <c r="D46" s="5" t="s">
        <v>204</v>
      </c>
      <c r="E46" s="5">
        <v>110.72</v>
      </c>
      <c r="F46" s="5">
        <v>32.119999999999997</v>
      </c>
      <c r="G46" s="5">
        <v>2013</v>
      </c>
      <c r="H46" s="5">
        <v>539.35</v>
      </c>
      <c r="I46" s="5">
        <v>640.88</v>
      </c>
      <c r="J46" s="5">
        <v>20.86</v>
      </c>
      <c r="K46" s="5">
        <v>1.36</v>
      </c>
      <c r="L46" s="5">
        <v>20.2</v>
      </c>
      <c r="M46" s="5">
        <v>60</v>
      </c>
      <c r="N46" s="5">
        <v>19.8</v>
      </c>
      <c r="O46" s="5">
        <v>6</v>
      </c>
      <c r="P46" s="5">
        <v>11.9</v>
      </c>
      <c r="Q46" s="5">
        <v>1.31</v>
      </c>
      <c r="R46" s="5">
        <v>9.0839694656488543</v>
      </c>
      <c r="S46" s="5">
        <v>0</v>
      </c>
      <c r="T46" s="5">
        <v>2.1999999999999999E-2</v>
      </c>
      <c r="W46" s="5">
        <f t="shared" si="0"/>
        <v>0</v>
      </c>
    </row>
    <row r="47" spans="1:23" x14ac:dyDescent="0.3">
      <c r="A47" s="5" t="s">
        <v>224</v>
      </c>
      <c r="B47" s="5" t="s">
        <v>225</v>
      </c>
      <c r="C47" s="5">
        <v>2017</v>
      </c>
      <c r="D47" s="5" t="s">
        <v>204</v>
      </c>
      <c r="E47" s="5">
        <v>110.72</v>
      </c>
      <c r="F47" s="5">
        <v>32.119999999999997</v>
      </c>
      <c r="G47" s="5">
        <v>2013</v>
      </c>
      <c r="H47" s="5">
        <v>539.35</v>
      </c>
      <c r="I47" s="5">
        <v>640.88</v>
      </c>
      <c r="J47" s="5">
        <v>20.86</v>
      </c>
      <c r="K47" s="5">
        <v>1.36</v>
      </c>
      <c r="L47" s="5">
        <v>20.2</v>
      </c>
      <c r="M47" s="5">
        <v>60</v>
      </c>
      <c r="N47" s="5">
        <v>19.8</v>
      </c>
      <c r="O47" s="5">
        <v>6</v>
      </c>
      <c r="P47" s="5">
        <v>11.9</v>
      </c>
      <c r="Q47" s="5">
        <v>1.31</v>
      </c>
      <c r="R47" s="5">
        <v>9.0839694656488543</v>
      </c>
      <c r="S47" s="5">
        <v>150</v>
      </c>
      <c r="T47" s="5">
        <v>5.2999999999999999E-2</v>
      </c>
      <c r="V47" s="5">
        <f>(T47-T46)/S47</f>
        <v>2.0666666666666666E-4</v>
      </c>
      <c r="W47" s="5">
        <f t="shared" si="0"/>
        <v>2.0666666666666667E-2</v>
      </c>
    </row>
    <row r="48" spans="1:23" x14ac:dyDescent="0.3">
      <c r="A48" s="5" t="s">
        <v>224</v>
      </c>
      <c r="B48" s="5" t="s">
        <v>225</v>
      </c>
      <c r="C48" s="5">
        <v>2017</v>
      </c>
      <c r="D48" s="5" t="s">
        <v>204</v>
      </c>
      <c r="E48" s="5">
        <v>110.72</v>
      </c>
      <c r="F48" s="5">
        <v>32.119999999999997</v>
      </c>
      <c r="G48" s="5">
        <v>2014</v>
      </c>
      <c r="H48" s="5">
        <v>622.59</v>
      </c>
      <c r="I48" s="5">
        <v>661.74</v>
      </c>
      <c r="J48" s="5">
        <v>19.350000000000001</v>
      </c>
      <c r="K48" s="5">
        <v>1.36</v>
      </c>
      <c r="L48" s="5">
        <v>20.2</v>
      </c>
      <c r="M48" s="5">
        <v>60</v>
      </c>
      <c r="N48" s="5">
        <v>19.8</v>
      </c>
      <c r="O48" s="5">
        <v>6</v>
      </c>
      <c r="P48" s="5">
        <v>11.9</v>
      </c>
      <c r="Q48" s="5">
        <v>1.31</v>
      </c>
      <c r="R48" s="5">
        <v>9.0839694656488543</v>
      </c>
      <c r="S48" s="5">
        <v>0</v>
      </c>
      <c r="T48" s="5">
        <v>3.2000000000000001E-2</v>
      </c>
      <c r="W48" s="5">
        <f t="shared" si="0"/>
        <v>0</v>
      </c>
    </row>
    <row r="49" spans="1:23" x14ac:dyDescent="0.3">
      <c r="A49" s="5" t="s">
        <v>224</v>
      </c>
      <c r="B49" s="5" t="s">
        <v>225</v>
      </c>
      <c r="C49" s="5">
        <v>2017</v>
      </c>
      <c r="D49" s="5" t="s">
        <v>204</v>
      </c>
      <c r="E49" s="5">
        <v>110.72</v>
      </c>
      <c r="F49" s="5">
        <v>32.119999999999997</v>
      </c>
      <c r="G49" s="5">
        <v>2014</v>
      </c>
      <c r="H49" s="5">
        <v>622.59</v>
      </c>
      <c r="I49" s="5">
        <v>661.74</v>
      </c>
      <c r="J49" s="5">
        <v>19.350000000000001</v>
      </c>
      <c r="K49" s="5">
        <v>1.36</v>
      </c>
      <c r="L49" s="5">
        <v>20.2</v>
      </c>
      <c r="M49" s="5">
        <v>60</v>
      </c>
      <c r="N49" s="5">
        <v>19.8</v>
      </c>
      <c r="O49" s="5">
        <v>6</v>
      </c>
      <c r="P49" s="5">
        <v>11.9</v>
      </c>
      <c r="Q49" s="5">
        <v>1.31</v>
      </c>
      <c r="R49" s="5">
        <v>9.0839694656488543</v>
      </c>
      <c r="S49" s="5">
        <v>150</v>
      </c>
      <c r="T49" s="5">
        <v>0.2</v>
      </c>
      <c r="V49" s="5">
        <f>(T49-T48)/S49</f>
        <v>1.1200000000000001E-3</v>
      </c>
      <c r="W49" s="5">
        <f t="shared" si="0"/>
        <v>0.11200000000000002</v>
      </c>
    </row>
    <row r="50" spans="1:23" x14ac:dyDescent="0.3">
      <c r="A50" s="5" t="s">
        <v>224</v>
      </c>
      <c r="B50" s="5" t="s">
        <v>225</v>
      </c>
      <c r="C50" s="5">
        <v>2017</v>
      </c>
      <c r="D50" s="5" t="s">
        <v>204</v>
      </c>
      <c r="E50" s="5">
        <v>110.72</v>
      </c>
      <c r="F50" s="5">
        <v>32.119999999999997</v>
      </c>
      <c r="G50" s="5">
        <v>2014</v>
      </c>
      <c r="H50" s="5">
        <v>622.59</v>
      </c>
      <c r="I50" s="5">
        <v>661.74</v>
      </c>
      <c r="J50" s="5">
        <v>19.350000000000001</v>
      </c>
      <c r="K50" s="5">
        <v>1.36</v>
      </c>
      <c r="L50" s="5">
        <v>20.2</v>
      </c>
      <c r="M50" s="5">
        <v>60</v>
      </c>
      <c r="N50" s="5">
        <v>19.8</v>
      </c>
      <c r="O50" s="5">
        <v>6</v>
      </c>
      <c r="P50" s="5">
        <v>11.9</v>
      </c>
      <c r="Q50" s="5">
        <v>1.31</v>
      </c>
      <c r="R50" s="5">
        <v>9.0839694656488543</v>
      </c>
      <c r="S50" s="5">
        <v>150</v>
      </c>
      <c r="T50" s="5">
        <v>9.8000000000000004E-2</v>
      </c>
      <c r="V50" s="5">
        <f>(T50-T48)/S50</f>
        <v>4.4000000000000002E-4</v>
      </c>
      <c r="W50" s="5">
        <f t="shared" si="0"/>
        <v>4.4000000000000004E-2</v>
      </c>
    </row>
    <row r="51" spans="1:23" x14ac:dyDescent="0.3">
      <c r="A51" s="5" t="s">
        <v>224</v>
      </c>
      <c r="B51" s="5" t="s">
        <v>225</v>
      </c>
      <c r="C51" s="5">
        <v>2017</v>
      </c>
      <c r="D51" s="5" t="s">
        <v>204</v>
      </c>
      <c r="E51" s="5">
        <v>110.72</v>
      </c>
      <c r="F51" s="5">
        <v>32.119999999999997</v>
      </c>
      <c r="G51" s="5">
        <v>2014</v>
      </c>
      <c r="H51" s="5">
        <v>622.59</v>
      </c>
      <c r="I51" s="5">
        <v>661.74</v>
      </c>
      <c r="J51" s="5">
        <v>19.350000000000001</v>
      </c>
      <c r="K51" s="5">
        <v>1.36</v>
      </c>
      <c r="L51" s="5">
        <v>20.2</v>
      </c>
      <c r="M51" s="5">
        <v>60</v>
      </c>
      <c r="N51" s="5">
        <v>19.8</v>
      </c>
      <c r="O51" s="5">
        <v>6</v>
      </c>
      <c r="P51" s="5">
        <v>11.9</v>
      </c>
      <c r="Q51" s="5">
        <v>1.31</v>
      </c>
      <c r="R51" s="5">
        <v>9.0839694656488543</v>
      </c>
      <c r="S51" s="5">
        <v>0</v>
      </c>
      <c r="T51" s="5">
        <v>1.4999999999999999E-2</v>
      </c>
      <c r="W51" s="5">
        <f t="shared" si="0"/>
        <v>0</v>
      </c>
    </row>
    <row r="52" spans="1:23" x14ac:dyDescent="0.3">
      <c r="A52" s="81" t="s">
        <v>224</v>
      </c>
      <c r="B52" s="81" t="s">
        <v>225</v>
      </c>
      <c r="C52" s="81">
        <v>2017</v>
      </c>
      <c r="D52" s="81" t="s">
        <v>204</v>
      </c>
      <c r="E52" s="81">
        <v>110.72</v>
      </c>
      <c r="F52" s="81">
        <v>32.119999999999997</v>
      </c>
      <c r="G52" s="81">
        <v>2014</v>
      </c>
      <c r="H52" s="81">
        <v>622.59</v>
      </c>
      <c r="I52" s="81">
        <v>661.74</v>
      </c>
      <c r="J52" s="81">
        <v>19.350000000000001</v>
      </c>
      <c r="K52" s="81">
        <v>1.36</v>
      </c>
      <c r="L52" s="81">
        <v>20.2</v>
      </c>
      <c r="M52" s="81">
        <v>60</v>
      </c>
      <c r="N52" s="81">
        <v>19.8</v>
      </c>
      <c r="O52" s="81">
        <v>6</v>
      </c>
      <c r="P52" s="81">
        <v>11.9</v>
      </c>
      <c r="Q52" s="81">
        <v>1.31</v>
      </c>
      <c r="R52" s="81">
        <v>9.0839694656488543</v>
      </c>
      <c r="S52" s="81">
        <v>150</v>
      </c>
      <c r="T52" s="81">
        <v>2.7E-2</v>
      </c>
      <c r="U52" s="81"/>
      <c r="V52" s="81">
        <f>(T52-T51)/S52</f>
        <v>8.0000000000000007E-5</v>
      </c>
      <c r="W52" s="81">
        <f t="shared" si="0"/>
        <v>8.0000000000000002E-3</v>
      </c>
    </row>
    <row r="53" spans="1:23" x14ac:dyDescent="0.3">
      <c r="A53" s="5" t="s">
        <v>226</v>
      </c>
      <c r="B53" s="5" t="s">
        <v>225</v>
      </c>
      <c r="C53" s="5">
        <v>2019</v>
      </c>
      <c r="D53" s="5" t="s">
        <v>204</v>
      </c>
      <c r="E53" s="5">
        <v>110.72</v>
      </c>
      <c r="F53" s="5">
        <v>32.119999999999997</v>
      </c>
      <c r="G53" s="5">
        <v>2012</v>
      </c>
      <c r="H53" s="5">
        <v>630</v>
      </c>
      <c r="I53" s="5">
        <v>442.24</v>
      </c>
      <c r="J53" s="5">
        <v>21.45</v>
      </c>
      <c r="K53" s="5">
        <v>1.36</v>
      </c>
      <c r="L53" s="5">
        <v>20.2</v>
      </c>
      <c r="M53" s="5">
        <v>60</v>
      </c>
      <c r="N53" s="5">
        <v>19.8</v>
      </c>
      <c r="O53" s="5">
        <v>6</v>
      </c>
      <c r="P53" s="5">
        <v>11.9</v>
      </c>
      <c r="Q53" s="5">
        <v>1.31</v>
      </c>
      <c r="R53" s="5">
        <v>9.0839694656488543</v>
      </c>
      <c r="S53" s="5">
        <v>0</v>
      </c>
      <c r="T53" s="5">
        <v>4.8000000000000001E-2</v>
      </c>
      <c r="U53" s="5">
        <f>AVERAGE(T53,T56,T59,T62,T65,T68,T71,T74,T77)</f>
        <v>4.055555555555556E-2</v>
      </c>
      <c r="W53" s="5">
        <f t="shared" si="0"/>
        <v>0</v>
      </c>
    </row>
    <row r="54" spans="1:23" x14ac:dyDescent="0.3">
      <c r="A54" s="5" t="s">
        <v>226</v>
      </c>
      <c r="B54" s="5" t="s">
        <v>225</v>
      </c>
      <c r="C54" s="5">
        <v>2019</v>
      </c>
      <c r="D54" s="5" t="s">
        <v>204</v>
      </c>
      <c r="E54" s="5">
        <v>110.72</v>
      </c>
      <c r="F54" s="5">
        <v>32.119999999999997</v>
      </c>
      <c r="G54" s="5">
        <v>2012</v>
      </c>
      <c r="H54" s="5">
        <v>630</v>
      </c>
      <c r="I54" s="5">
        <v>442.24</v>
      </c>
      <c r="J54" s="5">
        <v>21.45</v>
      </c>
      <c r="K54" s="5">
        <v>1.36</v>
      </c>
      <c r="L54" s="5">
        <v>20.2</v>
      </c>
      <c r="M54" s="5">
        <v>60</v>
      </c>
      <c r="N54" s="5">
        <v>19.8</v>
      </c>
      <c r="O54" s="5">
        <v>6</v>
      </c>
      <c r="P54" s="5">
        <v>11.9</v>
      </c>
      <c r="Q54" s="5">
        <v>1.31</v>
      </c>
      <c r="R54" s="5">
        <v>9.0839694656488543</v>
      </c>
      <c r="S54" s="5">
        <v>150</v>
      </c>
      <c r="T54" s="5">
        <v>0.10199999999999999</v>
      </c>
      <c r="V54" s="5">
        <f>(T54-T53)/S54</f>
        <v>3.5999999999999997E-4</v>
      </c>
      <c r="W54" s="5">
        <f t="shared" si="0"/>
        <v>3.5999999999999997E-2</v>
      </c>
    </row>
    <row r="55" spans="1:23" x14ac:dyDescent="0.3">
      <c r="A55" s="5" t="s">
        <v>226</v>
      </c>
      <c r="B55" s="5" t="s">
        <v>225</v>
      </c>
      <c r="C55" s="5">
        <v>2019</v>
      </c>
      <c r="D55" s="5" t="s">
        <v>204</v>
      </c>
      <c r="E55" s="5">
        <v>110.72</v>
      </c>
      <c r="F55" s="5">
        <v>32.119999999999997</v>
      </c>
      <c r="G55" s="5">
        <v>2012</v>
      </c>
      <c r="H55" s="5">
        <v>630</v>
      </c>
      <c r="I55" s="5">
        <v>442.24</v>
      </c>
      <c r="J55" s="5">
        <v>21.45</v>
      </c>
      <c r="K55" s="5">
        <v>1.36</v>
      </c>
      <c r="L55" s="5">
        <v>20.2</v>
      </c>
      <c r="M55" s="5">
        <v>60</v>
      </c>
      <c r="N55" s="5">
        <v>19.8</v>
      </c>
      <c r="O55" s="5">
        <v>6</v>
      </c>
      <c r="P55" s="5">
        <v>11.9</v>
      </c>
      <c r="Q55" s="5">
        <v>1.31</v>
      </c>
      <c r="R55" s="5">
        <v>9.0839694656488543</v>
      </c>
      <c r="S55" s="5">
        <v>150</v>
      </c>
      <c r="T55" s="5">
        <v>7.1999999999999995E-2</v>
      </c>
      <c r="V55" s="5">
        <f>(T55-T53)/S55</f>
        <v>1.5999999999999996E-4</v>
      </c>
      <c r="W55" s="5">
        <f t="shared" si="0"/>
        <v>1.5999999999999997E-2</v>
      </c>
    </row>
    <row r="56" spans="1:23" x14ac:dyDescent="0.3">
      <c r="A56" s="5" t="s">
        <v>226</v>
      </c>
      <c r="B56" s="5" t="s">
        <v>225</v>
      </c>
      <c r="C56" s="5">
        <v>2019</v>
      </c>
      <c r="D56" s="5" t="s">
        <v>204</v>
      </c>
      <c r="E56" s="5">
        <v>110.72</v>
      </c>
      <c r="F56" s="5">
        <v>32.119999999999997</v>
      </c>
      <c r="G56" s="5">
        <v>2012</v>
      </c>
      <c r="H56" s="5">
        <v>630</v>
      </c>
      <c r="I56" s="5">
        <v>442.24</v>
      </c>
      <c r="J56" s="5">
        <v>21.45</v>
      </c>
      <c r="K56" s="5">
        <v>1.36</v>
      </c>
      <c r="L56" s="5">
        <v>20.2</v>
      </c>
      <c r="M56" s="5">
        <v>60</v>
      </c>
      <c r="N56" s="5">
        <v>19.8</v>
      </c>
      <c r="O56" s="5">
        <v>6</v>
      </c>
      <c r="P56" s="5">
        <v>11.9</v>
      </c>
      <c r="Q56" s="5">
        <v>1.31</v>
      </c>
      <c r="R56" s="5">
        <v>9.0839694656488543</v>
      </c>
      <c r="S56" s="5">
        <v>0</v>
      </c>
      <c r="T56" s="5">
        <v>6.7000000000000004E-2</v>
      </c>
      <c r="W56" s="5">
        <f t="shared" si="0"/>
        <v>0</v>
      </c>
    </row>
    <row r="57" spans="1:23" x14ac:dyDescent="0.3">
      <c r="A57" s="5" t="s">
        <v>226</v>
      </c>
      <c r="B57" s="5" t="s">
        <v>225</v>
      </c>
      <c r="C57" s="5">
        <v>2019</v>
      </c>
      <c r="D57" s="5" t="s">
        <v>204</v>
      </c>
      <c r="E57" s="5">
        <v>110.72</v>
      </c>
      <c r="F57" s="5">
        <v>32.119999999999997</v>
      </c>
      <c r="G57" s="5">
        <v>2012</v>
      </c>
      <c r="H57" s="5">
        <v>630</v>
      </c>
      <c r="I57" s="5">
        <v>442.24</v>
      </c>
      <c r="J57" s="5">
        <v>21.45</v>
      </c>
      <c r="K57" s="5">
        <v>1.36</v>
      </c>
      <c r="L57" s="5">
        <v>20.2</v>
      </c>
      <c r="M57" s="5">
        <v>60</v>
      </c>
      <c r="N57" s="5">
        <v>19.8</v>
      </c>
      <c r="O57" s="5">
        <v>6</v>
      </c>
      <c r="P57" s="5">
        <v>11.9</v>
      </c>
      <c r="Q57" s="5">
        <v>1.31</v>
      </c>
      <c r="R57" s="5">
        <v>9.0839694656488543</v>
      </c>
      <c r="S57" s="5">
        <v>150</v>
      </c>
      <c r="T57" s="5">
        <v>9.9000000000000005E-2</v>
      </c>
      <c r="V57" s="5">
        <f>(T57-T56)/S57</f>
        <v>2.1333333333333333E-4</v>
      </c>
      <c r="W57" s="5">
        <f t="shared" si="0"/>
        <v>2.1333333333333333E-2</v>
      </c>
    </row>
    <row r="58" spans="1:23" x14ac:dyDescent="0.3">
      <c r="A58" s="5" t="s">
        <v>226</v>
      </c>
      <c r="B58" s="5" t="s">
        <v>225</v>
      </c>
      <c r="C58" s="5">
        <v>2019</v>
      </c>
      <c r="D58" s="5" t="s">
        <v>204</v>
      </c>
      <c r="E58" s="5">
        <v>110.72</v>
      </c>
      <c r="F58" s="5">
        <v>32.119999999999997</v>
      </c>
      <c r="G58" s="5">
        <v>2012</v>
      </c>
      <c r="H58" s="5">
        <v>630</v>
      </c>
      <c r="I58" s="5">
        <v>442.24</v>
      </c>
      <c r="J58" s="5">
        <v>21.45</v>
      </c>
      <c r="K58" s="5">
        <v>1.36</v>
      </c>
      <c r="L58" s="5">
        <v>20.2</v>
      </c>
      <c r="M58" s="5">
        <v>60</v>
      </c>
      <c r="N58" s="5">
        <v>19.8</v>
      </c>
      <c r="O58" s="5">
        <v>6</v>
      </c>
      <c r="P58" s="5">
        <v>11.9</v>
      </c>
      <c r="Q58" s="5">
        <v>1.31</v>
      </c>
      <c r="R58" s="5">
        <v>9.0839694656488543</v>
      </c>
      <c r="S58" s="5">
        <v>150</v>
      </c>
      <c r="T58" s="5">
        <v>9.4E-2</v>
      </c>
      <c r="V58" s="5">
        <f>(T58-T56)/S58</f>
        <v>1.7999999999999998E-4</v>
      </c>
      <c r="W58" s="5">
        <f t="shared" si="0"/>
        <v>1.7999999999999999E-2</v>
      </c>
    </row>
    <row r="59" spans="1:23" x14ac:dyDescent="0.3">
      <c r="A59" s="5" t="s">
        <v>226</v>
      </c>
      <c r="B59" s="5" t="s">
        <v>225</v>
      </c>
      <c r="C59" s="5">
        <v>2019</v>
      </c>
      <c r="D59" s="5" t="s">
        <v>204</v>
      </c>
      <c r="E59" s="5">
        <v>110.72</v>
      </c>
      <c r="F59" s="5">
        <v>32.119999999999997</v>
      </c>
      <c r="G59" s="5">
        <v>2012</v>
      </c>
      <c r="H59" s="5">
        <v>630</v>
      </c>
      <c r="I59" s="5">
        <v>442.24</v>
      </c>
      <c r="J59" s="5">
        <v>21.45</v>
      </c>
      <c r="K59" s="5">
        <v>1.36</v>
      </c>
      <c r="L59" s="5">
        <v>20.2</v>
      </c>
      <c r="M59" s="5">
        <v>60</v>
      </c>
      <c r="N59" s="5">
        <v>19.8</v>
      </c>
      <c r="O59" s="5">
        <v>6</v>
      </c>
      <c r="P59" s="5">
        <v>11.9</v>
      </c>
      <c r="Q59" s="5">
        <v>1.31</v>
      </c>
      <c r="R59" s="5">
        <v>9.0839694656488543</v>
      </c>
      <c r="S59" s="5">
        <v>0</v>
      </c>
      <c r="T59" s="5">
        <v>0.08</v>
      </c>
      <c r="W59" s="5">
        <f t="shared" si="0"/>
        <v>0</v>
      </c>
    </row>
    <row r="60" spans="1:23" x14ac:dyDescent="0.3">
      <c r="A60" s="5" t="s">
        <v>226</v>
      </c>
      <c r="B60" s="5" t="s">
        <v>225</v>
      </c>
      <c r="C60" s="5">
        <v>2019</v>
      </c>
      <c r="D60" s="5" t="s">
        <v>204</v>
      </c>
      <c r="E60" s="5">
        <v>110.72</v>
      </c>
      <c r="F60" s="5">
        <v>32.119999999999997</v>
      </c>
      <c r="G60" s="5">
        <v>2012</v>
      </c>
      <c r="H60" s="5">
        <v>630</v>
      </c>
      <c r="I60" s="5">
        <v>442.24</v>
      </c>
      <c r="J60" s="5">
        <v>21.45</v>
      </c>
      <c r="K60" s="5">
        <v>1.36</v>
      </c>
      <c r="L60" s="5">
        <v>20.2</v>
      </c>
      <c r="M60" s="5">
        <v>60</v>
      </c>
      <c r="N60" s="5">
        <v>19.8</v>
      </c>
      <c r="O60" s="5">
        <v>6</v>
      </c>
      <c r="P60" s="5">
        <v>11.9</v>
      </c>
      <c r="Q60" s="5">
        <v>1.31</v>
      </c>
      <c r="R60" s="5">
        <v>9.0839694656488543</v>
      </c>
      <c r="S60" s="5">
        <v>150</v>
      </c>
      <c r="T60" s="5">
        <v>0.157</v>
      </c>
      <c r="V60" s="5">
        <f>(T60-T59)/S60</f>
        <v>5.1333333333333331E-4</v>
      </c>
      <c r="W60" s="5">
        <f t="shared" si="0"/>
        <v>5.1333333333333328E-2</v>
      </c>
    </row>
    <row r="61" spans="1:23" x14ac:dyDescent="0.3">
      <c r="A61" s="5" t="s">
        <v>226</v>
      </c>
      <c r="B61" s="5" t="s">
        <v>225</v>
      </c>
      <c r="C61" s="5">
        <v>2019</v>
      </c>
      <c r="D61" s="5" t="s">
        <v>204</v>
      </c>
      <c r="E61" s="5">
        <v>110.72</v>
      </c>
      <c r="F61" s="5">
        <v>32.119999999999997</v>
      </c>
      <c r="G61" s="5">
        <v>2012</v>
      </c>
      <c r="H61" s="5">
        <v>630</v>
      </c>
      <c r="I61" s="5">
        <v>442.24</v>
      </c>
      <c r="J61" s="5">
        <v>21.45</v>
      </c>
      <c r="K61" s="5">
        <v>1.36</v>
      </c>
      <c r="L61" s="5">
        <v>20.2</v>
      </c>
      <c r="M61" s="5">
        <v>60</v>
      </c>
      <c r="N61" s="5">
        <v>19.8</v>
      </c>
      <c r="O61" s="5">
        <v>6</v>
      </c>
      <c r="P61" s="5">
        <v>11.9</v>
      </c>
      <c r="Q61" s="5">
        <v>1.31</v>
      </c>
      <c r="R61" s="5">
        <v>9.0839694656488543</v>
      </c>
      <c r="S61" s="5">
        <v>150</v>
      </c>
      <c r="T61" s="5">
        <v>9.2999999999999999E-2</v>
      </c>
      <c r="V61" s="5">
        <f>(T61-T59)/S61</f>
        <v>8.6666666666666655E-5</v>
      </c>
      <c r="W61" s="5">
        <f t="shared" si="0"/>
        <v>8.6666666666666663E-3</v>
      </c>
    </row>
    <row r="62" spans="1:23" x14ac:dyDescent="0.3">
      <c r="A62" s="5" t="s">
        <v>226</v>
      </c>
      <c r="B62" s="5" t="s">
        <v>225</v>
      </c>
      <c r="C62" s="5">
        <v>2019</v>
      </c>
      <c r="D62" s="5" t="s">
        <v>204</v>
      </c>
      <c r="E62" s="5">
        <v>110.72</v>
      </c>
      <c r="F62" s="5">
        <v>32.119999999999997</v>
      </c>
      <c r="G62" s="5">
        <v>2013</v>
      </c>
      <c r="H62" s="5">
        <v>638</v>
      </c>
      <c r="I62" s="5">
        <v>640.88</v>
      </c>
      <c r="J62" s="5">
        <v>20.86</v>
      </c>
      <c r="K62" s="5">
        <v>1.36</v>
      </c>
      <c r="L62" s="5">
        <v>20.2</v>
      </c>
      <c r="M62" s="5">
        <v>60</v>
      </c>
      <c r="N62" s="5">
        <v>19.8</v>
      </c>
      <c r="O62" s="5">
        <v>6</v>
      </c>
      <c r="P62" s="5">
        <v>11.9</v>
      </c>
      <c r="Q62" s="5">
        <v>1.31</v>
      </c>
      <c r="R62" s="5">
        <v>9.0839694656488543</v>
      </c>
      <c r="S62" s="5">
        <v>0</v>
      </c>
      <c r="T62" s="5">
        <v>2.3E-2</v>
      </c>
      <c r="W62" s="5">
        <f t="shared" si="0"/>
        <v>0</v>
      </c>
    </row>
    <row r="63" spans="1:23" x14ac:dyDescent="0.3">
      <c r="A63" s="5" t="s">
        <v>226</v>
      </c>
      <c r="B63" s="5" t="s">
        <v>225</v>
      </c>
      <c r="C63" s="5">
        <v>2019</v>
      </c>
      <c r="D63" s="5" t="s">
        <v>204</v>
      </c>
      <c r="E63" s="5">
        <v>110.72</v>
      </c>
      <c r="F63" s="5">
        <v>32.119999999999997</v>
      </c>
      <c r="G63" s="5">
        <v>2013</v>
      </c>
      <c r="H63" s="5">
        <v>638</v>
      </c>
      <c r="I63" s="5">
        <v>640.88</v>
      </c>
      <c r="J63" s="5">
        <v>20.86</v>
      </c>
      <c r="K63" s="5">
        <v>1.36</v>
      </c>
      <c r="L63" s="5">
        <v>20.2</v>
      </c>
      <c r="M63" s="5">
        <v>60</v>
      </c>
      <c r="N63" s="5">
        <v>19.8</v>
      </c>
      <c r="O63" s="5">
        <v>6</v>
      </c>
      <c r="P63" s="5">
        <v>11.9</v>
      </c>
      <c r="Q63" s="5">
        <v>1.31</v>
      </c>
      <c r="R63" s="5">
        <v>9.0839694656488543</v>
      </c>
      <c r="S63" s="5">
        <v>150</v>
      </c>
      <c r="T63" s="5">
        <v>5.2999999999999999E-2</v>
      </c>
      <c r="V63" s="5">
        <f>(T63-T62)/S63</f>
        <v>1.9999999999999998E-4</v>
      </c>
      <c r="W63" s="5">
        <f t="shared" si="0"/>
        <v>1.9999999999999997E-2</v>
      </c>
    </row>
    <row r="64" spans="1:23" x14ac:dyDescent="0.3">
      <c r="A64" s="5" t="s">
        <v>226</v>
      </c>
      <c r="B64" s="5" t="s">
        <v>225</v>
      </c>
      <c r="C64" s="5">
        <v>2019</v>
      </c>
      <c r="D64" s="5" t="s">
        <v>204</v>
      </c>
      <c r="E64" s="5">
        <v>110.72</v>
      </c>
      <c r="F64" s="5">
        <v>32.119999999999997</v>
      </c>
      <c r="G64" s="5">
        <v>2013</v>
      </c>
      <c r="H64" s="5">
        <v>638</v>
      </c>
      <c r="I64" s="5">
        <v>640.88</v>
      </c>
      <c r="J64" s="5">
        <v>20.86</v>
      </c>
      <c r="K64" s="5">
        <v>1.36</v>
      </c>
      <c r="L64" s="5">
        <v>20.2</v>
      </c>
      <c r="M64" s="5">
        <v>60</v>
      </c>
      <c r="N64" s="5">
        <v>19.8</v>
      </c>
      <c r="O64" s="5">
        <v>6</v>
      </c>
      <c r="P64" s="5">
        <v>11.9</v>
      </c>
      <c r="Q64" s="5">
        <v>1.31</v>
      </c>
      <c r="R64" s="5">
        <v>9.0839694656488543</v>
      </c>
      <c r="S64" s="5">
        <v>150</v>
      </c>
      <c r="T64" s="5">
        <v>3.1E-2</v>
      </c>
      <c r="V64" s="5">
        <f>(T64-T62)/S64</f>
        <v>5.3333333333333333E-5</v>
      </c>
      <c r="W64" s="5">
        <f t="shared" si="0"/>
        <v>5.3333333333333332E-3</v>
      </c>
    </row>
    <row r="65" spans="1:23" x14ac:dyDescent="0.3">
      <c r="A65" s="5" t="s">
        <v>226</v>
      </c>
      <c r="B65" s="5" t="s">
        <v>225</v>
      </c>
      <c r="C65" s="5">
        <v>2019</v>
      </c>
      <c r="D65" s="5" t="s">
        <v>204</v>
      </c>
      <c r="E65" s="5">
        <v>110.72</v>
      </c>
      <c r="F65" s="5">
        <v>32.119999999999997</v>
      </c>
      <c r="G65" s="5">
        <v>2013</v>
      </c>
      <c r="H65" s="5">
        <v>638</v>
      </c>
      <c r="I65" s="5">
        <v>640.88</v>
      </c>
      <c r="J65" s="5">
        <v>20.86</v>
      </c>
      <c r="K65" s="5">
        <v>1.36</v>
      </c>
      <c r="L65" s="5">
        <v>20.2</v>
      </c>
      <c r="M65" s="5">
        <v>60</v>
      </c>
      <c r="N65" s="5">
        <v>19.8</v>
      </c>
      <c r="O65" s="5">
        <v>6</v>
      </c>
      <c r="P65" s="5">
        <v>11.9</v>
      </c>
      <c r="Q65" s="5">
        <v>1.31</v>
      </c>
      <c r="R65" s="5">
        <v>9.0839694656488543</v>
      </c>
      <c r="S65" s="5">
        <v>0</v>
      </c>
      <c r="T65" s="5">
        <v>2.7E-2</v>
      </c>
      <c r="W65" s="5">
        <f t="shared" si="0"/>
        <v>0</v>
      </c>
    </row>
    <row r="66" spans="1:23" x14ac:dyDescent="0.3">
      <c r="A66" s="5" t="s">
        <v>226</v>
      </c>
      <c r="B66" s="5" t="s">
        <v>225</v>
      </c>
      <c r="C66" s="5">
        <v>2019</v>
      </c>
      <c r="D66" s="5" t="s">
        <v>204</v>
      </c>
      <c r="E66" s="5">
        <v>110.72</v>
      </c>
      <c r="F66" s="5">
        <v>32.119999999999997</v>
      </c>
      <c r="G66" s="5">
        <v>2013</v>
      </c>
      <c r="H66" s="5">
        <v>638</v>
      </c>
      <c r="I66" s="5">
        <v>640.88</v>
      </c>
      <c r="J66" s="5">
        <v>20.86</v>
      </c>
      <c r="K66" s="5">
        <v>1.36</v>
      </c>
      <c r="L66" s="5">
        <v>20.2</v>
      </c>
      <c r="M66" s="5">
        <v>60</v>
      </c>
      <c r="N66" s="5">
        <v>19.8</v>
      </c>
      <c r="O66" s="5">
        <v>6</v>
      </c>
      <c r="P66" s="5">
        <v>11.9</v>
      </c>
      <c r="Q66" s="5">
        <v>1.31</v>
      </c>
      <c r="R66" s="5">
        <v>9.0839694656488543</v>
      </c>
      <c r="S66" s="5">
        <v>150</v>
      </c>
      <c r="T66" s="5">
        <v>0.10100000000000001</v>
      </c>
      <c r="V66" s="5">
        <f>(T66-T65)/S66</f>
        <v>4.9333333333333336E-4</v>
      </c>
      <c r="W66" s="5">
        <f t="shared" ref="W66:W79" si="1">V66*100</f>
        <v>4.9333333333333333E-2</v>
      </c>
    </row>
    <row r="67" spans="1:23" x14ac:dyDescent="0.3">
      <c r="A67" s="5" t="s">
        <v>226</v>
      </c>
      <c r="B67" s="5" t="s">
        <v>225</v>
      </c>
      <c r="C67" s="5">
        <v>2019</v>
      </c>
      <c r="D67" s="5" t="s">
        <v>204</v>
      </c>
      <c r="E67" s="5">
        <v>110.72</v>
      </c>
      <c r="F67" s="5">
        <v>32.119999999999997</v>
      </c>
      <c r="G67" s="5">
        <v>2013</v>
      </c>
      <c r="H67" s="5">
        <v>638</v>
      </c>
      <c r="I67" s="5">
        <v>640.88</v>
      </c>
      <c r="J67" s="5">
        <v>20.86</v>
      </c>
      <c r="K67" s="5">
        <v>1.36</v>
      </c>
      <c r="L67" s="5">
        <v>20.2</v>
      </c>
      <c r="M67" s="5">
        <v>60</v>
      </c>
      <c r="N67" s="5">
        <v>19.8</v>
      </c>
      <c r="O67" s="5">
        <v>6</v>
      </c>
      <c r="P67" s="5">
        <v>11.9</v>
      </c>
      <c r="Q67" s="5">
        <v>1.31</v>
      </c>
      <c r="R67" s="5">
        <v>9.0839694656488543</v>
      </c>
      <c r="S67" s="5">
        <v>150</v>
      </c>
      <c r="T67" s="5">
        <v>5.8999999999999997E-2</v>
      </c>
      <c r="V67" s="5">
        <f>(T67-T65)/S67</f>
        <v>2.1333333333333333E-4</v>
      </c>
      <c r="W67" s="5">
        <f t="shared" si="1"/>
        <v>2.1333333333333333E-2</v>
      </c>
    </row>
    <row r="68" spans="1:23" x14ac:dyDescent="0.3">
      <c r="A68" s="5" t="s">
        <v>226</v>
      </c>
      <c r="B68" s="5" t="s">
        <v>225</v>
      </c>
      <c r="C68" s="5">
        <v>2019</v>
      </c>
      <c r="D68" s="5" t="s">
        <v>204</v>
      </c>
      <c r="E68" s="5">
        <v>110.72</v>
      </c>
      <c r="F68" s="5">
        <v>32.119999999999997</v>
      </c>
      <c r="G68" s="5">
        <v>2013</v>
      </c>
      <c r="H68" s="5">
        <v>638</v>
      </c>
      <c r="I68" s="5">
        <v>640.88</v>
      </c>
      <c r="J68" s="5">
        <v>20.86</v>
      </c>
      <c r="K68" s="5">
        <v>1.36</v>
      </c>
      <c r="L68" s="5">
        <v>20.2</v>
      </c>
      <c r="M68" s="5">
        <v>60</v>
      </c>
      <c r="N68" s="5">
        <v>19.8</v>
      </c>
      <c r="O68" s="5">
        <v>6</v>
      </c>
      <c r="P68" s="5">
        <v>11.9</v>
      </c>
      <c r="Q68" s="5">
        <v>1.31</v>
      </c>
      <c r="R68" s="5">
        <v>9.0839694656488543</v>
      </c>
      <c r="S68" s="5">
        <v>0</v>
      </c>
      <c r="T68" s="5">
        <v>0.03</v>
      </c>
      <c r="W68" s="5">
        <f t="shared" si="1"/>
        <v>0</v>
      </c>
    </row>
    <row r="69" spans="1:23" x14ac:dyDescent="0.3">
      <c r="A69" s="5" t="s">
        <v>226</v>
      </c>
      <c r="B69" s="5" t="s">
        <v>225</v>
      </c>
      <c r="C69" s="5">
        <v>2019</v>
      </c>
      <c r="D69" s="5" t="s">
        <v>204</v>
      </c>
      <c r="E69" s="5">
        <v>110.72</v>
      </c>
      <c r="F69" s="5">
        <v>32.119999999999997</v>
      </c>
      <c r="G69" s="5">
        <v>2013</v>
      </c>
      <c r="H69" s="5">
        <v>638</v>
      </c>
      <c r="I69" s="5">
        <v>640.88</v>
      </c>
      <c r="J69" s="5">
        <v>20.86</v>
      </c>
      <c r="K69" s="5">
        <v>1.36</v>
      </c>
      <c r="L69" s="5">
        <v>20.2</v>
      </c>
      <c r="M69" s="5">
        <v>60</v>
      </c>
      <c r="N69" s="5">
        <v>19.8</v>
      </c>
      <c r="O69" s="5">
        <v>6</v>
      </c>
      <c r="P69" s="5">
        <v>11.9</v>
      </c>
      <c r="Q69" s="5">
        <v>1.31</v>
      </c>
      <c r="R69" s="5">
        <v>9.0839694656488543</v>
      </c>
      <c r="S69" s="5">
        <v>150</v>
      </c>
      <c r="T69" s="5">
        <v>0.14399999999999999</v>
      </c>
      <c r="V69" s="5">
        <f>(T69-T68)/S69</f>
        <v>7.5999999999999993E-4</v>
      </c>
      <c r="W69" s="5">
        <f t="shared" si="1"/>
        <v>7.5999999999999998E-2</v>
      </c>
    </row>
    <row r="70" spans="1:23" x14ac:dyDescent="0.3">
      <c r="A70" s="5" t="s">
        <v>226</v>
      </c>
      <c r="B70" s="5" t="s">
        <v>225</v>
      </c>
      <c r="C70" s="5">
        <v>2019</v>
      </c>
      <c r="D70" s="5" t="s">
        <v>204</v>
      </c>
      <c r="E70" s="5">
        <v>110.72</v>
      </c>
      <c r="F70" s="5">
        <v>32.119999999999997</v>
      </c>
      <c r="G70" s="5">
        <v>2013</v>
      </c>
      <c r="H70" s="5">
        <v>638</v>
      </c>
      <c r="I70" s="5">
        <v>640.88</v>
      </c>
      <c r="J70" s="5">
        <v>20.86</v>
      </c>
      <c r="K70" s="5">
        <v>1.36</v>
      </c>
      <c r="L70" s="5">
        <v>20.2</v>
      </c>
      <c r="M70" s="5">
        <v>60</v>
      </c>
      <c r="N70" s="5">
        <v>19.8</v>
      </c>
      <c r="O70" s="5">
        <v>6</v>
      </c>
      <c r="P70" s="5">
        <v>11.9</v>
      </c>
      <c r="Q70" s="5">
        <v>1.31</v>
      </c>
      <c r="R70" s="5">
        <v>9.0839694656488543</v>
      </c>
      <c r="S70" s="5">
        <v>150</v>
      </c>
      <c r="T70" s="5">
        <v>6.7000000000000004E-2</v>
      </c>
      <c r="V70" s="5">
        <f>(T70-T68)/S70</f>
        <v>2.4666666666666668E-4</v>
      </c>
      <c r="W70" s="5">
        <f t="shared" si="1"/>
        <v>2.4666666666666667E-2</v>
      </c>
    </row>
    <row r="71" spans="1:23" x14ac:dyDescent="0.3">
      <c r="A71" s="5" t="s">
        <v>226</v>
      </c>
      <c r="B71" s="5" t="s">
        <v>225</v>
      </c>
      <c r="C71" s="5">
        <v>2019</v>
      </c>
      <c r="D71" s="5" t="s">
        <v>204</v>
      </c>
      <c r="E71" s="5">
        <v>110.72</v>
      </c>
      <c r="F71" s="5">
        <v>32.119999999999997</v>
      </c>
      <c r="G71" s="5">
        <v>2014</v>
      </c>
      <c r="H71" s="5">
        <v>537</v>
      </c>
      <c r="I71" s="5">
        <v>661.74</v>
      </c>
      <c r="J71" s="5">
        <v>19.350000000000001</v>
      </c>
      <c r="K71" s="5">
        <v>1.36</v>
      </c>
      <c r="L71" s="5">
        <v>20.2</v>
      </c>
      <c r="M71" s="5">
        <v>60</v>
      </c>
      <c r="N71" s="5">
        <v>19.8</v>
      </c>
      <c r="O71" s="5">
        <v>6</v>
      </c>
      <c r="P71" s="5">
        <v>11.9</v>
      </c>
      <c r="Q71" s="5">
        <v>1.31</v>
      </c>
      <c r="R71" s="5">
        <v>9.0839694656488543</v>
      </c>
      <c r="S71" s="5">
        <v>0</v>
      </c>
      <c r="T71" s="5">
        <v>1.4999999999999999E-2</v>
      </c>
      <c r="W71" s="5">
        <f t="shared" si="1"/>
        <v>0</v>
      </c>
    </row>
    <row r="72" spans="1:23" x14ac:dyDescent="0.3">
      <c r="A72" s="5" t="s">
        <v>226</v>
      </c>
      <c r="B72" s="5" t="s">
        <v>225</v>
      </c>
      <c r="C72" s="5">
        <v>2019</v>
      </c>
      <c r="D72" s="5" t="s">
        <v>204</v>
      </c>
      <c r="E72" s="5">
        <v>110.72</v>
      </c>
      <c r="F72" s="5">
        <v>32.119999999999997</v>
      </c>
      <c r="G72" s="5">
        <v>2014</v>
      </c>
      <c r="H72" s="5">
        <v>537</v>
      </c>
      <c r="I72" s="5">
        <v>661.74</v>
      </c>
      <c r="J72" s="5">
        <v>19.350000000000001</v>
      </c>
      <c r="K72" s="5">
        <v>1.36</v>
      </c>
      <c r="L72" s="5">
        <v>20.2</v>
      </c>
      <c r="M72" s="5">
        <v>60</v>
      </c>
      <c r="N72" s="5">
        <v>19.8</v>
      </c>
      <c r="O72" s="5">
        <v>6</v>
      </c>
      <c r="P72" s="5">
        <v>11.9</v>
      </c>
      <c r="Q72" s="5">
        <v>1.31</v>
      </c>
      <c r="R72" s="5">
        <v>9.0839694656488543</v>
      </c>
      <c r="S72" s="5">
        <v>150</v>
      </c>
      <c r="T72" s="5">
        <v>2.7E-2</v>
      </c>
      <c r="V72" s="5">
        <f>(T72-T71)/S72</f>
        <v>8.0000000000000007E-5</v>
      </c>
      <c r="W72" s="5">
        <f t="shared" si="1"/>
        <v>8.0000000000000002E-3</v>
      </c>
    </row>
    <row r="73" spans="1:23" x14ac:dyDescent="0.3">
      <c r="A73" s="5" t="s">
        <v>226</v>
      </c>
      <c r="B73" s="5" t="s">
        <v>225</v>
      </c>
      <c r="C73" s="5">
        <v>2019</v>
      </c>
      <c r="D73" s="5" t="s">
        <v>204</v>
      </c>
      <c r="E73" s="5">
        <v>110.72</v>
      </c>
      <c r="F73" s="5">
        <v>32.119999999999997</v>
      </c>
      <c r="G73" s="5">
        <v>2014</v>
      </c>
      <c r="H73" s="5">
        <v>537</v>
      </c>
      <c r="I73" s="5">
        <v>661.74</v>
      </c>
      <c r="J73" s="5">
        <v>19.350000000000001</v>
      </c>
      <c r="K73" s="5">
        <v>1.36</v>
      </c>
      <c r="L73" s="5">
        <v>20.2</v>
      </c>
      <c r="M73" s="5">
        <v>60</v>
      </c>
      <c r="N73" s="5">
        <v>19.8</v>
      </c>
      <c r="O73" s="5">
        <v>6</v>
      </c>
      <c r="P73" s="5">
        <v>11.9</v>
      </c>
      <c r="Q73" s="5">
        <v>1.31</v>
      </c>
      <c r="R73" s="5">
        <v>9.0839694656488543</v>
      </c>
      <c r="S73" s="5">
        <v>150</v>
      </c>
      <c r="T73" s="5">
        <v>2.5999999999999999E-2</v>
      </c>
      <c r="V73" s="5">
        <f>(T73-T71)/S73</f>
        <v>7.3333333333333331E-5</v>
      </c>
      <c r="W73" s="5">
        <f t="shared" si="1"/>
        <v>7.3333333333333332E-3</v>
      </c>
    </row>
    <row r="74" spans="1:23" x14ac:dyDescent="0.3">
      <c r="A74" s="5" t="s">
        <v>226</v>
      </c>
      <c r="B74" s="5" t="s">
        <v>225</v>
      </c>
      <c r="C74" s="5">
        <v>2019</v>
      </c>
      <c r="D74" s="5" t="s">
        <v>204</v>
      </c>
      <c r="E74" s="5">
        <v>110.72</v>
      </c>
      <c r="F74" s="5">
        <v>32.119999999999997</v>
      </c>
      <c r="G74" s="5">
        <v>2014</v>
      </c>
      <c r="H74" s="5">
        <v>537</v>
      </c>
      <c r="I74" s="5">
        <v>661.74</v>
      </c>
      <c r="J74" s="5">
        <v>19.350000000000001</v>
      </c>
      <c r="K74" s="5">
        <v>1.36</v>
      </c>
      <c r="L74" s="5">
        <v>20.2</v>
      </c>
      <c r="M74" s="5">
        <v>60</v>
      </c>
      <c r="N74" s="5">
        <v>19.8</v>
      </c>
      <c r="O74" s="5">
        <v>6</v>
      </c>
      <c r="P74" s="5">
        <v>11.9</v>
      </c>
      <c r="Q74" s="5">
        <v>1.31</v>
      </c>
      <c r="R74" s="5">
        <v>9.0839694656488543</v>
      </c>
      <c r="S74" s="5">
        <v>0</v>
      </c>
      <c r="T74" s="5">
        <v>3.2000000000000001E-2</v>
      </c>
      <c r="W74" s="5">
        <f t="shared" si="1"/>
        <v>0</v>
      </c>
    </row>
    <row r="75" spans="1:23" x14ac:dyDescent="0.3">
      <c r="A75" s="5" t="s">
        <v>226</v>
      </c>
      <c r="B75" s="5" t="s">
        <v>225</v>
      </c>
      <c r="C75" s="5">
        <v>2019</v>
      </c>
      <c r="D75" s="5" t="s">
        <v>204</v>
      </c>
      <c r="E75" s="5">
        <v>110.72</v>
      </c>
      <c r="F75" s="5">
        <v>32.119999999999997</v>
      </c>
      <c r="G75" s="5">
        <v>2014</v>
      </c>
      <c r="H75" s="5">
        <v>537</v>
      </c>
      <c r="I75" s="5">
        <v>661.74</v>
      </c>
      <c r="J75" s="5">
        <v>19.350000000000001</v>
      </c>
      <c r="K75" s="5">
        <v>1.36</v>
      </c>
      <c r="L75" s="5">
        <v>20.2</v>
      </c>
      <c r="M75" s="5">
        <v>60</v>
      </c>
      <c r="N75" s="5">
        <v>19.8</v>
      </c>
      <c r="O75" s="5">
        <v>6</v>
      </c>
      <c r="P75" s="5">
        <v>11.9</v>
      </c>
      <c r="Q75" s="5">
        <v>1.31</v>
      </c>
      <c r="R75" s="5">
        <v>9.0839694656488543</v>
      </c>
      <c r="S75" s="5">
        <v>150</v>
      </c>
      <c r="T75" s="5">
        <v>0.14399999999999999</v>
      </c>
      <c r="V75" s="5">
        <f>(T75-T74)/S75</f>
        <v>7.4666666666666664E-4</v>
      </c>
      <c r="W75" s="5">
        <f t="shared" si="1"/>
        <v>7.4666666666666659E-2</v>
      </c>
    </row>
    <row r="76" spans="1:23" x14ac:dyDescent="0.3">
      <c r="A76" s="5" t="s">
        <v>226</v>
      </c>
      <c r="B76" s="5" t="s">
        <v>225</v>
      </c>
      <c r="C76" s="5">
        <v>2019</v>
      </c>
      <c r="D76" s="5" t="s">
        <v>204</v>
      </c>
      <c r="E76" s="5">
        <v>110.72</v>
      </c>
      <c r="F76" s="5">
        <v>32.119999999999997</v>
      </c>
      <c r="G76" s="5">
        <v>2014</v>
      </c>
      <c r="H76" s="5">
        <v>537</v>
      </c>
      <c r="I76" s="5">
        <v>661.74</v>
      </c>
      <c r="J76" s="5">
        <v>19.350000000000001</v>
      </c>
      <c r="K76" s="5">
        <v>1.36</v>
      </c>
      <c r="L76" s="5">
        <v>20.2</v>
      </c>
      <c r="M76" s="5">
        <v>60</v>
      </c>
      <c r="N76" s="5">
        <v>19.8</v>
      </c>
      <c r="O76" s="5">
        <v>6</v>
      </c>
      <c r="P76" s="5">
        <v>11.9</v>
      </c>
      <c r="Q76" s="5">
        <v>1.31</v>
      </c>
      <c r="R76" s="5">
        <v>9.0839694656488543</v>
      </c>
      <c r="S76" s="5">
        <v>150</v>
      </c>
      <c r="T76" s="5">
        <v>5.2999999999999999E-2</v>
      </c>
      <c r="V76" s="5">
        <f>(T76-T74)/S76</f>
        <v>1.3999999999999999E-4</v>
      </c>
      <c r="W76" s="5">
        <f t="shared" si="1"/>
        <v>1.3999999999999999E-2</v>
      </c>
    </row>
    <row r="77" spans="1:23" x14ac:dyDescent="0.3">
      <c r="A77" s="5" t="s">
        <v>226</v>
      </c>
      <c r="B77" s="5" t="s">
        <v>225</v>
      </c>
      <c r="C77" s="5">
        <v>2019</v>
      </c>
      <c r="D77" s="5" t="s">
        <v>204</v>
      </c>
      <c r="E77" s="5">
        <v>110.72</v>
      </c>
      <c r="F77" s="5">
        <v>32.119999999999997</v>
      </c>
      <c r="G77" s="5">
        <v>2014</v>
      </c>
      <c r="H77" s="5">
        <v>537</v>
      </c>
      <c r="I77" s="5">
        <v>661.74</v>
      </c>
      <c r="J77" s="5">
        <v>19.350000000000001</v>
      </c>
      <c r="K77" s="5">
        <v>1.36</v>
      </c>
      <c r="L77" s="5">
        <v>20.2</v>
      </c>
      <c r="M77" s="5">
        <v>60</v>
      </c>
      <c r="N77" s="5">
        <v>19.8</v>
      </c>
      <c r="O77" s="5">
        <v>6</v>
      </c>
      <c r="P77" s="5">
        <v>11.9</v>
      </c>
      <c r="Q77" s="5">
        <v>1.31</v>
      </c>
      <c r="R77" s="5">
        <v>9.0839694656488543</v>
      </c>
      <c r="S77" s="5">
        <v>0</v>
      </c>
      <c r="T77" s="5">
        <v>4.2999999999999997E-2</v>
      </c>
      <c r="W77" s="5">
        <f t="shared" si="1"/>
        <v>0</v>
      </c>
    </row>
    <row r="78" spans="1:23" x14ac:dyDescent="0.3">
      <c r="A78" s="5" t="s">
        <v>226</v>
      </c>
      <c r="B78" s="5" t="s">
        <v>225</v>
      </c>
      <c r="C78" s="5">
        <v>2019</v>
      </c>
      <c r="D78" s="5" t="s">
        <v>204</v>
      </c>
      <c r="E78" s="5">
        <v>110.72</v>
      </c>
      <c r="F78" s="5">
        <v>32.119999999999997</v>
      </c>
      <c r="G78" s="5">
        <v>2014</v>
      </c>
      <c r="H78" s="5">
        <v>537</v>
      </c>
      <c r="I78" s="5">
        <v>661.74</v>
      </c>
      <c r="J78" s="5">
        <v>19.350000000000001</v>
      </c>
      <c r="K78" s="5">
        <v>1.36</v>
      </c>
      <c r="L78" s="5">
        <v>20.2</v>
      </c>
      <c r="M78" s="5">
        <v>60</v>
      </c>
      <c r="N78" s="5">
        <v>19.8</v>
      </c>
      <c r="O78" s="5">
        <v>6</v>
      </c>
      <c r="P78" s="5">
        <v>11.9</v>
      </c>
      <c r="Q78" s="5">
        <v>1.31</v>
      </c>
      <c r="R78" s="5">
        <v>9.0839694656488543</v>
      </c>
      <c r="S78" s="5">
        <v>150</v>
      </c>
      <c r="T78" s="5">
        <v>0.2</v>
      </c>
      <c r="V78" s="5">
        <f>(T78-T77)/S78</f>
        <v>1.0466666666666669E-3</v>
      </c>
      <c r="W78" s="5">
        <f t="shared" si="1"/>
        <v>0.10466666666666669</v>
      </c>
    </row>
    <row r="79" spans="1:23" x14ac:dyDescent="0.3">
      <c r="A79" s="5" t="s">
        <v>226</v>
      </c>
      <c r="B79" s="5" t="s">
        <v>225</v>
      </c>
      <c r="C79" s="5">
        <v>2019</v>
      </c>
      <c r="D79" s="5" t="s">
        <v>204</v>
      </c>
      <c r="E79" s="5">
        <v>110.72</v>
      </c>
      <c r="F79" s="5">
        <v>32.119999999999997</v>
      </c>
      <c r="G79" s="5">
        <v>2014</v>
      </c>
      <c r="H79" s="5">
        <v>537</v>
      </c>
      <c r="I79" s="5">
        <v>661.74</v>
      </c>
      <c r="J79" s="5">
        <v>19.350000000000001</v>
      </c>
      <c r="K79" s="5">
        <v>1.36</v>
      </c>
      <c r="L79" s="5">
        <v>20.2</v>
      </c>
      <c r="M79" s="5">
        <v>60</v>
      </c>
      <c r="N79" s="5">
        <v>19.8</v>
      </c>
      <c r="O79" s="5">
        <v>6</v>
      </c>
      <c r="P79" s="5">
        <v>11.9</v>
      </c>
      <c r="Q79" s="5">
        <v>1.31</v>
      </c>
      <c r="R79" s="5">
        <v>9.0839694656488543</v>
      </c>
      <c r="S79" s="5">
        <v>150</v>
      </c>
      <c r="T79" s="5">
        <v>5.5E-2</v>
      </c>
      <c r="V79" s="5">
        <f>(T79-T77)/S79</f>
        <v>8.000000000000002E-5</v>
      </c>
      <c r="W79" s="5">
        <f t="shared" si="1"/>
        <v>8.0000000000000019E-3</v>
      </c>
    </row>
  </sheetData>
  <mergeCells count="5">
    <mergeCell ref="A1:C1"/>
    <mergeCell ref="H1:J1"/>
    <mergeCell ref="K1:R1"/>
    <mergeCell ref="D1:E1"/>
    <mergeCell ref="T1:W1"/>
  </mergeCells>
  <phoneticPr fontId="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FC1DB-94D4-4921-9353-86FDE621F842}">
  <dimension ref="A1:U228"/>
  <sheetViews>
    <sheetView tabSelected="1" workbookViewId="0">
      <selection activeCell="W226" sqref="W226"/>
    </sheetView>
  </sheetViews>
  <sheetFormatPr defaultRowHeight="14" x14ac:dyDescent="0.3"/>
  <cols>
    <col min="1" max="1" width="9.6640625" style="5" customWidth="1"/>
    <col min="2" max="3" width="8.6640625" style="5"/>
    <col min="4" max="5" width="8.6640625" style="106"/>
    <col min="6" max="18" width="8.1640625" style="29" customWidth="1"/>
    <col min="19" max="21" width="8.6640625" style="5"/>
  </cols>
  <sheetData>
    <row r="1" spans="1:21" x14ac:dyDescent="0.3">
      <c r="A1" s="76" t="s">
        <v>0</v>
      </c>
      <c r="B1" s="76"/>
      <c r="C1" s="76"/>
      <c r="D1" s="73" t="s">
        <v>1</v>
      </c>
      <c r="E1" s="75"/>
      <c r="F1" s="68" t="s">
        <v>2</v>
      </c>
      <c r="G1" s="76" t="s">
        <v>3</v>
      </c>
      <c r="H1" s="76"/>
      <c r="I1" s="76"/>
      <c r="J1" s="76" t="s">
        <v>4</v>
      </c>
      <c r="K1" s="76"/>
      <c r="L1" s="76"/>
      <c r="M1" s="76"/>
      <c r="N1" s="76"/>
      <c r="O1" s="76"/>
      <c r="P1" s="76"/>
      <c r="Q1" s="76"/>
      <c r="R1" s="67" t="s">
        <v>257</v>
      </c>
      <c r="S1" s="71" t="s">
        <v>252</v>
      </c>
      <c r="T1" s="72"/>
      <c r="U1" s="77"/>
    </row>
    <row r="2" spans="1:21" ht="14.5" x14ac:dyDescent="0.3">
      <c r="A2" s="1" t="s">
        <v>5</v>
      </c>
      <c r="B2" s="1" t="s">
        <v>6</v>
      </c>
      <c r="C2" s="1" t="s">
        <v>7</v>
      </c>
      <c r="D2" s="61" t="s">
        <v>10</v>
      </c>
      <c r="E2" s="29" t="s">
        <v>243</v>
      </c>
      <c r="F2" s="61" t="s">
        <v>7</v>
      </c>
      <c r="G2" s="61" t="s">
        <v>11</v>
      </c>
      <c r="H2" s="61" t="s">
        <v>12</v>
      </c>
      <c r="I2" s="61" t="s">
        <v>13</v>
      </c>
      <c r="J2" s="61" t="s">
        <v>14</v>
      </c>
      <c r="K2" s="61" t="s">
        <v>15</v>
      </c>
      <c r="L2" s="61" t="s">
        <v>16</v>
      </c>
      <c r="M2" s="61" t="s">
        <v>17</v>
      </c>
      <c r="N2" s="61" t="s">
        <v>18</v>
      </c>
      <c r="O2" s="61" t="s">
        <v>255</v>
      </c>
      <c r="P2" s="61" t="s">
        <v>254</v>
      </c>
      <c r="Q2" s="61" t="s">
        <v>20</v>
      </c>
      <c r="R2" s="61" t="s">
        <v>245</v>
      </c>
      <c r="S2" s="1" t="s">
        <v>227</v>
      </c>
      <c r="T2" s="1" t="s">
        <v>247</v>
      </c>
      <c r="U2" s="8" t="s">
        <v>321</v>
      </c>
    </row>
    <row r="3" spans="1:21" ht="14.5" thickBot="1" x14ac:dyDescent="0.35">
      <c r="A3" s="3"/>
      <c r="B3" s="3"/>
      <c r="C3" s="4"/>
      <c r="D3" s="88"/>
      <c r="E3" s="88"/>
      <c r="F3" s="63"/>
      <c r="G3" s="62" t="s">
        <v>22</v>
      </c>
      <c r="H3" s="62" t="s">
        <v>23</v>
      </c>
      <c r="I3" s="62" t="s">
        <v>24</v>
      </c>
      <c r="J3" s="63" t="s">
        <v>25</v>
      </c>
      <c r="K3" s="62" t="s">
        <v>26</v>
      </c>
      <c r="L3" s="62" t="s">
        <v>27</v>
      </c>
      <c r="M3" s="62" t="s">
        <v>28</v>
      </c>
      <c r="N3" s="62" t="s">
        <v>29</v>
      </c>
      <c r="O3" s="62" t="s">
        <v>19</v>
      </c>
      <c r="P3" s="62" t="s">
        <v>30</v>
      </c>
      <c r="Q3" s="64" t="s">
        <v>31</v>
      </c>
      <c r="R3" s="60" t="s">
        <v>246</v>
      </c>
      <c r="S3" s="60" t="s">
        <v>246</v>
      </c>
      <c r="T3" s="60" t="s">
        <v>246</v>
      </c>
      <c r="U3" s="9" t="s">
        <v>320</v>
      </c>
    </row>
    <row r="4" spans="1:21" x14ac:dyDescent="0.3">
      <c r="A4" s="5" t="s">
        <v>228</v>
      </c>
      <c r="B4" s="5" t="s">
        <v>229</v>
      </c>
      <c r="C4" s="5">
        <v>2009</v>
      </c>
      <c r="D4" s="106">
        <v>120.68</v>
      </c>
      <c r="E4" s="106">
        <v>31.53</v>
      </c>
      <c r="F4" s="29">
        <v>2003</v>
      </c>
      <c r="G4" s="29">
        <v>528</v>
      </c>
      <c r="H4" s="29">
        <v>804</v>
      </c>
      <c r="I4" s="29">
        <v>26.7</v>
      </c>
      <c r="J4" s="29">
        <v>1.52</v>
      </c>
      <c r="K4" s="29">
        <v>36</v>
      </c>
      <c r="L4" s="29">
        <v>43</v>
      </c>
      <c r="M4" s="29">
        <v>21</v>
      </c>
      <c r="N4" s="29">
        <v>6.05</v>
      </c>
      <c r="O4" s="29">
        <v>16.125290023201856</v>
      </c>
      <c r="P4" s="29">
        <v>1.81</v>
      </c>
      <c r="Q4" s="29">
        <f>O4/P4</f>
        <v>8.909000012818705</v>
      </c>
      <c r="R4" s="29">
        <v>0</v>
      </c>
      <c r="S4" s="5">
        <v>1.04</v>
      </c>
      <c r="T4" s="5">
        <f>S4</f>
        <v>1.04</v>
      </c>
      <c r="U4" s="5">
        <v>0</v>
      </c>
    </row>
    <row r="5" spans="1:21" x14ac:dyDescent="0.3">
      <c r="A5" s="5" t="s">
        <v>228</v>
      </c>
      <c r="B5" s="5" t="s">
        <v>229</v>
      </c>
      <c r="C5" s="5">
        <v>2009</v>
      </c>
      <c r="D5" s="106">
        <v>120.68</v>
      </c>
      <c r="E5" s="106">
        <v>31.53</v>
      </c>
      <c r="F5" s="29">
        <v>2003</v>
      </c>
      <c r="G5" s="29">
        <v>528</v>
      </c>
      <c r="H5" s="29">
        <v>804</v>
      </c>
      <c r="I5" s="29">
        <v>26.7</v>
      </c>
      <c r="J5" s="29">
        <v>1.52</v>
      </c>
      <c r="K5" s="29">
        <v>36</v>
      </c>
      <c r="L5" s="29">
        <v>43</v>
      </c>
      <c r="M5" s="29">
        <v>21</v>
      </c>
      <c r="N5" s="29">
        <v>6.05</v>
      </c>
      <c r="O5" s="29">
        <v>16.125290023201856</v>
      </c>
      <c r="P5" s="29">
        <v>1.81</v>
      </c>
      <c r="Q5" s="29">
        <f t="shared" ref="Q5:Q68" si="0">O5/P5</f>
        <v>8.909000012818705</v>
      </c>
      <c r="R5" s="29">
        <v>100</v>
      </c>
      <c r="S5" s="5">
        <v>1.29</v>
      </c>
      <c r="U5" s="5">
        <f>100*(S5-S4)/R5</f>
        <v>0.25</v>
      </c>
    </row>
    <row r="6" spans="1:21" x14ac:dyDescent="0.3">
      <c r="A6" s="81" t="s">
        <v>228</v>
      </c>
      <c r="B6" s="81" t="s">
        <v>229</v>
      </c>
      <c r="C6" s="81">
        <v>2009</v>
      </c>
      <c r="D6" s="107">
        <v>120.68</v>
      </c>
      <c r="E6" s="107">
        <v>31.53</v>
      </c>
      <c r="F6" s="34">
        <v>2003</v>
      </c>
      <c r="G6" s="34">
        <v>528</v>
      </c>
      <c r="H6" s="34">
        <v>804</v>
      </c>
      <c r="I6" s="34">
        <v>26.7</v>
      </c>
      <c r="J6" s="34">
        <v>1.52</v>
      </c>
      <c r="K6" s="29">
        <v>36</v>
      </c>
      <c r="L6" s="29">
        <v>43</v>
      </c>
      <c r="M6" s="29">
        <v>21</v>
      </c>
      <c r="N6" s="34">
        <v>6.05</v>
      </c>
      <c r="O6" s="34">
        <v>16.125290023201856</v>
      </c>
      <c r="P6" s="34">
        <v>1.81</v>
      </c>
      <c r="Q6" s="34">
        <f t="shared" si="0"/>
        <v>8.909000012818705</v>
      </c>
      <c r="R6" s="34">
        <v>300</v>
      </c>
      <c r="S6" s="81">
        <v>1.87</v>
      </c>
      <c r="T6" s="81"/>
      <c r="U6" s="81">
        <f>100*(S6-S4)/R6</f>
        <v>0.27666666666666667</v>
      </c>
    </row>
    <row r="7" spans="1:21" x14ac:dyDescent="0.3">
      <c r="A7" s="5" t="s">
        <v>351</v>
      </c>
      <c r="B7" s="5" t="s">
        <v>352</v>
      </c>
      <c r="C7" s="5">
        <v>2008</v>
      </c>
      <c r="D7" s="106">
        <v>120.7</v>
      </c>
      <c r="E7" s="106">
        <v>31.55</v>
      </c>
      <c r="F7" s="29">
        <v>2005</v>
      </c>
      <c r="G7" s="29">
        <v>528</v>
      </c>
      <c r="H7" s="29">
        <v>804</v>
      </c>
      <c r="I7" s="29">
        <v>26.7</v>
      </c>
      <c r="J7" s="29">
        <v>1.52</v>
      </c>
      <c r="K7" s="29">
        <v>68</v>
      </c>
      <c r="L7" s="29">
        <v>20</v>
      </c>
      <c r="M7" s="29">
        <v>12</v>
      </c>
      <c r="N7" s="29">
        <v>7.36</v>
      </c>
      <c r="O7" s="29">
        <v>20.301624129930396</v>
      </c>
      <c r="P7" s="29">
        <v>2.09</v>
      </c>
      <c r="Q7" s="29">
        <f t="shared" si="0"/>
        <v>9.7136957559475583</v>
      </c>
      <c r="R7" s="29">
        <v>0</v>
      </c>
      <c r="S7" s="5">
        <v>1.22</v>
      </c>
      <c r="T7" s="5">
        <f>S7</f>
        <v>1.22</v>
      </c>
      <c r="U7" s="5">
        <v>0</v>
      </c>
    </row>
    <row r="8" spans="1:21" x14ac:dyDescent="0.3">
      <c r="A8" s="5" t="s">
        <v>351</v>
      </c>
      <c r="B8" s="5" t="s">
        <v>352</v>
      </c>
      <c r="C8" s="5">
        <v>2008</v>
      </c>
      <c r="D8" s="106">
        <v>120.7</v>
      </c>
      <c r="E8" s="106">
        <v>31.55</v>
      </c>
      <c r="F8" s="29">
        <v>2005</v>
      </c>
      <c r="G8" s="29">
        <v>528</v>
      </c>
      <c r="H8" s="29">
        <v>804</v>
      </c>
      <c r="I8" s="29">
        <v>26.7</v>
      </c>
      <c r="J8" s="29">
        <v>1.52</v>
      </c>
      <c r="K8" s="29">
        <v>68</v>
      </c>
      <c r="L8" s="29">
        <v>20</v>
      </c>
      <c r="M8" s="29">
        <v>12</v>
      </c>
      <c r="N8" s="29">
        <v>7.36</v>
      </c>
      <c r="O8" s="29">
        <v>20.301624129930396</v>
      </c>
      <c r="P8" s="29">
        <v>2.09</v>
      </c>
      <c r="Q8" s="29">
        <f t="shared" si="0"/>
        <v>9.7136957559475583</v>
      </c>
      <c r="R8" s="29">
        <v>180</v>
      </c>
      <c r="S8" s="5">
        <v>1.9100000000000001</v>
      </c>
      <c r="U8" s="5">
        <f>100*(S8-S7)/R8</f>
        <v>0.38333333333333341</v>
      </c>
    </row>
    <row r="9" spans="1:21" x14ac:dyDescent="0.3">
      <c r="A9" s="5" t="s">
        <v>351</v>
      </c>
      <c r="B9" s="5" t="s">
        <v>352</v>
      </c>
      <c r="C9" s="5">
        <v>2008</v>
      </c>
      <c r="D9" s="106">
        <v>120.7</v>
      </c>
      <c r="E9" s="106">
        <v>31.55</v>
      </c>
      <c r="F9" s="29">
        <v>2005</v>
      </c>
      <c r="G9" s="29">
        <v>528</v>
      </c>
      <c r="H9" s="29">
        <v>804</v>
      </c>
      <c r="I9" s="29">
        <v>26.7</v>
      </c>
      <c r="J9" s="29">
        <v>1.52</v>
      </c>
      <c r="K9" s="29">
        <v>68</v>
      </c>
      <c r="L9" s="29">
        <v>20</v>
      </c>
      <c r="M9" s="29">
        <v>12</v>
      </c>
      <c r="N9" s="29">
        <v>7.36</v>
      </c>
      <c r="O9" s="29">
        <v>20.301624129930396</v>
      </c>
      <c r="P9" s="29">
        <v>2.09</v>
      </c>
      <c r="Q9" s="29">
        <f t="shared" si="0"/>
        <v>9.7136957559475583</v>
      </c>
      <c r="R9" s="29">
        <v>270</v>
      </c>
      <c r="S9" s="5">
        <v>2.06</v>
      </c>
      <c r="U9" s="5">
        <f>100*(S9-S7)/R9</f>
        <v>0.31111111111111117</v>
      </c>
    </row>
    <row r="10" spans="1:21" x14ac:dyDescent="0.3">
      <c r="A10" s="81" t="s">
        <v>351</v>
      </c>
      <c r="B10" s="81" t="s">
        <v>352</v>
      </c>
      <c r="C10" s="81">
        <v>2008</v>
      </c>
      <c r="D10" s="107">
        <v>120.7</v>
      </c>
      <c r="E10" s="107">
        <v>31.55</v>
      </c>
      <c r="F10" s="34">
        <v>2005</v>
      </c>
      <c r="G10" s="34">
        <v>528</v>
      </c>
      <c r="H10" s="34">
        <v>804</v>
      </c>
      <c r="I10" s="34">
        <v>26.7</v>
      </c>
      <c r="J10" s="34">
        <v>1.52</v>
      </c>
      <c r="K10" s="29">
        <v>68</v>
      </c>
      <c r="L10" s="29">
        <v>20</v>
      </c>
      <c r="M10" s="29">
        <v>12</v>
      </c>
      <c r="N10" s="34">
        <v>7.36</v>
      </c>
      <c r="O10" s="34">
        <v>20.301624129930396</v>
      </c>
      <c r="P10" s="34">
        <v>2.09</v>
      </c>
      <c r="Q10" s="34">
        <f t="shared" si="0"/>
        <v>9.7136957559475583</v>
      </c>
      <c r="R10" s="34">
        <v>360</v>
      </c>
      <c r="S10" s="81">
        <v>3.25</v>
      </c>
      <c r="T10" s="81"/>
      <c r="U10" s="81">
        <f>100*(S10-S7)/R10</f>
        <v>0.56388888888888899</v>
      </c>
    </row>
    <row r="11" spans="1:21" x14ac:dyDescent="0.3">
      <c r="A11" s="5" t="s">
        <v>46</v>
      </c>
      <c r="B11" s="5" t="s">
        <v>230</v>
      </c>
      <c r="C11" s="5">
        <v>2007</v>
      </c>
      <c r="D11" s="106">
        <v>120.68</v>
      </c>
      <c r="E11" s="106">
        <v>31.53</v>
      </c>
      <c r="F11" s="29">
        <v>2001</v>
      </c>
      <c r="G11" s="29">
        <v>528</v>
      </c>
      <c r="H11" s="29">
        <v>804</v>
      </c>
      <c r="I11" s="29">
        <v>26.7</v>
      </c>
      <c r="J11" s="29">
        <v>1.52</v>
      </c>
      <c r="K11" s="29">
        <v>36</v>
      </c>
      <c r="L11" s="29">
        <v>43</v>
      </c>
      <c r="M11" s="29">
        <v>21</v>
      </c>
      <c r="N11" s="29">
        <v>7.36</v>
      </c>
      <c r="O11" s="29">
        <v>20</v>
      </c>
      <c r="P11" s="29">
        <v>1.79</v>
      </c>
      <c r="Q11" s="29">
        <f t="shared" si="0"/>
        <v>11.173184357541899</v>
      </c>
      <c r="R11" s="29">
        <v>0</v>
      </c>
      <c r="S11" s="5">
        <v>1.58536585365854</v>
      </c>
      <c r="T11" s="5">
        <f>AVERAGE(S11,S14,S17)</f>
        <v>2.4959349593495932</v>
      </c>
      <c r="U11" s="5">
        <v>0</v>
      </c>
    </row>
    <row r="12" spans="1:21" x14ac:dyDescent="0.3">
      <c r="A12" s="5" t="s">
        <v>46</v>
      </c>
      <c r="B12" s="5" t="s">
        <v>230</v>
      </c>
      <c r="C12" s="5">
        <v>2007</v>
      </c>
      <c r="D12" s="106">
        <v>120.68</v>
      </c>
      <c r="E12" s="106">
        <v>31.53</v>
      </c>
      <c r="F12" s="29">
        <v>2001</v>
      </c>
      <c r="G12" s="29">
        <v>528</v>
      </c>
      <c r="H12" s="29">
        <v>804</v>
      </c>
      <c r="I12" s="29">
        <v>26.7</v>
      </c>
      <c r="J12" s="29">
        <v>1.52</v>
      </c>
      <c r="K12" s="29">
        <v>36</v>
      </c>
      <c r="L12" s="29">
        <v>43</v>
      </c>
      <c r="M12" s="29">
        <v>21</v>
      </c>
      <c r="N12" s="29">
        <v>7.36</v>
      </c>
      <c r="O12" s="29">
        <v>20</v>
      </c>
      <c r="P12" s="29">
        <v>1.79</v>
      </c>
      <c r="Q12" s="29">
        <f t="shared" si="0"/>
        <v>11.173184357541899</v>
      </c>
      <c r="R12" s="29">
        <v>150</v>
      </c>
      <c r="S12" s="5">
        <v>1.9756097560975601</v>
      </c>
      <c r="U12" s="5">
        <f>100*(S12-S11)/R12</f>
        <v>0.26016260162601335</v>
      </c>
    </row>
    <row r="13" spans="1:21" x14ac:dyDescent="0.3">
      <c r="A13" s="5" t="s">
        <v>46</v>
      </c>
      <c r="B13" s="5" t="s">
        <v>230</v>
      </c>
      <c r="C13" s="5">
        <v>2007</v>
      </c>
      <c r="D13" s="106">
        <v>120.68</v>
      </c>
      <c r="E13" s="106">
        <v>31.53</v>
      </c>
      <c r="F13" s="29">
        <v>2001</v>
      </c>
      <c r="G13" s="29">
        <v>528</v>
      </c>
      <c r="H13" s="29">
        <v>804</v>
      </c>
      <c r="I13" s="29">
        <v>26.7</v>
      </c>
      <c r="J13" s="29">
        <v>1.52</v>
      </c>
      <c r="K13" s="29">
        <v>36</v>
      </c>
      <c r="L13" s="29">
        <v>43</v>
      </c>
      <c r="M13" s="29">
        <v>21</v>
      </c>
      <c r="N13" s="29">
        <v>7.36</v>
      </c>
      <c r="O13" s="29">
        <v>20</v>
      </c>
      <c r="P13" s="29">
        <v>1.79</v>
      </c>
      <c r="Q13" s="29">
        <f t="shared" si="0"/>
        <v>11.173184357541899</v>
      </c>
      <c r="R13" s="29">
        <v>300</v>
      </c>
      <c r="S13" s="5">
        <v>2.5853658536585402</v>
      </c>
      <c r="U13" s="5">
        <f>100*(S13-S11)/R13</f>
        <v>0.33333333333333343</v>
      </c>
    </row>
    <row r="14" spans="1:21" x14ac:dyDescent="0.3">
      <c r="A14" s="5" t="s">
        <v>46</v>
      </c>
      <c r="B14" s="5" t="s">
        <v>230</v>
      </c>
      <c r="C14" s="5">
        <v>2007</v>
      </c>
      <c r="D14" s="106">
        <v>120.68</v>
      </c>
      <c r="E14" s="106">
        <v>31.53</v>
      </c>
      <c r="F14" s="29">
        <v>2002</v>
      </c>
      <c r="G14" s="29">
        <v>528</v>
      </c>
      <c r="H14" s="29">
        <v>804</v>
      </c>
      <c r="I14" s="29">
        <v>26.7</v>
      </c>
      <c r="J14" s="29">
        <v>1.52</v>
      </c>
      <c r="K14" s="29">
        <v>36</v>
      </c>
      <c r="L14" s="29">
        <v>43</v>
      </c>
      <c r="M14" s="29">
        <v>21</v>
      </c>
      <c r="N14" s="29">
        <v>7.36</v>
      </c>
      <c r="O14" s="29">
        <v>20</v>
      </c>
      <c r="P14" s="29">
        <v>1.79</v>
      </c>
      <c r="Q14" s="29">
        <f t="shared" si="0"/>
        <v>11.173184357541899</v>
      </c>
      <c r="R14" s="29">
        <v>0</v>
      </c>
      <c r="S14" s="5">
        <v>2.9268292682926802</v>
      </c>
      <c r="U14" s="5">
        <v>0</v>
      </c>
    </row>
    <row r="15" spans="1:21" x14ac:dyDescent="0.3">
      <c r="A15" s="5" t="s">
        <v>46</v>
      </c>
      <c r="B15" s="5" t="s">
        <v>230</v>
      </c>
      <c r="C15" s="5">
        <v>2007</v>
      </c>
      <c r="D15" s="106">
        <v>120.68</v>
      </c>
      <c r="E15" s="106">
        <v>31.53</v>
      </c>
      <c r="F15" s="29">
        <v>2002</v>
      </c>
      <c r="G15" s="29">
        <v>528</v>
      </c>
      <c r="H15" s="29">
        <v>804</v>
      </c>
      <c r="I15" s="29">
        <v>26.7</v>
      </c>
      <c r="J15" s="29">
        <v>1.52</v>
      </c>
      <c r="K15" s="29">
        <v>36</v>
      </c>
      <c r="L15" s="29">
        <v>43</v>
      </c>
      <c r="M15" s="29">
        <v>21</v>
      </c>
      <c r="N15" s="29">
        <v>7.36</v>
      </c>
      <c r="O15" s="29">
        <v>20</v>
      </c>
      <c r="P15" s="29">
        <v>1.79</v>
      </c>
      <c r="Q15" s="29">
        <f t="shared" si="0"/>
        <v>11.173184357541899</v>
      </c>
      <c r="R15" s="29">
        <v>150</v>
      </c>
      <c r="S15" s="5">
        <v>2.6829268292682902</v>
      </c>
      <c r="U15" s="5">
        <f>100*(S15-S14)/R15</f>
        <v>-0.16260162601626002</v>
      </c>
    </row>
    <row r="16" spans="1:21" x14ac:dyDescent="0.3">
      <c r="A16" s="5" t="s">
        <v>46</v>
      </c>
      <c r="B16" s="5" t="s">
        <v>230</v>
      </c>
      <c r="C16" s="5">
        <v>2007</v>
      </c>
      <c r="D16" s="106">
        <v>120.68</v>
      </c>
      <c r="E16" s="106">
        <v>31.53</v>
      </c>
      <c r="F16" s="29">
        <v>2002</v>
      </c>
      <c r="G16" s="29">
        <v>528</v>
      </c>
      <c r="H16" s="29">
        <v>804</v>
      </c>
      <c r="I16" s="29">
        <v>26.7</v>
      </c>
      <c r="J16" s="29">
        <v>1.52</v>
      </c>
      <c r="K16" s="29">
        <v>36</v>
      </c>
      <c r="L16" s="29">
        <v>43</v>
      </c>
      <c r="M16" s="29">
        <v>21</v>
      </c>
      <c r="N16" s="29">
        <v>7.36</v>
      </c>
      <c r="O16" s="29">
        <v>20</v>
      </c>
      <c r="P16" s="29">
        <v>1.79</v>
      </c>
      <c r="Q16" s="29">
        <f t="shared" si="0"/>
        <v>11.173184357541899</v>
      </c>
      <c r="R16" s="29">
        <v>300</v>
      </c>
      <c r="S16" s="5">
        <v>3.2926829268292699</v>
      </c>
      <c r="U16" s="5">
        <f>100*(S16-S14)/R16</f>
        <v>0.12195121951219656</v>
      </c>
    </row>
    <row r="17" spans="1:21" x14ac:dyDescent="0.3">
      <c r="A17" s="5" t="s">
        <v>46</v>
      </c>
      <c r="B17" s="5" t="s">
        <v>230</v>
      </c>
      <c r="C17" s="5">
        <v>2007</v>
      </c>
      <c r="D17" s="106">
        <v>120.68</v>
      </c>
      <c r="E17" s="106">
        <v>31.53</v>
      </c>
      <c r="F17" s="29">
        <v>2003</v>
      </c>
      <c r="G17" s="29">
        <v>528</v>
      </c>
      <c r="H17" s="29">
        <v>804</v>
      </c>
      <c r="I17" s="29">
        <v>26.7</v>
      </c>
      <c r="J17" s="29">
        <v>1.52</v>
      </c>
      <c r="K17" s="29">
        <v>36</v>
      </c>
      <c r="L17" s="29">
        <v>43</v>
      </c>
      <c r="M17" s="29">
        <v>21</v>
      </c>
      <c r="N17" s="29">
        <v>7.36</v>
      </c>
      <c r="O17" s="29">
        <v>20</v>
      </c>
      <c r="P17" s="29">
        <v>1.79</v>
      </c>
      <c r="Q17" s="29">
        <f t="shared" si="0"/>
        <v>11.173184357541899</v>
      </c>
      <c r="R17" s="29">
        <v>0</v>
      </c>
      <c r="S17" s="5">
        <v>2.9756097560975601</v>
      </c>
      <c r="U17" s="5">
        <v>0</v>
      </c>
    </row>
    <row r="18" spans="1:21" x14ac:dyDescent="0.3">
      <c r="A18" s="5" t="s">
        <v>46</v>
      </c>
      <c r="B18" s="5" t="s">
        <v>230</v>
      </c>
      <c r="C18" s="5">
        <v>2007</v>
      </c>
      <c r="D18" s="106">
        <v>120.68</v>
      </c>
      <c r="E18" s="106">
        <v>31.53</v>
      </c>
      <c r="F18" s="29">
        <v>2003</v>
      </c>
      <c r="G18" s="29">
        <v>528</v>
      </c>
      <c r="H18" s="29">
        <v>804</v>
      </c>
      <c r="I18" s="29">
        <v>26.7</v>
      </c>
      <c r="J18" s="29">
        <v>1.52</v>
      </c>
      <c r="K18" s="29">
        <v>36</v>
      </c>
      <c r="L18" s="29">
        <v>43</v>
      </c>
      <c r="M18" s="29">
        <v>21</v>
      </c>
      <c r="N18" s="29">
        <v>7.36</v>
      </c>
      <c r="O18" s="29">
        <v>20</v>
      </c>
      <c r="P18" s="29">
        <v>1.79</v>
      </c>
      <c r="Q18" s="29">
        <f t="shared" si="0"/>
        <v>11.173184357541899</v>
      </c>
      <c r="R18" s="29">
        <v>150</v>
      </c>
      <c r="S18" s="5">
        <v>3.8536585365853702</v>
      </c>
      <c r="U18" s="5">
        <f>100*(S18-S17)/R18</f>
        <v>0.58536585365853999</v>
      </c>
    </row>
    <row r="19" spans="1:21" x14ac:dyDescent="0.3">
      <c r="A19" s="81" t="s">
        <v>46</v>
      </c>
      <c r="B19" s="81" t="s">
        <v>230</v>
      </c>
      <c r="C19" s="81">
        <v>2007</v>
      </c>
      <c r="D19" s="107">
        <v>120.68</v>
      </c>
      <c r="E19" s="107">
        <v>31.53</v>
      </c>
      <c r="F19" s="34">
        <v>2003</v>
      </c>
      <c r="G19" s="34">
        <v>528</v>
      </c>
      <c r="H19" s="34">
        <v>804</v>
      </c>
      <c r="I19" s="34">
        <v>26.7</v>
      </c>
      <c r="J19" s="34">
        <v>1.52</v>
      </c>
      <c r="K19" s="29">
        <v>36</v>
      </c>
      <c r="L19" s="29">
        <v>43</v>
      </c>
      <c r="M19" s="29">
        <v>21</v>
      </c>
      <c r="N19" s="34">
        <v>7.36</v>
      </c>
      <c r="O19" s="34">
        <v>20</v>
      </c>
      <c r="P19" s="34">
        <v>1.79</v>
      </c>
      <c r="Q19" s="34">
        <f t="shared" si="0"/>
        <v>11.173184357541899</v>
      </c>
      <c r="R19" s="34">
        <v>300</v>
      </c>
      <c r="S19" s="81">
        <v>3.7073170731707301</v>
      </c>
      <c r="T19" s="81"/>
      <c r="U19" s="81">
        <f>100*(S19-S17)/R19</f>
        <v>0.24390243902439002</v>
      </c>
    </row>
    <row r="20" spans="1:21" x14ac:dyDescent="0.3">
      <c r="A20" s="5" t="s">
        <v>33</v>
      </c>
      <c r="B20" s="5" t="s">
        <v>147</v>
      </c>
      <c r="C20" s="5">
        <v>2011</v>
      </c>
      <c r="D20" s="106">
        <v>115.5</v>
      </c>
      <c r="E20" s="106">
        <v>29.92</v>
      </c>
      <c r="F20" s="29">
        <v>2008</v>
      </c>
      <c r="G20" s="29">
        <v>668.40000000000009</v>
      </c>
      <c r="H20" s="29">
        <v>630</v>
      </c>
      <c r="I20" s="29">
        <v>26.8</v>
      </c>
      <c r="J20" s="29">
        <v>1.2914285700000001</v>
      </c>
      <c r="K20" s="29">
        <v>38</v>
      </c>
      <c r="L20" s="29">
        <v>37</v>
      </c>
      <c r="M20" s="29">
        <v>25</v>
      </c>
      <c r="N20" s="29">
        <v>5.39</v>
      </c>
      <c r="O20" s="29">
        <v>19.373549883990719</v>
      </c>
      <c r="P20" s="29">
        <v>2.54</v>
      </c>
      <c r="Q20" s="29">
        <f t="shared" si="0"/>
        <v>7.6273818440908343</v>
      </c>
      <c r="R20" s="29">
        <v>0</v>
      </c>
      <c r="S20" s="5">
        <v>2.5099999999999998</v>
      </c>
      <c r="T20" s="5">
        <f>AVERAGE(S20,S22,S24,S26)</f>
        <v>2.2375000000000003</v>
      </c>
      <c r="U20" s="5">
        <v>0</v>
      </c>
    </row>
    <row r="21" spans="1:21" x14ac:dyDescent="0.3">
      <c r="A21" s="5" t="s">
        <v>33</v>
      </c>
      <c r="B21" s="5" t="s">
        <v>147</v>
      </c>
      <c r="C21" s="5">
        <v>2011</v>
      </c>
      <c r="D21" s="106">
        <v>115.5</v>
      </c>
      <c r="E21" s="106">
        <v>29.92</v>
      </c>
      <c r="F21" s="29">
        <v>2008</v>
      </c>
      <c r="G21" s="29">
        <v>668.40000000000009</v>
      </c>
      <c r="H21" s="29">
        <v>630</v>
      </c>
      <c r="I21" s="29">
        <v>26.8</v>
      </c>
      <c r="J21" s="29">
        <v>1.2914285700000001</v>
      </c>
      <c r="K21" s="29">
        <v>38</v>
      </c>
      <c r="L21" s="29">
        <v>37</v>
      </c>
      <c r="M21" s="29">
        <v>25</v>
      </c>
      <c r="N21" s="29">
        <v>5.39</v>
      </c>
      <c r="O21" s="29">
        <v>19.373549883990719</v>
      </c>
      <c r="P21" s="29">
        <v>2.54</v>
      </c>
      <c r="Q21" s="29">
        <f t="shared" si="0"/>
        <v>7.6273818440908343</v>
      </c>
      <c r="R21" s="29">
        <v>210</v>
      </c>
      <c r="S21" s="5">
        <v>8.74</v>
      </c>
      <c r="U21" s="5">
        <f>100*(S21-S20)/R21</f>
        <v>2.9666666666666668</v>
      </c>
    </row>
    <row r="22" spans="1:21" x14ac:dyDescent="0.3">
      <c r="A22" s="5" t="s">
        <v>33</v>
      </c>
      <c r="B22" s="5" t="s">
        <v>147</v>
      </c>
      <c r="C22" s="5">
        <v>2011</v>
      </c>
      <c r="D22" s="106">
        <v>115.5</v>
      </c>
      <c r="E22" s="106">
        <v>29.92</v>
      </c>
      <c r="F22" s="29">
        <v>2008</v>
      </c>
      <c r="G22" s="29">
        <v>668.40000000000009</v>
      </c>
      <c r="H22" s="29">
        <v>630</v>
      </c>
      <c r="I22" s="29">
        <v>26.8</v>
      </c>
      <c r="J22" s="29">
        <v>1.2914285700000001</v>
      </c>
      <c r="K22" s="29">
        <v>38</v>
      </c>
      <c r="L22" s="29">
        <v>37</v>
      </c>
      <c r="M22" s="29">
        <v>25</v>
      </c>
      <c r="N22" s="29">
        <v>5.85</v>
      </c>
      <c r="O22" s="29">
        <v>15.661252900232018</v>
      </c>
      <c r="P22" s="29">
        <v>2.48</v>
      </c>
      <c r="Q22" s="29">
        <f t="shared" si="0"/>
        <v>6.3150213307387171</v>
      </c>
      <c r="R22" s="29">
        <v>0</v>
      </c>
      <c r="S22" s="5">
        <v>2.41</v>
      </c>
      <c r="U22" s="5">
        <v>0</v>
      </c>
    </row>
    <row r="23" spans="1:21" x14ac:dyDescent="0.3">
      <c r="A23" s="5" t="s">
        <v>33</v>
      </c>
      <c r="B23" s="5" t="s">
        <v>147</v>
      </c>
      <c r="C23" s="5">
        <v>2011</v>
      </c>
      <c r="D23" s="106">
        <v>115.5</v>
      </c>
      <c r="E23" s="106">
        <v>29.92</v>
      </c>
      <c r="F23" s="29">
        <v>2008</v>
      </c>
      <c r="G23" s="29">
        <v>668.40000000000009</v>
      </c>
      <c r="H23" s="29">
        <v>630</v>
      </c>
      <c r="I23" s="29">
        <v>26.8</v>
      </c>
      <c r="J23" s="29">
        <v>1.2914285700000001</v>
      </c>
      <c r="K23" s="29">
        <v>38</v>
      </c>
      <c r="L23" s="29">
        <v>37</v>
      </c>
      <c r="M23" s="29">
        <v>25</v>
      </c>
      <c r="N23" s="29">
        <v>5.85</v>
      </c>
      <c r="O23" s="29">
        <v>15.661252900232018</v>
      </c>
      <c r="P23" s="29">
        <v>2.48</v>
      </c>
      <c r="Q23" s="29">
        <f t="shared" si="0"/>
        <v>6.3150213307387171</v>
      </c>
      <c r="R23" s="29">
        <v>210</v>
      </c>
      <c r="S23" s="5">
        <v>9.18</v>
      </c>
      <c r="U23" s="5">
        <f>100*(S23-S22)/R23</f>
        <v>3.2238095238095239</v>
      </c>
    </row>
    <row r="24" spans="1:21" x14ac:dyDescent="0.3">
      <c r="A24" s="5" t="s">
        <v>33</v>
      </c>
      <c r="B24" s="5" t="s">
        <v>147</v>
      </c>
      <c r="C24" s="5">
        <v>2011</v>
      </c>
      <c r="D24" s="106">
        <v>115.5</v>
      </c>
      <c r="E24" s="106">
        <v>29.92</v>
      </c>
      <c r="F24" s="29">
        <v>2009</v>
      </c>
      <c r="G24" s="29">
        <v>630</v>
      </c>
      <c r="H24" s="29">
        <v>627.6</v>
      </c>
      <c r="I24" s="29">
        <v>26.9</v>
      </c>
      <c r="J24" s="29">
        <v>1.2914285700000001</v>
      </c>
      <c r="K24" s="29">
        <v>38</v>
      </c>
      <c r="L24" s="29">
        <v>37</v>
      </c>
      <c r="M24" s="29">
        <v>25</v>
      </c>
      <c r="N24" s="29">
        <v>5.39</v>
      </c>
      <c r="O24" s="29">
        <v>19.373549883990719</v>
      </c>
      <c r="P24" s="29">
        <v>2.54</v>
      </c>
      <c r="Q24" s="29">
        <f t="shared" si="0"/>
        <v>7.6273818440908343</v>
      </c>
      <c r="R24" s="29">
        <v>0</v>
      </c>
      <c r="S24" s="5">
        <v>2.14</v>
      </c>
      <c r="U24" s="5">
        <v>0</v>
      </c>
    </row>
    <row r="25" spans="1:21" x14ac:dyDescent="0.3">
      <c r="A25" s="5" t="s">
        <v>33</v>
      </c>
      <c r="B25" s="5" t="s">
        <v>147</v>
      </c>
      <c r="C25" s="5">
        <v>2011</v>
      </c>
      <c r="D25" s="106">
        <v>115.5</v>
      </c>
      <c r="E25" s="106">
        <v>29.92</v>
      </c>
      <c r="F25" s="29">
        <v>2009</v>
      </c>
      <c r="G25" s="29">
        <v>630</v>
      </c>
      <c r="H25" s="29">
        <v>627.6</v>
      </c>
      <c r="I25" s="29">
        <v>26.9</v>
      </c>
      <c r="J25" s="29">
        <v>1.2914285700000001</v>
      </c>
      <c r="K25" s="29">
        <v>38</v>
      </c>
      <c r="L25" s="29">
        <v>37</v>
      </c>
      <c r="M25" s="29">
        <v>25</v>
      </c>
      <c r="N25" s="29">
        <v>5.39</v>
      </c>
      <c r="O25" s="29">
        <v>19.373549883990719</v>
      </c>
      <c r="P25" s="29">
        <v>2.54</v>
      </c>
      <c r="Q25" s="29">
        <f t="shared" si="0"/>
        <v>7.6273818440908343</v>
      </c>
      <c r="R25" s="29">
        <v>210</v>
      </c>
      <c r="S25" s="5">
        <v>8.74</v>
      </c>
      <c r="U25" s="5">
        <f>100*(S25-S24)/R25</f>
        <v>3.1428571428571428</v>
      </c>
    </row>
    <row r="26" spans="1:21" x14ac:dyDescent="0.3">
      <c r="A26" s="5" t="s">
        <v>33</v>
      </c>
      <c r="B26" s="5" t="s">
        <v>147</v>
      </c>
      <c r="C26" s="5">
        <v>2011</v>
      </c>
      <c r="D26" s="106">
        <v>115.5</v>
      </c>
      <c r="E26" s="106">
        <v>29.92</v>
      </c>
      <c r="F26" s="29">
        <v>2009</v>
      </c>
      <c r="G26" s="29">
        <v>630</v>
      </c>
      <c r="H26" s="29">
        <v>627.6</v>
      </c>
      <c r="I26" s="29">
        <v>26.9</v>
      </c>
      <c r="J26" s="29">
        <v>1.2914285700000001</v>
      </c>
      <c r="K26" s="29">
        <v>38</v>
      </c>
      <c r="L26" s="29">
        <v>37</v>
      </c>
      <c r="M26" s="29">
        <v>25</v>
      </c>
      <c r="N26" s="29">
        <v>5.85</v>
      </c>
      <c r="O26" s="29">
        <v>15.661252900232018</v>
      </c>
      <c r="P26" s="29">
        <v>2.48</v>
      </c>
      <c r="Q26" s="29">
        <f t="shared" si="0"/>
        <v>6.3150213307387171</v>
      </c>
      <c r="R26" s="29">
        <v>0</v>
      </c>
      <c r="S26" s="5">
        <v>1.89</v>
      </c>
      <c r="U26" s="5">
        <v>0</v>
      </c>
    </row>
    <row r="27" spans="1:21" x14ac:dyDescent="0.3">
      <c r="A27" s="81" t="s">
        <v>33</v>
      </c>
      <c r="B27" s="81" t="s">
        <v>147</v>
      </c>
      <c r="C27" s="81">
        <v>2011</v>
      </c>
      <c r="D27" s="107">
        <v>115.5</v>
      </c>
      <c r="E27" s="107">
        <v>29.92</v>
      </c>
      <c r="F27" s="34">
        <v>2009</v>
      </c>
      <c r="G27" s="34">
        <v>630</v>
      </c>
      <c r="H27" s="34">
        <v>627.6</v>
      </c>
      <c r="I27" s="34">
        <v>26.9</v>
      </c>
      <c r="J27" s="34">
        <v>1.2914285700000001</v>
      </c>
      <c r="K27" s="29">
        <v>38</v>
      </c>
      <c r="L27" s="29">
        <v>37</v>
      </c>
      <c r="M27" s="29">
        <v>25</v>
      </c>
      <c r="N27" s="34">
        <v>5.85</v>
      </c>
      <c r="O27" s="34">
        <v>15.661252900232018</v>
      </c>
      <c r="P27" s="34">
        <v>2.48</v>
      </c>
      <c r="Q27" s="34">
        <f t="shared" si="0"/>
        <v>6.3150213307387171</v>
      </c>
      <c r="R27" s="34">
        <v>210</v>
      </c>
      <c r="S27" s="81">
        <v>8.0500000000000007</v>
      </c>
      <c r="T27" s="81"/>
      <c r="U27" s="81">
        <f>100*(S27-S26)/R27</f>
        <v>2.933333333333334</v>
      </c>
    </row>
    <row r="28" spans="1:21" x14ac:dyDescent="0.3">
      <c r="A28" s="5" t="s">
        <v>261</v>
      </c>
      <c r="B28" s="5" t="s">
        <v>262</v>
      </c>
      <c r="C28" s="5">
        <v>2005</v>
      </c>
      <c r="D28" s="106">
        <v>121.75</v>
      </c>
      <c r="E28" s="106">
        <v>30.87</v>
      </c>
      <c r="F28" s="29">
        <v>2002</v>
      </c>
      <c r="G28" s="29">
        <v>456</v>
      </c>
      <c r="H28" s="29">
        <v>672</v>
      </c>
      <c r="I28" s="29">
        <v>26.4</v>
      </c>
      <c r="J28" s="29">
        <v>1.38999999</v>
      </c>
      <c r="K28" s="29">
        <v>32.25</v>
      </c>
      <c r="L28" s="29">
        <v>47.5</v>
      </c>
      <c r="M28" s="29">
        <v>20.25</v>
      </c>
      <c r="N28" s="29">
        <v>7.9</v>
      </c>
      <c r="O28" s="29">
        <v>7.5406032482598606</v>
      </c>
      <c r="P28" s="29">
        <v>1.4730000000000001</v>
      </c>
      <c r="Q28" s="29">
        <f t="shared" si="0"/>
        <v>5.1192146967140939</v>
      </c>
      <c r="R28" s="29">
        <v>0</v>
      </c>
      <c r="S28" s="5">
        <v>14.12</v>
      </c>
      <c r="T28" s="5">
        <f>S28</f>
        <v>14.12</v>
      </c>
      <c r="U28" s="5">
        <v>0</v>
      </c>
    </row>
    <row r="29" spans="1:21" x14ac:dyDescent="0.3">
      <c r="A29" s="5" t="s">
        <v>261</v>
      </c>
      <c r="B29" s="5" t="s">
        <v>262</v>
      </c>
      <c r="C29" s="5">
        <v>2005</v>
      </c>
      <c r="D29" s="106">
        <v>121.75</v>
      </c>
      <c r="E29" s="106">
        <v>30.87</v>
      </c>
      <c r="F29" s="29">
        <v>2002</v>
      </c>
      <c r="G29" s="29">
        <v>456</v>
      </c>
      <c r="H29" s="29">
        <v>672</v>
      </c>
      <c r="I29" s="29">
        <v>26.4</v>
      </c>
      <c r="J29" s="29">
        <v>1.38999999</v>
      </c>
      <c r="K29" s="29">
        <v>32.25</v>
      </c>
      <c r="L29" s="29">
        <v>47.5</v>
      </c>
      <c r="M29" s="29">
        <v>20.25</v>
      </c>
      <c r="N29" s="29">
        <v>7.9</v>
      </c>
      <c r="O29" s="29">
        <v>7.5406032482598606</v>
      </c>
      <c r="P29" s="29">
        <v>1.4730000000000001</v>
      </c>
      <c r="Q29" s="29">
        <f t="shared" si="0"/>
        <v>5.1192146967140939</v>
      </c>
      <c r="R29" s="29">
        <v>225</v>
      </c>
      <c r="S29" s="5">
        <v>15.99</v>
      </c>
      <c r="U29" s="5">
        <f>100*(S29-S28)/R29</f>
        <v>0.83111111111111158</v>
      </c>
    </row>
    <row r="30" spans="1:21" x14ac:dyDescent="0.3">
      <c r="A30" s="5" t="s">
        <v>261</v>
      </c>
      <c r="B30" s="5" t="s">
        <v>262</v>
      </c>
      <c r="C30" s="5">
        <v>2005</v>
      </c>
      <c r="D30" s="106">
        <v>121.75</v>
      </c>
      <c r="E30" s="106">
        <v>30.87</v>
      </c>
      <c r="F30" s="29">
        <v>2002</v>
      </c>
      <c r="G30" s="29">
        <v>456</v>
      </c>
      <c r="H30" s="29">
        <v>672</v>
      </c>
      <c r="I30" s="29">
        <v>26.4</v>
      </c>
      <c r="J30" s="29">
        <v>1.38999999</v>
      </c>
      <c r="K30" s="29">
        <v>32.25</v>
      </c>
      <c r="L30" s="29">
        <v>47.5</v>
      </c>
      <c r="M30" s="29">
        <v>20.25</v>
      </c>
      <c r="N30" s="29">
        <v>7.9</v>
      </c>
      <c r="O30" s="29">
        <v>7.5406032482598606</v>
      </c>
      <c r="P30" s="29">
        <v>1.4730000000000001</v>
      </c>
      <c r="Q30" s="29">
        <f t="shared" si="0"/>
        <v>5.1192146967140939</v>
      </c>
      <c r="R30" s="29">
        <v>375</v>
      </c>
      <c r="S30" s="5">
        <v>17.84</v>
      </c>
      <c r="U30" s="5">
        <f>100*(S30-S28)/R30</f>
        <v>0.9920000000000001</v>
      </c>
    </row>
    <row r="31" spans="1:21" x14ac:dyDescent="0.3">
      <c r="A31" s="81" t="s">
        <v>261</v>
      </c>
      <c r="B31" s="81" t="s">
        <v>262</v>
      </c>
      <c r="C31" s="81">
        <v>2005</v>
      </c>
      <c r="D31" s="107">
        <v>121.75</v>
      </c>
      <c r="E31" s="107">
        <v>30.87</v>
      </c>
      <c r="F31" s="34">
        <v>2002</v>
      </c>
      <c r="G31" s="34">
        <v>456</v>
      </c>
      <c r="H31" s="34">
        <v>672</v>
      </c>
      <c r="I31" s="34">
        <v>26.4</v>
      </c>
      <c r="J31" s="34">
        <v>1.38999999</v>
      </c>
      <c r="K31" s="34">
        <v>32.25</v>
      </c>
      <c r="L31" s="34">
        <v>47.5</v>
      </c>
      <c r="M31" s="34">
        <v>20.25</v>
      </c>
      <c r="N31" s="34">
        <v>7.9</v>
      </c>
      <c r="O31" s="34">
        <v>7.5406032482598606</v>
      </c>
      <c r="P31" s="34">
        <v>1.4730000000000001</v>
      </c>
      <c r="Q31" s="34">
        <f t="shared" si="0"/>
        <v>5.1192146967140939</v>
      </c>
      <c r="R31" s="34">
        <v>525</v>
      </c>
      <c r="S31" s="81">
        <v>21.6</v>
      </c>
      <c r="T31" s="81"/>
      <c r="U31" s="81">
        <f>100*(S31-S28)/R31</f>
        <v>1.4247619047619051</v>
      </c>
    </row>
    <row r="32" spans="1:21" x14ac:dyDescent="0.3">
      <c r="A32" s="5" t="s">
        <v>271</v>
      </c>
      <c r="B32" s="5" t="s">
        <v>272</v>
      </c>
      <c r="C32" s="5">
        <v>2011</v>
      </c>
      <c r="D32" s="106">
        <v>120.30545600000001</v>
      </c>
      <c r="E32" s="106">
        <v>31.570036999999999</v>
      </c>
      <c r="F32" s="29">
        <v>2009</v>
      </c>
      <c r="G32" s="29">
        <v>716.4</v>
      </c>
      <c r="H32" s="29">
        <v>776.4</v>
      </c>
      <c r="I32" s="29">
        <v>26.4</v>
      </c>
      <c r="J32" s="29">
        <v>1.3441666699999999</v>
      </c>
      <c r="K32" s="29">
        <v>37</v>
      </c>
      <c r="L32" s="29">
        <v>42</v>
      </c>
      <c r="M32" s="29">
        <v>21</v>
      </c>
      <c r="N32" s="29">
        <v>6</v>
      </c>
      <c r="O32" s="29">
        <v>20.678654292343388</v>
      </c>
      <c r="P32" s="29">
        <v>1.81</v>
      </c>
      <c r="Q32" s="29">
        <f t="shared" si="0"/>
        <v>11.424670879747728</v>
      </c>
      <c r="R32" s="29">
        <v>0</v>
      </c>
      <c r="S32" s="5">
        <v>3.6</v>
      </c>
      <c r="T32" s="5">
        <f>S32</f>
        <v>3.6</v>
      </c>
      <c r="U32" s="5">
        <v>0</v>
      </c>
    </row>
    <row r="33" spans="1:21" x14ac:dyDescent="0.3">
      <c r="A33" s="5" t="s">
        <v>271</v>
      </c>
      <c r="B33" s="5" t="s">
        <v>272</v>
      </c>
      <c r="C33" s="5">
        <v>2011</v>
      </c>
      <c r="D33" s="106">
        <v>120.30545600000001</v>
      </c>
      <c r="E33" s="106">
        <v>31.570036999999999</v>
      </c>
      <c r="F33" s="29">
        <v>2009</v>
      </c>
      <c r="G33" s="29">
        <v>716.4</v>
      </c>
      <c r="H33" s="29">
        <v>776.4</v>
      </c>
      <c r="I33" s="29">
        <v>26.4</v>
      </c>
      <c r="J33" s="29">
        <v>1.3441666699999999</v>
      </c>
      <c r="K33" s="29">
        <v>37</v>
      </c>
      <c r="L33" s="29">
        <v>42</v>
      </c>
      <c r="M33" s="29">
        <v>21</v>
      </c>
      <c r="N33" s="29">
        <v>6</v>
      </c>
      <c r="O33" s="29">
        <v>20.678654292343388</v>
      </c>
      <c r="P33" s="29">
        <v>1.81</v>
      </c>
      <c r="Q33" s="29">
        <f t="shared" si="0"/>
        <v>11.424670879747728</v>
      </c>
      <c r="R33" s="29">
        <v>270</v>
      </c>
      <c r="S33" s="5">
        <v>6.7</v>
      </c>
      <c r="U33" s="5">
        <f>100*(S33-S32)/R33</f>
        <v>1.1481481481481481</v>
      </c>
    </row>
    <row r="34" spans="1:21" x14ac:dyDescent="0.3">
      <c r="A34" s="5" t="s">
        <v>271</v>
      </c>
      <c r="B34" s="5" t="s">
        <v>272</v>
      </c>
      <c r="C34" s="5">
        <v>2011</v>
      </c>
      <c r="D34" s="106">
        <v>120.30545600000001</v>
      </c>
      <c r="E34" s="106">
        <v>31.570036999999999</v>
      </c>
      <c r="F34" s="29">
        <v>2009</v>
      </c>
      <c r="G34" s="29">
        <v>716.4</v>
      </c>
      <c r="H34" s="29">
        <v>776.4</v>
      </c>
      <c r="I34" s="29">
        <v>26.4</v>
      </c>
      <c r="J34" s="29">
        <v>1.3441666699999999</v>
      </c>
      <c r="K34" s="29">
        <v>37</v>
      </c>
      <c r="L34" s="29">
        <v>42</v>
      </c>
      <c r="M34" s="29">
        <v>21</v>
      </c>
      <c r="N34" s="29">
        <v>6</v>
      </c>
      <c r="O34" s="29">
        <v>20.678654292343388</v>
      </c>
      <c r="P34" s="29">
        <v>1.81</v>
      </c>
      <c r="Q34" s="29">
        <f t="shared" si="0"/>
        <v>11.424670879747728</v>
      </c>
      <c r="R34" s="29">
        <v>210</v>
      </c>
      <c r="S34" s="5">
        <v>4.5</v>
      </c>
      <c r="U34" s="5">
        <f>100*(S34-S32)/R34</f>
        <v>0.42857142857142849</v>
      </c>
    </row>
    <row r="35" spans="1:21" x14ac:dyDescent="0.3">
      <c r="A35" s="5" t="s">
        <v>271</v>
      </c>
      <c r="B35" s="5" t="s">
        <v>272</v>
      </c>
      <c r="C35" s="5">
        <v>2011</v>
      </c>
      <c r="D35" s="106">
        <v>120.30545600000001</v>
      </c>
      <c r="E35" s="106">
        <v>31.570036999999999</v>
      </c>
      <c r="F35" s="29">
        <v>2009</v>
      </c>
      <c r="G35" s="29">
        <v>716.4</v>
      </c>
      <c r="H35" s="29">
        <v>776.4</v>
      </c>
      <c r="I35" s="29">
        <v>26.4</v>
      </c>
      <c r="J35" s="29">
        <v>1.3441666699999999</v>
      </c>
      <c r="K35" s="29">
        <v>37</v>
      </c>
      <c r="L35" s="29">
        <v>42</v>
      </c>
      <c r="M35" s="29">
        <v>21</v>
      </c>
      <c r="N35" s="29">
        <v>6</v>
      </c>
      <c r="O35" s="29">
        <v>20.678654292343388</v>
      </c>
      <c r="P35" s="29">
        <v>1.81</v>
      </c>
      <c r="Q35" s="29">
        <f t="shared" si="0"/>
        <v>11.424670879747728</v>
      </c>
      <c r="R35" s="29">
        <v>153</v>
      </c>
      <c r="S35" s="5">
        <v>6.1</v>
      </c>
      <c r="U35" s="5">
        <f>100*(S35-S32)/R35</f>
        <v>1.6339869281045747</v>
      </c>
    </row>
    <row r="36" spans="1:21" x14ac:dyDescent="0.3">
      <c r="A36" s="81" t="s">
        <v>271</v>
      </c>
      <c r="B36" s="81" t="s">
        <v>272</v>
      </c>
      <c r="C36" s="81">
        <v>2011</v>
      </c>
      <c r="D36" s="107">
        <v>120.30545600000001</v>
      </c>
      <c r="E36" s="107">
        <v>31.570036999999999</v>
      </c>
      <c r="F36" s="34">
        <v>2009</v>
      </c>
      <c r="G36" s="34">
        <v>716.4</v>
      </c>
      <c r="H36" s="34">
        <v>776.4</v>
      </c>
      <c r="I36" s="34">
        <v>26.4</v>
      </c>
      <c r="J36" s="34">
        <v>1.3441666699999999</v>
      </c>
      <c r="K36" s="29">
        <v>37</v>
      </c>
      <c r="L36" s="29">
        <v>42</v>
      </c>
      <c r="M36" s="29">
        <v>21</v>
      </c>
      <c r="N36" s="34">
        <v>6</v>
      </c>
      <c r="O36" s="34">
        <v>20.678654292343388</v>
      </c>
      <c r="P36" s="34">
        <v>1.81</v>
      </c>
      <c r="Q36" s="34">
        <f t="shared" si="0"/>
        <v>11.424670879747728</v>
      </c>
      <c r="R36" s="34">
        <v>210</v>
      </c>
      <c r="S36" s="81">
        <v>5.6</v>
      </c>
      <c r="T36" s="81"/>
      <c r="U36" s="81">
        <f>100*(S36-S32)/R36</f>
        <v>0.95238095238095211</v>
      </c>
    </row>
    <row r="37" spans="1:21" x14ac:dyDescent="0.3">
      <c r="A37" s="5" t="s">
        <v>170</v>
      </c>
      <c r="B37" s="5" t="s">
        <v>171</v>
      </c>
      <c r="C37" s="5">
        <v>2015</v>
      </c>
      <c r="D37" s="106">
        <v>121.13</v>
      </c>
      <c r="E37" s="106">
        <v>31.2</v>
      </c>
      <c r="F37" s="29">
        <v>2012</v>
      </c>
      <c r="G37" s="29">
        <v>576</v>
      </c>
      <c r="H37" s="29">
        <v>516</v>
      </c>
      <c r="I37" s="29">
        <v>26.1</v>
      </c>
      <c r="J37" s="29">
        <v>1.3638461500000001</v>
      </c>
      <c r="K37" s="29">
        <v>30.46153846</v>
      </c>
      <c r="L37" s="29">
        <v>44.53846154</v>
      </c>
      <c r="M37" s="29">
        <v>25</v>
      </c>
      <c r="N37" s="29">
        <v>7.06</v>
      </c>
      <c r="O37" s="29">
        <v>16.281902552204176</v>
      </c>
      <c r="P37" s="29">
        <v>1.2</v>
      </c>
      <c r="Q37" s="29">
        <f t="shared" si="0"/>
        <v>13.568252126836814</v>
      </c>
      <c r="R37" s="29">
        <v>0</v>
      </c>
      <c r="S37" s="5">
        <v>1.79</v>
      </c>
      <c r="T37" s="5">
        <f>AVERAGE(S37,S39)</f>
        <v>2.42</v>
      </c>
      <c r="U37" s="5">
        <v>0</v>
      </c>
    </row>
    <row r="38" spans="1:21" x14ac:dyDescent="0.3">
      <c r="A38" s="5" t="s">
        <v>170</v>
      </c>
      <c r="B38" s="5" t="s">
        <v>171</v>
      </c>
      <c r="C38" s="5">
        <v>2015</v>
      </c>
      <c r="D38" s="106">
        <v>121.13</v>
      </c>
      <c r="E38" s="106">
        <v>31.2</v>
      </c>
      <c r="F38" s="29">
        <v>2012</v>
      </c>
      <c r="G38" s="29">
        <v>576</v>
      </c>
      <c r="H38" s="29">
        <v>516</v>
      </c>
      <c r="I38" s="29">
        <v>26.1</v>
      </c>
      <c r="J38" s="29">
        <v>1.3638461500000001</v>
      </c>
      <c r="K38" s="29">
        <v>30.46153846</v>
      </c>
      <c r="L38" s="29">
        <v>44.53846154</v>
      </c>
      <c r="M38" s="29">
        <v>25</v>
      </c>
      <c r="N38" s="29">
        <v>7.18</v>
      </c>
      <c r="O38" s="29">
        <v>14.802784222737818</v>
      </c>
      <c r="P38" s="29">
        <v>1.1499999999999999</v>
      </c>
      <c r="Q38" s="29">
        <f t="shared" si="0"/>
        <v>12.871986280641583</v>
      </c>
      <c r="R38" s="29">
        <v>300</v>
      </c>
      <c r="S38" s="5">
        <v>13.74</v>
      </c>
      <c r="U38" s="5">
        <f>100*(S38-S37)/R38</f>
        <v>3.9833333333333334</v>
      </c>
    </row>
    <row r="39" spans="1:21" x14ac:dyDescent="0.3">
      <c r="A39" s="5" t="s">
        <v>170</v>
      </c>
      <c r="B39" s="5" t="s">
        <v>171</v>
      </c>
      <c r="C39" s="5">
        <v>2015</v>
      </c>
      <c r="D39" s="106">
        <v>121.13</v>
      </c>
      <c r="E39" s="106">
        <v>31.2</v>
      </c>
      <c r="F39" s="29">
        <v>2013</v>
      </c>
      <c r="G39" s="29">
        <v>576</v>
      </c>
      <c r="H39" s="29">
        <v>516</v>
      </c>
      <c r="I39" s="29">
        <v>26.1</v>
      </c>
      <c r="J39" s="29">
        <v>1.3638461500000001</v>
      </c>
      <c r="K39" s="29">
        <v>30.46153846</v>
      </c>
      <c r="L39" s="29">
        <v>44.53846154</v>
      </c>
      <c r="M39" s="29">
        <v>25</v>
      </c>
      <c r="N39" s="29">
        <v>7.06</v>
      </c>
      <c r="O39" s="29">
        <v>16.281902552204176</v>
      </c>
      <c r="P39" s="29">
        <v>1.2</v>
      </c>
      <c r="Q39" s="29">
        <f t="shared" si="0"/>
        <v>13.568252126836814</v>
      </c>
      <c r="R39" s="29">
        <v>0</v>
      </c>
      <c r="S39" s="5">
        <v>3.05</v>
      </c>
      <c r="U39" s="5">
        <v>0</v>
      </c>
    </row>
    <row r="40" spans="1:21" x14ac:dyDescent="0.3">
      <c r="A40" s="81" t="s">
        <v>170</v>
      </c>
      <c r="B40" s="81" t="s">
        <v>171</v>
      </c>
      <c r="C40" s="81">
        <v>2015</v>
      </c>
      <c r="D40" s="107">
        <v>121.13</v>
      </c>
      <c r="E40" s="107">
        <v>31.2</v>
      </c>
      <c r="F40" s="34">
        <v>2013</v>
      </c>
      <c r="G40" s="34">
        <v>576</v>
      </c>
      <c r="H40" s="34">
        <v>516</v>
      </c>
      <c r="I40" s="34">
        <v>26.1</v>
      </c>
      <c r="J40" s="34">
        <v>1.3638461500000001</v>
      </c>
      <c r="K40" s="34">
        <v>30.46153846</v>
      </c>
      <c r="L40" s="34">
        <v>44.53846154</v>
      </c>
      <c r="M40" s="34">
        <v>25</v>
      </c>
      <c r="N40" s="34">
        <v>7.18</v>
      </c>
      <c r="O40" s="34">
        <v>14.802784222737818</v>
      </c>
      <c r="P40" s="34">
        <v>1.1499999999999999</v>
      </c>
      <c r="Q40" s="34">
        <f t="shared" si="0"/>
        <v>12.871986280641583</v>
      </c>
      <c r="R40" s="34">
        <v>300</v>
      </c>
      <c r="S40" s="81">
        <v>14.73</v>
      </c>
      <c r="T40" s="81"/>
      <c r="U40" s="81">
        <f>100*(S40-S39)/R40</f>
        <v>3.8933333333333335</v>
      </c>
    </row>
    <row r="41" spans="1:21" x14ac:dyDescent="0.3">
      <c r="A41" s="5" t="s">
        <v>353</v>
      </c>
      <c r="B41" s="5" t="s">
        <v>354</v>
      </c>
      <c r="C41" s="5">
        <v>2008</v>
      </c>
      <c r="D41" s="106">
        <v>120.7</v>
      </c>
      <c r="E41" s="106">
        <v>31.55</v>
      </c>
      <c r="F41" s="29">
        <v>2006</v>
      </c>
      <c r="G41" s="29">
        <v>528</v>
      </c>
      <c r="H41" s="29">
        <v>804</v>
      </c>
      <c r="I41" s="29">
        <v>26.7</v>
      </c>
      <c r="J41" s="29">
        <v>1.52</v>
      </c>
      <c r="K41" s="29">
        <v>68</v>
      </c>
      <c r="L41" s="29">
        <v>20</v>
      </c>
      <c r="M41" s="29">
        <v>12</v>
      </c>
      <c r="N41" s="29">
        <v>7.36</v>
      </c>
      <c r="O41" s="29">
        <v>20.301624129930396</v>
      </c>
      <c r="P41" s="29">
        <v>2.09</v>
      </c>
      <c r="Q41" s="29">
        <f t="shared" si="0"/>
        <v>9.7136957559475583</v>
      </c>
      <c r="R41" s="29">
        <v>0</v>
      </c>
      <c r="S41" s="5">
        <v>2.5</v>
      </c>
      <c r="T41" s="5">
        <f>S41</f>
        <v>2.5</v>
      </c>
      <c r="U41" s="5">
        <v>0</v>
      </c>
    </row>
    <row r="42" spans="1:21" x14ac:dyDescent="0.3">
      <c r="A42" s="5" t="s">
        <v>353</v>
      </c>
      <c r="B42" s="5" t="s">
        <v>354</v>
      </c>
      <c r="C42" s="5">
        <v>2008</v>
      </c>
      <c r="D42" s="106">
        <v>120.7</v>
      </c>
      <c r="E42" s="106">
        <v>31.55</v>
      </c>
      <c r="F42" s="29">
        <v>2006</v>
      </c>
      <c r="G42" s="29">
        <v>528</v>
      </c>
      <c r="H42" s="29">
        <v>804</v>
      </c>
      <c r="I42" s="29">
        <v>26.7</v>
      </c>
      <c r="J42" s="29">
        <v>1.52</v>
      </c>
      <c r="K42" s="29">
        <v>68</v>
      </c>
      <c r="L42" s="29">
        <v>20</v>
      </c>
      <c r="M42" s="29">
        <v>12</v>
      </c>
      <c r="N42" s="29">
        <v>7.36</v>
      </c>
      <c r="O42" s="29">
        <v>20.301624129930396</v>
      </c>
      <c r="P42" s="29">
        <v>2.09</v>
      </c>
      <c r="Q42" s="29">
        <f t="shared" si="0"/>
        <v>9.7136957559475583</v>
      </c>
      <c r="R42" s="29">
        <v>180</v>
      </c>
      <c r="S42" s="5">
        <v>4.3</v>
      </c>
      <c r="U42" s="5">
        <f>100*(S42-S41)/R42</f>
        <v>0.99999999999999989</v>
      </c>
    </row>
    <row r="43" spans="1:21" x14ac:dyDescent="0.3">
      <c r="A43" s="5" t="s">
        <v>353</v>
      </c>
      <c r="B43" s="5" t="s">
        <v>354</v>
      </c>
      <c r="C43" s="5">
        <v>2008</v>
      </c>
      <c r="D43" s="106">
        <v>120.7</v>
      </c>
      <c r="E43" s="106">
        <v>31.55</v>
      </c>
      <c r="F43" s="29">
        <v>2006</v>
      </c>
      <c r="G43" s="29">
        <v>528</v>
      </c>
      <c r="H43" s="29">
        <v>804</v>
      </c>
      <c r="I43" s="29">
        <v>26.7</v>
      </c>
      <c r="J43" s="29">
        <v>1.52</v>
      </c>
      <c r="K43" s="29">
        <v>68</v>
      </c>
      <c r="L43" s="29">
        <v>20</v>
      </c>
      <c r="M43" s="29">
        <v>12</v>
      </c>
      <c r="N43" s="29">
        <v>7.36</v>
      </c>
      <c r="O43" s="29">
        <v>20.301624129930396</v>
      </c>
      <c r="P43" s="29">
        <v>2.09</v>
      </c>
      <c r="Q43" s="29">
        <f t="shared" si="0"/>
        <v>9.7136957559475583</v>
      </c>
      <c r="R43" s="29">
        <v>270</v>
      </c>
      <c r="S43" s="5">
        <v>4.2</v>
      </c>
      <c r="U43" s="5">
        <f>100*(S43-S41)/R43</f>
        <v>0.62962962962962976</v>
      </c>
    </row>
    <row r="44" spans="1:21" x14ac:dyDescent="0.3">
      <c r="A44" s="81" t="s">
        <v>353</v>
      </c>
      <c r="B44" s="81" t="s">
        <v>354</v>
      </c>
      <c r="C44" s="81">
        <v>2008</v>
      </c>
      <c r="D44" s="107">
        <v>120.7</v>
      </c>
      <c r="E44" s="107">
        <v>31.55</v>
      </c>
      <c r="F44" s="34">
        <v>2006</v>
      </c>
      <c r="G44" s="34">
        <v>528</v>
      </c>
      <c r="H44" s="34">
        <v>804</v>
      </c>
      <c r="I44" s="34">
        <v>26.7</v>
      </c>
      <c r="J44" s="34">
        <v>1.52</v>
      </c>
      <c r="K44" s="29">
        <v>68</v>
      </c>
      <c r="L44" s="29">
        <v>20</v>
      </c>
      <c r="M44" s="29">
        <v>12</v>
      </c>
      <c r="N44" s="34">
        <v>7.36</v>
      </c>
      <c r="O44" s="34">
        <v>20.301624129930396</v>
      </c>
      <c r="P44" s="34">
        <v>2.09</v>
      </c>
      <c r="Q44" s="34">
        <f t="shared" si="0"/>
        <v>9.7136957559475583</v>
      </c>
      <c r="R44" s="34">
        <v>360</v>
      </c>
      <c r="S44" s="81">
        <v>5.8</v>
      </c>
      <c r="T44" s="81"/>
      <c r="U44" s="81">
        <f>100*(S44-S41)/R44</f>
        <v>0.91666666666666663</v>
      </c>
    </row>
    <row r="45" spans="1:21" x14ac:dyDescent="0.3">
      <c r="A45" s="5" t="s">
        <v>355</v>
      </c>
      <c r="B45" s="5" t="s">
        <v>356</v>
      </c>
      <c r="C45" s="5">
        <v>1998</v>
      </c>
      <c r="D45" s="106">
        <v>119.943432</v>
      </c>
      <c r="E45" s="106">
        <v>31.672903000000002</v>
      </c>
      <c r="F45" s="29">
        <v>1996</v>
      </c>
      <c r="G45" s="29">
        <v>475.2</v>
      </c>
      <c r="H45" s="29">
        <v>778.80000000000007</v>
      </c>
      <c r="I45" s="29">
        <v>26.8</v>
      </c>
      <c r="J45" s="29">
        <v>1.4662500000000001</v>
      </c>
      <c r="K45" s="29">
        <v>45.3125</v>
      </c>
      <c r="L45" s="29">
        <v>37.25</v>
      </c>
      <c r="M45" s="29">
        <v>17.4375</v>
      </c>
      <c r="N45" s="29">
        <v>6.3</v>
      </c>
      <c r="O45" s="29">
        <v>15.893271461716937</v>
      </c>
      <c r="P45" s="29">
        <v>1.72</v>
      </c>
      <c r="Q45" s="29">
        <f t="shared" si="0"/>
        <v>9.240274105649382</v>
      </c>
      <c r="R45" s="29">
        <v>0</v>
      </c>
      <c r="S45" s="5">
        <v>1.71</v>
      </c>
      <c r="T45" s="5">
        <f>S45</f>
        <v>1.71</v>
      </c>
      <c r="U45" s="5">
        <v>0</v>
      </c>
    </row>
    <row r="46" spans="1:21" x14ac:dyDescent="0.3">
      <c r="A46" s="5" t="s">
        <v>355</v>
      </c>
      <c r="B46" s="5" t="s">
        <v>356</v>
      </c>
      <c r="C46" s="5">
        <v>1998</v>
      </c>
      <c r="D46" s="106">
        <v>119.943432</v>
      </c>
      <c r="E46" s="106">
        <v>31.672903000000002</v>
      </c>
      <c r="F46" s="29">
        <v>1996</v>
      </c>
      <c r="G46" s="29">
        <v>475.2</v>
      </c>
      <c r="H46" s="29">
        <v>778.80000000000007</v>
      </c>
      <c r="I46" s="29">
        <v>26.8</v>
      </c>
      <c r="J46" s="29">
        <v>1.4662500000000001</v>
      </c>
      <c r="K46" s="29">
        <v>45.3125</v>
      </c>
      <c r="L46" s="29">
        <v>37.25</v>
      </c>
      <c r="M46" s="29">
        <v>17.4375</v>
      </c>
      <c r="N46" s="29">
        <v>6.3</v>
      </c>
      <c r="O46" s="29">
        <v>15.893271461716937</v>
      </c>
      <c r="P46" s="29">
        <v>1.72</v>
      </c>
      <c r="Q46" s="29">
        <f t="shared" si="0"/>
        <v>9.240274105649382</v>
      </c>
      <c r="R46" s="29">
        <v>150</v>
      </c>
      <c r="S46" s="5">
        <v>3.47</v>
      </c>
      <c r="U46" s="5">
        <f>100*(S46-S45)/R46</f>
        <v>1.1733333333333336</v>
      </c>
    </row>
    <row r="47" spans="1:21" x14ac:dyDescent="0.3">
      <c r="A47" s="5" t="s">
        <v>355</v>
      </c>
      <c r="B47" s="5" t="s">
        <v>356</v>
      </c>
      <c r="C47" s="5">
        <v>1998</v>
      </c>
      <c r="D47" s="106">
        <v>119.943432</v>
      </c>
      <c r="E47" s="106">
        <v>31.672903000000002</v>
      </c>
      <c r="F47" s="29">
        <v>1996</v>
      </c>
      <c r="G47" s="29">
        <v>475.2</v>
      </c>
      <c r="H47" s="29">
        <v>778.80000000000007</v>
      </c>
      <c r="I47" s="29">
        <v>26.8</v>
      </c>
      <c r="J47" s="29">
        <v>1.4662500000000001</v>
      </c>
      <c r="K47" s="29">
        <v>45.3125</v>
      </c>
      <c r="L47" s="29">
        <v>37.25</v>
      </c>
      <c r="M47" s="29">
        <v>17.4375</v>
      </c>
      <c r="N47" s="29">
        <v>6.3</v>
      </c>
      <c r="O47" s="29">
        <v>15.893271461716937</v>
      </c>
      <c r="P47" s="29">
        <v>1.72</v>
      </c>
      <c r="Q47" s="29">
        <f t="shared" si="0"/>
        <v>9.240274105649382</v>
      </c>
      <c r="R47" s="29">
        <v>250</v>
      </c>
      <c r="S47" s="5">
        <v>5.45</v>
      </c>
      <c r="U47" s="5">
        <f>100*(S47-S45)/R47</f>
        <v>1.496</v>
      </c>
    </row>
    <row r="48" spans="1:21" x14ac:dyDescent="0.3">
      <c r="A48" s="81" t="s">
        <v>355</v>
      </c>
      <c r="B48" s="81" t="s">
        <v>356</v>
      </c>
      <c r="C48" s="81">
        <v>1998</v>
      </c>
      <c r="D48" s="107">
        <v>119.943432</v>
      </c>
      <c r="E48" s="107">
        <v>31.672903000000002</v>
      </c>
      <c r="F48" s="34">
        <v>1996</v>
      </c>
      <c r="G48" s="34">
        <v>475.2</v>
      </c>
      <c r="H48" s="34">
        <v>778.80000000000007</v>
      </c>
      <c r="I48" s="34">
        <v>26.8</v>
      </c>
      <c r="J48" s="34">
        <v>1.4662500000000001</v>
      </c>
      <c r="K48" s="34">
        <v>45.3125</v>
      </c>
      <c r="L48" s="34">
        <v>37.25</v>
      </c>
      <c r="M48" s="34">
        <v>17.4375</v>
      </c>
      <c r="N48" s="34">
        <v>6.3</v>
      </c>
      <c r="O48" s="34">
        <v>15.893271461716937</v>
      </c>
      <c r="P48" s="34">
        <v>1.72</v>
      </c>
      <c r="Q48" s="34">
        <f t="shared" si="0"/>
        <v>9.240274105649382</v>
      </c>
      <c r="R48" s="34">
        <v>350</v>
      </c>
      <c r="S48" s="81">
        <v>8.81</v>
      </c>
      <c r="T48" s="81"/>
      <c r="U48" s="81">
        <f>100*(S48-S45)/R48</f>
        <v>2.0285714285714285</v>
      </c>
    </row>
    <row r="49" spans="1:21" x14ac:dyDescent="0.3">
      <c r="A49" s="5" t="s">
        <v>357</v>
      </c>
      <c r="B49" s="5" t="s">
        <v>358</v>
      </c>
      <c r="C49" s="5">
        <v>2007</v>
      </c>
      <c r="D49" s="106">
        <v>121.53</v>
      </c>
      <c r="E49" s="106">
        <v>31.38</v>
      </c>
      <c r="F49" s="29">
        <v>2004</v>
      </c>
      <c r="G49" s="29">
        <v>452.4</v>
      </c>
      <c r="H49" s="29">
        <v>674.4</v>
      </c>
      <c r="I49" s="29">
        <v>26.3</v>
      </c>
      <c r="J49" s="29">
        <v>1.3638461500000001</v>
      </c>
      <c r="K49" s="29">
        <v>30.46153846</v>
      </c>
      <c r="L49" s="29">
        <v>44.53846154</v>
      </c>
      <c r="M49" s="29">
        <v>25</v>
      </c>
      <c r="N49" s="29">
        <v>7</v>
      </c>
      <c r="O49" s="29">
        <v>13.248259860788863</v>
      </c>
      <c r="P49" s="29">
        <v>1.38</v>
      </c>
      <c r="Q49" s="29">
        <f t="shared" si="0"/>
        <v>9.6001883049194667</v>
      </c>
      <c r="R49" s="29">
        <v>0</v>
      </c>
      <c r="S49" s="5">
        <v>4.54</v>
      </c>
      <c r="T49" s="5">
        <f>S49</f>
        <v>4.54</v>
      </c>
      <c r="U49" s="5">
        <v>0</v>
      </c>
    </row>
    <row r="50" spans="1:21" x14ac:dyDescent="0.3">
      <c r="A50" s="81" t="s">
        <v>357</v>
      </c>
      <c r="B50" s="81" t="s">
        <v>358</v>
      </c>
      <c r="C50" s="81">
        <v>2007</v>
      </c>
      <c r="D50" s="107">
        <v>121.53</v>
      </c>
      <c r="E50" s="107">
        <v>31.38</v>
      </c>
      <c r="F50" s="34">
        <v>2004</v>
      </c>
      <c r="G50" s="34">
        <v>452.4</v>
      </c>
      <c r="H50" s="34">
        <v>674.4</v>
      </c>
      <c r="I50" s="34">
        <v>26.3</v>
      </c>
      <c r="J50" s="34">
        <v>1.3638461500000001</v>
      </c>
      <c r="K50" s="34">
        <v>30.46153846</v>
      </c>
      <c r="L50" s="34">
        <v>44.53846154</v>
      </c>
      <c r="M50" s="34">
        <v>25</v>
      </c>
      <c r="N50" s="34">
        <v>7</v>
      </c>
      <c r="O50" s="34">
        <v>13.248259860788863</v>
      </c>
      <c r="P50" s="34">
        <v>1.38</v>
      </c>
      <c r="Q50" s="34">
        <f t="shared" si="0"/>
        <v>9.6001883049194667</v>
      </c>
      <c r="R50" s="34">
        <v>250</v>
      </c>
      <c r="S50" s="81">
        <v>6.08</v>
      </c>
      <c r="T50" s="81"/>
      <c r="U50" s="81">
        <f>100*(S50-S49)/R50</f>
        <v>0.61599999999999999</v>
      </c>
    </row>
    <row r="51" spans="1:21" x14ac:dyDescent="0.3">
      <c r="A51" s="5" t="s">
        <v>359</v>
      </c>
      <c r="B51" s="5" t="s">
        <v>360</v>
      </c>
      <c r="C51" s="5">
        <v>2006</v>
      </c>
      <c r="D51" s="106">
        <v>121.53</v>
      </c>
      <c r="E51" s="106">
        <v>31.38</v>
      </c>
      <c r="F51" s="29">
        <v>2004</v>
      </c>
      <c r="G51" s="29">
        <v>452.4</v>
      </c>
      <c r="H51" s="29">
        <v>674.4</v>
      </c>
      <c r="I51" s="29">
        <v>26.3</v>
      </c>
      <c r="J51" s="29">
        <v>1.3638461500000001</v>
      </c>
      <c r="K51" s="29">
        <v>30.46153846</v>
      </c>
      <c r="L51" s="29">
        <v>44.53846154</v>
      </c>
      <c r="M51" s="29">
        <v>25</v>
      </c>
      <c r="N51" s="29">
        <v>7.4</v>
      </c>
      <c r="O51" s="29">
        <v>13.248259860788863</v>
      </c>
      <c r="P51" s="29">
        <v>1.4730000000000001</v>
      </c>
      <c r="Q51" s="29">
        <f t="shared" si="0"/>
        <v>8.9940664363807628</v>
      </c>
      <c r="R51" s="29">
        <v>0</v>
      </c>
      <c r="S51" s="5">
        <v>4.72</v>
      </c>
      <c r="T51" s="5">
        <f>AVERAGE(S51,S54)</f>
        <v>3.58</v>
      </c>
      <c r="U51" s="5">
        <v>0</v>
      </c>
    </row>
    <row r="52" spans="1:21" x14ac:dyDescent="0.3">
      <c r="A52" s="5" t="s">
        <v>359</v>
      </c>
      <c r="B52" s="5" t="s">
        <v>360</v>
      </c>
      <c r="C52" s="5">
        <v>2006</v>
      </c>
      <c r="D52" s="106">
        <v>121.53</v>
      </c>
      <c r="E52" s="106">
        <v>31.38</v>
      </c>
      <c r="F52" s="29">
        <v>2004</v>
      </c>
      <c r="G52" s="29">
        <v>452.4</v>
      </c>
      <c r="H52" s="29">
        <v>674.4</v>
      </c>
      <c r="I52" s="29">
        <v>26.3</v>
      </c>
      <c r="J52" s="29">
        <v>1.3638461500000001</v>
      </c>
      <c r="K52" s="29">
        <v>30.46153846</v>
      </c>
      <c r="L52" s="29">
        <v>44.53846154</v>
      </c>
      <c r="M52" s="29">
        <v>25</v>
      </c>
      <c r="N52" s="29">
        <v>7.4</v>
      </c>
      <c r="O52" s="29">
        <v>13.248259860788863</v>
      </c>
      <c r="P52" s="29">
        <v>1.4730000000000001</v>
      </c>
      <c r="Q52" s="29">
        <f t="shared" si="0"/>
        <v>8.9940664363807628</v>
      </c>
      <c r="R52" s="29">
        <v>250</v>
      </c>
      <c r="S52" s="5">
        <v>6.44</v>
      </c>
      <c r="U52" s="5">
        <f>100*(S52-S51)/R52</f>
        <v>0.68800000000000028</v>
      </c>
    </row>
    <row r="53" spans="1:21" x14ac:dyDescent="0.3">
      <c r="A53" s="5" t="s">
        <v>359</v>
      </c>
      <c r="B53" s="5" t="s">
        <v>360</v>
      </c>
      <c r="C53" s="5">
        <v>2006</v>
      </c>
      <c r="D53" s="106">
        <v>121.53</v>
      </c>
      <c r="E53" s="106">
        <v>31.38</v>
      </c>
      <c r="F53" s="29">
        <v>2004</v>
      </c>
      <c r="G53" s="29">
        <v>452.4</v>
      </c>
      <c r="H53" s="29">
        <v>674.4</v>
      </c>
      <c r="I53" s="29">
        <v>26.3</v>
      </c>
      <c r="J53" s="29">
        <v>1.3638461500000001</v>
      </c>
      <c r="K53" s="29">
        <v>30.46153846</v>
      </c>
      <c r="L53" s="29">
        <v>44.53846154</v>
      </c>
      <c r="M53" s="29">
        <v>25</v>
      </c>
      <c r="N53" s="29">
        <v>7.4</v>
      </c>
      <c r="O53" s="29">
        <v>13.248259860788863</v>
      </c>
      <c r="P53" s="29">
        <v>1.4730000000000001</v>
      </c>
      <c r="Q53" s="29">
        <f t="shared" si="0"/>
        <v>8.9940664363807628</v>
      </c>
      <c r="R53" s="29">
        <v>232</v>
      </c>
      <c r="S53" s="5">
        <v>5</v>
      </c>
      <c r="U53" s="5">
        <f>100*(S53-S51)/R53</f>
        <v>0.1206896551724139</v>
      </c>
    </row>
    <row r="54" spans="1:21" x14ac:dyDescent="0.3">
      <c r="A54" s="5" t="s">
        <v>359</v>
      </c>
      <c r="B54" s="5" t="s">
        <v>360</v>
      </c>
      <c r="C54" s="5">
        <v>2006</v>
      </c>
      <c r="D54" s="106">
        <v>121.53</v>
      </c>
      <c r="E54" s="106">
        <v>31.38</v>
      </c>
      <c r="F54" s="29">
        <v>2005</v>
      </c>
      <c r="G54" s="29">
        <v>452.4</v>
      </c>
      <c r="H54" s="29">
        <v>674.4</v>
      </c>
      <c r="I54" s="29">
        <v>26.3</v>
      </c>
      <c r="J54" s="29">
        <v>1.3638461500000001</v>
      </c>
      <c r="K54" s="29">
        <v>30.46153846</v>
      </c>
      <c r="L54" s="29">
        <v>44.53846154</v>
      </c>
      <c r="M54" s="29">
        <v>25</v>
      </c>
      <c r="N54" s="29">
        <v>7.4</v>
      </c>
      <c r="O54" s="29">
        <v>13.248259860788863</v>
      </c>
      <c r="P54" s="29">
        <v>1.4730000000000001</v>
      </c>
      <c r="Q54" s="29">
        <f t="shared" si="0"/>
        <v>8.9940664363807628</v>
      </c>
      <c r="R54" s="29">
        <v>0</v>
      </c>
      <c r="S54" s="5">
        <v>2.44</v>
      </c>
      <c r="U54" s="5">
        <v>0</v>
      </c>
    </row>
    <row r="55" spans="1:21" x14ac:dyDescent="0.3">
      <c r="A55" s="5" t="s">
        <v>359</v>
      </c>
      <c r="B55" s="5" t="s">
        <v>360</v>
      </c>
      <c r="C55" s="5">
        <v>2006</v>
      </c>
      <c r="D55" s="106">
        <v>121.53</v>
      </c>
      <c r="E55" s="106">
        <v>31.38</v>
      </c>
      <c r="F55" s="29">
        <v>2005</v>
      </c>
      <c r="G55" s="29">
        <v>452.4</v>
      </c>
      <c r="H55" s="29">
        <v>674.4</v>
      </c>
      <c r="I55" s="29">
        <v>26.3</v>
      </c>
      <c r="J55" s="29">
        <v>1.3638461500000001</v>
      </c>
      <c r="K55" s="29">
        <v>30.46153846</v>
      </c>
      <c r="L55" s="29">
        <v>44.53846154</v>
      </c>
      <c r="M55" s="29">
        <v>25</v>
      </c>
      <c r="N55" s="29">
        <v>7.4</v>
      </c>
      <c r="O55" s="29">
        <v>13.248259860788863</v>
      </c>
      <c r="P55" s="29">
        <v>1.4730000000000001</v>
      </c>
      <c r="Q55" s="29">
        <f t="shared" si="0"/>
        <v>8.9940664363807628</v>
      </c>
      <c r="R55" s="29">
        <v>275</v>
      </c>
      <c r="S55" s="5">
        <v>2.84</v>
      </c>
      <c r="U55" s="5">
        <f>100*(S55-S54)/R55</f>
        <v>0.14545454545454542</v>
      </c>
    </row>
    <row r="56" spans="1:21" x14ac:dyDescent="0.3">
      <c r="A56" s="81" t="s">
        <v>359</v>
      </c>
      <c r="B56" s="81" t="s">
        <v>360</v>
      </c>
      <c r="C56" s="81">
        <v>2006</v>
      </c>
      <c r="D56" s="107">
        <v>121.53</v>
      </c>
      <c r="E56" s="107">
        <v>31.38</v>
      </c>
      <c r="F56" s="34">
        <v>2005</v>
      </c>
      <c r="G56" s="34">
        <v>452.4</v>
      </c>
      <c r="H56" s="34">
        <v>674.4</v>
      </c>
      <c r="I56" s="34">
        <v>26.3</v>
      </c>
      <c r="J56" s="34">
        <v>1.3638461500000001</v>
      </c>
      <c r="K56" s="34">
        <v>30.46153846</v>
      </c>
      <c r="L56" s="34">
        <v>44.53846154</v>
      </c>
      <c r="M56" s="34">
        <v>25</v>
      </c>
      <c r="N56" s="34">
        <v>7.4</v>
      </c>
      <c r="O56" s="34">
        <v>13.248259860788863</v>
      </c>
      <c r="P56" s="34">
        <v>1.4730000000000001</v>
      </c>
      <c r="Q56" s="34">
        <f t="shared" si="0"/>
        <v>8.9940664363807628</v>
      </c>
      <c r="R56" s="34">
        <v>234</v>
      </c>
      <c r="S56" s="81">
        <v>2.75</v>
      </c>
      <c r="T56" s="81"/>
      <c r="U56" s="81">
        <f>100*(S56-S54)/R56</f>
        <v>0.13247863247863251</v>
      </c>
    </row>
    <row r="57" spans="1:21" x14ac:dyDescent="0.3">
      <c r="A57" s="5" t="s">
        <v>346</v>
      </c>
      <c r="B57" s="5" t="s">
        <v>361</v>
      </c>
      <c r="C57" s="5">
        <v>2004</v>
      </c>
      <c r="D57" s="106">
        <v>120.831486</v>
      </c>
      <c r="E57" s="106">
        <v>31.669446000000001</v>
      </c>
      <c r="F57" s="29">
        <v>2001</v>
      </c>
      <c r="G57" s="29">
        <v>528</v>
      </c>
      <c r="H57" s="29">
        <v>804</v>
      </c>
      <c r="I57" s="29">
        <v>26.7</v>
      </c>
      <c r="J57" s="29">
        <v>1.52</v>
      </c>
      <c r="K57" s="29">
        <v>36</v>
      </c>
      <c r="L57" s="29">
        <v>43</v>
      </c>
      <c r="M57" s="29">
        <v>21</v>
      </c>
      <c r="N57" s="29">
        <v>7.36</v>
      </c>
      <c r="O57" s="29">
        <v>20</v>
      </c>
      <c r="P57" s="29">
        <v>1.79</v>
      </c>
      <c r="Q57" s="29">
        <f t="shared" si="0"/>
        <v>11.173184357541899</v>
      </c>
      <c r="R57" s="29">
        <v>0</v>
      </c>
      <c r="S57" s="5">
        <v>1.57576</v>
      </c>
      <c r="T57" s="5">
        <f>AVERAGE(S57,S60)</f>
        <v>2.2424249999999999</v>
      </c>
      <c r="U57" s="5">
        <v>0</v>
      </c>
    </row>
    <row r="58" spans="1:21" x14ac:dyDescent="0.3">
      <c r="A58" s="5" t="s">
        <v>346</v>
      </c>
      <c r="B58" s="5" t="s">
        <v>361</v>
      </c>
      <c r="C58" s="5">
        <v>2004</v>
      </c>
      <c r="D58" s="106">
        <v>120.831486</v>
      </c>
      <c r="E58" s="106">
        <v>31.669446000000001</v>
      </c>
      <c r="F58" s="29">
        <v>2001</v>
      </c>
      <c r="G58" s="29">
        <v>528</v>
      </c>
      <c r="H58" s="29">
        <v>804</v>
      </c>
      <c r="I58" s="29">
        <v>26.7</v>
      </c>
      <c r="J58" s="29">
        <v>1.52</v>
      </c>
      <c r="K58" s="29">
        <v>36</v>
      </c>
      <c r="L58" s="29">
        <v>43</v>
      </c>
      <c r="M58" s="29">
        <v>21</v>
      </c>
      <c r="N58" s="29">
        <v>7.36</v>
      </c>
      <c r="O58" s="29">
        <v>20</v>
      </c>
      <c r="P58" s="29">
        <v>1.79</v>
      </c>
      <c r="Q58" s="29">
        <f t="shared" si="0"/>
        <v>11.173184357541899</v>
      </c>
      <c r="R58" s="29">
        <v>150</v>
      </c>
      <c r="S58" s="5">
        <v>1.9697</v>
      </c>
      <c r="U58" s="5">
        <f>100*(S58-S57)/R58</f>
        <v>0.26262666666666667</v>
      </c>
    </row>
    <row r="59" spans="1:21" x14ac:dyDescent="0.3">
      <c r="A59" s="5" t="s">
        <v>346</v>
      </c>
      <c r="B59" s="5" t="s">
        <v>361</v>
      </c>
      <c r="C59" s="5">
        <v>2004</v>
      </c>
      <c r="D59" s="106">
        <v>120.831486</v>
      </c>
      <c r="E59" s="106">
        <v>31.669446000000001</v>
      </c>
      <c r="F59" s="29">
        <v>2001</v>
      </c>
      <c r="G59" s="29">
        <v>528</v>
      </c>
      <c r="H59" s="29">
        <v>804</v>
      </c>
      <c r="I59" s="29">
        <v>26.7</v>
      </c>
      <c r="J59" s="29">
        <v>1.52</v>
      </c>
      <c r="K59" s="29">
        <v>36</v>
      </c>
      <c r="L59" s="29">
        <v>43</v>
      </c>
      <c r="M59" s="29">
        <v>21</v>
      </c>
      <c r="N59" s="29">
        <v>7.36</v>
      </c>
      <c r="O59" s="29">
        <v>20</v>
      </c>
      <c r="P59" s="29">
        <v>1.79</v>
      </c>
      <c r="Q59" s="29">
        <f t="shared" si="0"/>
        <v>11.173184357541899</v>
      </c>
      <c r="R59" s="29">
        <v>300</v>
      </c>
      <c r="S59" s="5">
        <v>2.5151500000000002</v>
      </c>
      <c r="U59" s="5">
        <f>100*(S59-S57)/R59</f>
        <v>0.31313000000000007</v>
      </c>
    </row>
    <row r="60" spans="1:21" x14ac:dyDescent="0.3">
      <c r="A60" s="5" t="s">
        <v>346</v>
      </c>
      <c r="B60" s="5" t="s">
        <v>361</v>
      </c>
      <c r="C60" s="5">
        <v>2004</v>
      </c>
      <c r="D60" s="106">
        <v>120.831486</v>
      </c>
      <c r="E60" s="106">
        <v>31.669446000000001</v>
      </c>
      <c r="F60" s="29">
        <v>2002</v>
      </c>
      <c r="G60" s="29">
        <v>528</v>
      </c>
      <c r="H60" s="29">
        <v>804</v>
      </c>
      <c r="I60" s="29">
        <v>26.7</v>
      </c>
      <c r="J60" s="29">
        <v>1.52</v>
      </c>
      <c r="K60" s="29">
        <v>36</v>
      </c>
      <c r="L60" s="29">
        <v>43</v>
      </c>
      <c r="M60" s="29">
        <v>21</v>
      </c>
      <c r="N60" s="29">
        <v>7.36</v>
      </c>
      <c r="O60" s="29">
        <v>20</v>
      </c>
      <c r="P60" s="29">
        <v>1.79</v>
      </c>
      <c r="Q60" s="29">
        <f t="shared" si="0"/>
        <v>11.173184357541899</v>
      </c>
      <c r="R60" s="29">
        <v>0</v>
      </c>
      <c r="S60" s="5">
        <v>2.90909</v>
      </c>
      <c r="U60" s="5">
        <v>0</v>
      </c>
    </row>
    <row r="61" spans="1:21" x14ac:dyDescent="0.3">
      <c r="A61" s="5" t="s">
        <v>346</v>
      </c>
      <c r="B61" s="5" t="s">
        <v>361</v>
      </c>
      <c r="C61" s="5">
        <v>2004</v>
      </c>
      <c r="D61" s="106">
        <v>120.831486</v>
      </c>
      <c r="E61" s="106">
        <v>31.669446000000001</v>
      </c>
      <c r="F61" s="29">
        <v>2002</v>
      </c>
      <c r="G61" s="29">
        <v>528</v>
      </c>
      <c r="H61" s="29">
        <v>804</v>
      </c>
      <c r="I61" s="29">
        <v>26.7</v>
      </c>
      <c r="J61" s="29">
        <v>1.52</v>
      </c>
      <c r="K61" s="29">
        <v>36</v>
      </c>
      <c r="L61" s="29">
        <v>43</v>
      </c>
      <c r="M61" s="29">
        <v>21</v>
      </c>
      <c r="N61" s="29">
        <v>7.36</v>
      </c>
      <c r="O61" s="29">
        <v>20</v>
      </c>
      <c r="P61" s="29">
        <v>1.79</v>
      </c>
      <c r="Q61" s="29">
        <f t="shared" si="0"/>
        <v>11.173184357541899</v>
      </c>
      <c r="R61" s="29">
        <v>150</v>
      </c>
      <c r="S61" s="5">
        <v>2.6969699999999999</v>
      </c>
      <c r="U61" s="5">
        <f>100*(S61-S60)/R61</f>
        <v>-0.14141333333333339</v>
      </c>
    </row>
    <row r="62" spans="1:21" x14ac:dyDescent="0.3">
      <c r="A62" s="81" t="s">
        <v>346</v>
      </c>
      <c r="B62" s="81" t="s">
        <v>361</v>
      </c>
      <c r="C62" s="81">
        <v>2004</v>
      </c>
      <c r="D62" s="107">
        <v>120.831486</v>
      </c>
      <c r="E62" s="107">
        <v>31.669446000000001</v>
      </c>
      <c r="F62" s="34">
        <v>2002</v>
      </c>
      <c r="G62" s="34">
        <v>528</v>
      </c>
      <c r="H62" s="34">
        <v>804</v>
      </c>
      <c r="I62" s="34">
        <v>26.7</v>
      </c>
      <c r="J62" s="34">
        <v>1.52</v>
      </c>
      <c r="K62" s="29">
        <v>36</v>
      </c>
      <c r="L62" s="29">
        <v>43</v>
      </c>
      <c r="M62" s="29">
        <v>21</v>
      </c>
      <c r="N62" s="34">
        <v>7.36</v>
      </c>
      <c r="O62" s="34">
        <v>20</v>
      </c>
      <c r="P62" s="34">
        <v>1.79</v>
      </c>
      <c r="Q62" s="34">
        <f t="shared" si="0"/>
        <v>11.173184357541899</v>
      </c>
      <c r="R62" s="34">
        <v>300</v>
      </c>
      <c r="S62" s="81">
        <v>3.2424200000000001</v>
      </c>
      <c r="T62" s="81"/>
      <c r="U62" s="81">
        <f>100*(S62-S60)/R62</f>
        <v>0.11111000000000004</v>
      </c>
    </row>
    <row r="63" spans="1:21" x14ac:dyDescent="0.3">
      <c r="A63" s="5" t="s">
        <v>362</v>
      </c>
      <c r="B63" s="5" t="s">
        <v>363</v>
      </c>
      <c r="C63" s="5">
        <v>2007</v>
      </c>
      <c r="D63" s="106">
        <v>121.3</v>
      </c>
      <c r="E63" s="106">
        <v>31.25</v>
      </c>
      <c r="F63" s="29">
        <v>2003</v>
      </c>
      <c r="G63" s="29">
        <v>408</v>
      </c>
      <c r="H63" s="29">
        <v>744</v>
      </c>
      <c r="I63" s="29">
        <v>26.8</v>
      </c>
      <c r="J63" s="29">
        <v>1.35</v>
      </c>
      <c r="K63" s="29">
        <v>30.9</v>
      </c>
      <c r="L63" s="29">
        <v>42.4</v>
      </c>
      <c r="M63" s="29">
        <v>26.7</v>
      </c>
      <c r="N63" s="29">
        <v>6.1</v>
      </c>
      <c r="O63" s="29">
        <v>20.307424593967518</v>
      </c>
      <c r="P63" s="29">
        <v>2.75</v>
      </c>
      <c r="Q63" s="29">
        <f t="shared" si="0"/>
        <v>7.3845180341700063</v>
      </c>
      <c r="R63" s="29">
        <v>0</v>
      </c>
      <c r="S63" s="5">
        <v>1.04</v>
      </c>
      <c r="T63" s="5">
        <f>AVERAGE(S63,S68,S70)</f>
        <v>1.9513166666666668</v>
      </c>
      <c r="U63" s="5">
        <v>0</v>
      </c>
    </row>
    <row r="64" spans="1:21" x14ac:dyDescent="0.3">
      <c r="A64" s="5" t="s">
        <v>362</v>
      </c>
      <c r="B64" s="5" t="s">
        <v>363</v>
      </c>
      <c r="C64" s="5">
        <v>2007</v>
      </c>
      <c r="D64" s="106">
        <v>121.3</v>
      </c>
      <c r="E64" s="106">
        <v>31.25</v>
      </c>
      <c r="F64" s="29">
        <v>2003</v>
      </c>
      <c r="G64" s="29">
        <v>408</v>
      </c>
      <c r="H64" s="29">
        <v>744</v>
      </c>
      <c r="I64" s="29">
        <v>26.8</v>
      </c>
      <c r="J64" s="29">
        <v>1.35</v>
      </c>
      <c r="K64" s="29">
        <v>30.9</v>
      </c>
      <c r="L64" s="29">
        <v>42.4</v>
      </c>
      <c r="M64" s="29">
        <v>26.7</v>
      </c>
      <c r="N64" s="29">
        <v>6.1</v>
      </c>
      <c r="O64" s="29">
        <v>20.307424593967518</v>
      </c>
      <c r="P64" s="29">
        <v>2.75</v>
      </c>
      <c r="Q64" s="29">
        <f t="shared" si="0"/>
        <v>7.3845180341700063</v>
      </c>
      <c r="R64" s="29">
        <v>90</v>
      </c>
      <c r="S64" s="5">
        <v>4.57</v>
      </c>
      <c r="U64" s="5">
        <f>100*(S64-S63)/R64</f>
        <v>3.9222222222222221</v>
      </c>
    </row>
    <row r="65" spans="1:21" x14ac:dyDescent="0.3">
      <c r="A65" s="5" t="s">
        <v>362</v>
      </c>
      <c r="B65" s="5" t="s">
        <v>363</v>
      </c>
      <c r="C65" s="5">
        <v>2007</v>
      </c>
      <c r="D65" s="106">
        <v>121.3</v>
      </c>
      <c r="E65" s="106">
        <v>31.25</v>
      </c>
      <c r="F65" s="29">
        <v>2003</v>
      </c>
      <c r="G65" s="29">
        <v>408</v>
      </c>
      <c r="H65" s="29">
        <v>744</v>
      </c>
      <c r="I65" s="29">
        <v>26.8</v>
      </c>
      <c r="J65" s="29">
        <v>1.35</v>
      </c>
      <c r="K65" s="29">
        <v>30.9</v>
      </c>
      <c r="L65" s="29">
        <v>42.4</v>
      </c>
      <c r="M65" s="29">
        <v>26.7</v>
      </c>
      <c r="N65" s="29">
        <v>6.1</v>
      </c>
      <c r="O65" s="29">
        <v>20.307424593967518</v>
      </c>
      <c r="P65" s="29">
        <v>2.75</v>
      </c>
      <c r="Q65" s="29">
        <f t="shared" si="0"/>
        <v>7.3845180341700063</v>
      </c>
      <c r="R65" s="29">
        <v>180</v>
      </c>
      <c r="S65" s="5">
        <v>5.73</v>
      </c>
      <c r="U65" s="5">
        <f>100*(S65-S63)/R65</f>
        <v>2.6055555555555561</v>
      </c>
    </row>
    <row r="66" spans="1:21" x14ac:dyDescent="0.3">
      <c r="A66" s="5" t="s">
        <v>362</v>
      </c>
      <c r="B66" s="5" t="s">
        <v>363</v>
      </c>
      <c r="C66" s="5">
        <v>2007</v>
      </c>
      <c r="D66" s="106">
        <v>121.3</v>
      </c>
      <c r="E66" s="106">
        <v>31.25</v>
      </c>
      <c r="F66" s="29">
        <v>2003</v>
      </c>
      <c r="G66" s="29">
        <v>408</v>
      </c>
      <c r="H66" s="29">
        <v>744</v>
      </c>
      <c r="I66" s="29">
        <v>26.8</v>
      </c>
      <c r="J66" s="29">
        <v>1.35</v>
      </c>
      <c r="K66" s="29">
        <v>30.9</v>
      </c>
      <c r="L66" s="29">
        <v>42.4</v>
      </c>
      <c r="M66" s="29">
        <v>26.7</v>
      </c>
      <c r="N66" s="29">
        <v>6.1</v>
      </c>
      <c r="O66" s="29">
        <v>20.307424593967518</v>
      </c>
      <c r="P66" s="29">
        <v>2.75</v>
      </c>
      <c r="Q66" s="29">
        <f t="shared" si="0"/>
        <v>7.3845180341700063</v>
      </c>
      <c r="R66" s="29">
        <v>270</v>
      </c>
      <c r="S66" s="5">
        <v>7.62</v>
      </c>
      <c r="U66" s="5">
        <f>100*(S66-S63)/R66</f>
        <v>2.4370370370370371</v>
      </c>
    </row>
    <row r="67" spans="1:21" x14ac:dyDescent="0.3">
      <c r="A67" s="5" t="s">
        <v>362</v>
      </c>
      <c r="B67" s="5" t="s">
        <v>363</v>
      </c>
      <c r="C67" s="5">
        <v>2007</v>
      </c>
      <c r="D67" s="106">
        <v>121.3</v>
      </c>
      <c r="E67" s="106">
        <v>31.25</v>
      </c>
      <c r="F67" s="29">
        <v>2003</v>
      </c>
      <c r="G67" s="29">
        <v>408</v>
      </c>
      <c r="H67" s="29">
        <v>744</v>
      </c>
      <c r="I67" s="29">
        <v>26.8</v>
      </c>
      <c r="J67" s="29">
        <v>1.35</v>
      </c>
      <c r="K67" s="29">
        <v>30.9</v>
      </c>
      <c r="L67" s="29">
        <v>42.4</v>
      </c>
      <c r="M67" s="29">
        <v>26.7</v>
      </c>
      <c r="N67" s="29">
        <v>6.1</v>
      </c>
      <c r="O67" s="29">
        <v>20.307424593967518</v>
      </c>
      <c r="P67" s="29">
        <v>2.75</v>
      </c>
      <c r="Q67" s="29">
        <f t="shared" si="0"/>
        <v>7.3845180341700063</v>
      </c>
      <c r="R67" s="29">
        <v>360</v>
      </c>
      <c r="S67" s="5">
        <v>14.75</v>
      </c>
      <c r="U67" s="5">
        <f>100*(S67-S63)/R67</f>
        <v>3.8083333333333331</v>
      </c>
    </row>
    <row r="68" spans="1:21" x14ac:dyDescent="0.3">
      <c r="A68" s="5" t="s">
        <v>362</v>
      </c>
      <c r="B68" s="5" t="s">
        <v>363</v>
      </c>
      <c r="C68" s="5">
        <v>2007</v>
      </c>
      <c r="D68" s="106">
        <v>121.3</v>
      </c>
      <c r="E68" s="106">
        <v>31.25</v>
      </c>
      <c r="F68" s="29">
        <v>2004</v>
      </c>
      <c r="G68" s="29">
        <v>408</v>
      </c>
      <c r="H68" s="29">
        <v>744</v>
      </c>
      <c r="I68" s="29">
        <v>26.8</v>
      </c>
      <c r="J68" s="29">
        <v>1.35</v>
      </c>
      <c r="K68" s="29">
        <v>30.9</v>
      </c>
      <c r="L68" s="29">
        <v>42.4</v>
      </c>
      <c r="M68" s="29">
        <v>26.7</v>
      </c>
      <c r="N68" s="29">
        <v>6.1</v>
      </c>
      <c r="O68" s="29">
        <v>20.307424593967518</v>
      </c>
      <c r="P68" s="29">
        <v>2.75</v>
      </c>
      <c r="Q68" s="29">
        <f t="shared" si="0"/>
        <v>7.3845180341700063</v>
      </c>
      <c r="R68" s="29">
        <v>0</v>
      </c>
      <c r="S68" s="5">
        <v>2.7209300000000001</v>
      </c>
      <c r="U68" s="5">
        <v>0</v>
      </c>
    </row>
    <row r="69" spans="1:21" x14ac:dyDescent="0.3">
      <c r="A69" s="5" t="s">
        <v>362</v>
      </c>
      <c r="B69" s="5" t="s">
        <v>363</v>
      </c>
      <c r="C69" s="5">
        <v>2007</v>
      </c>
      <c r="D69" s="106">
        <v>121.3</v>
      </c>
      <c r="E69" s="106">
        <v>31.25</v>
      </c>
      <c r="F69" s="29">
        <v>2004</v>
      </c>
      <c r="G69" s="29">
        <v>408</v>
      </c>
      <c r="H69" s="29">
        <v>744</v>
      </c>
      <c r="I69" s="29">
        <v>26.8</v>
      </c>
      <c r="J69" s="29">
        <v>1.35</v>
      </c>
      <c r="K69" s="29">
        <v>30.9</v>
      </c>
      <c r="L69" s="29">
        <v>42.4</v>
      </c>
      <c r="M69" s="29">
        <v>26.7</v>
      </c>
      <c r="N69" s="29">
        <v>6.1</v>
      </c>
      <c r="O69" s="29">
        <v>20.307424593967518</v>
      </c>
      <c r="P69" s="29">
        <v>2.75</v>
      </c>
      <c r="Q69" s="29">
        <f t="shared" ref="Q69:Q130" si="1">O69/P69</f>
        <v>7.3845180341700063</v>
      </c>
      <c r="R69" s="29">
        <v>180</v>
      </c>
      <c r="S69" s="5">
        <v>10.151199999999999</v>
      </c>
      <c r="U69" s="5">
        <f>100*(S69-S68)/R69</f>
        <v>4.127927777777777</v>
      </c>
    </row>
    <row r="70" spans="1:21" x14ac:dyDescent="0.3">
      <c r="A70" s="5" t="s">
        <v>362</v>
      </c>
      <c r="B70" s="5" t="s">
        <v>363</v>
      </c>
      <c r="C70" s="5">
        <v>2007</v>
      </c>
      <c r="D70" s="106">
        <v>121.3</v>
      </c>
      <c r="E70" s="106">
        <v>31.25</v>
      </c>
      <c r="F70" s="29">
        <v>2005</v>
      </c>
      <c r="G70" s="29">
        <v>408</v>
      </c>
      <c r="H70" s="29">
        <v>744</v>
      </c>
      <c r="I70" s="29">
        <v>26.8</v>
      </c>
      <c r="J70" s="29">
        <v>1.35</v>
      </c>
      <c r="K70" s="29">
        <v>30.9</v>
      </c>
      <c r="L70" s="29">
        <v>42.4</v>
      </c>
      <c r="M70" s="29">
        <v>26.7</v>
      </c>
      <c r="N70" s="29">
        <v>6.1</v>
      </c>
      <c r="O70" s="29">
        <v>20.307424593967518</v>
      </c>
      <c r="P70" s="29">
        <v>2.75</v>
      </c>
      <c r="Q70" s="29">
        <f t="shared" si="1"/>
        <v>7.3845180341700063</v>
      </c>
      <c r="R70" s="29">
        <v>0</v>
      </c>
      <c r="S70" s="5">
        <v>2.0930200000000001</v>
      </c>
      <c r="U70" s="5">
        <v>0</v>
      </c>
    </row>
    <row r="71" spans="1:21" x14ac:dyDescent="0.3">
      <c r="A71" s="81" t="s">
        <v>362</v>
      </c>
      <c r="B71" s="81" t="s">
        <v>363</v>
      </c>
      <c r="C71" s="81">
        <v>2007</v>
      </c>
      <c r="D71" s="107">
        <v>121.3</v>
      </c>
      <c r="E71" s="107">
        <v>31.25</v>
      </c>
      <c r="F71" s="34">
        <v>2005</v>
      </c>
      <c r="G71" s="34">
        <v>408</v>
      </c>
      <c r="H71" s="34">
        <v>744</v>
      </c>
      <c r="I71" s="34">
        <v>26.8</v>
      </c>
      <c r="J71" s="34">
        <v>1.35</v>
      </c>
      <c r="K71" s="34">
        <v>30.9</v>
      </c>
      <c r="L71" s="34">
        <v>42.4</v>
      </c>
      <c r="M71" s="34">
        <v>26.7</v>
      </c>
      <c r="N71" s="34">
        <v>6.1</v>
      </c>
      <c r="O71" s="34">
        <v>20.307424593967518</v>
      </c>
      <c r="P71" s="34">
        <v>2.75</v>
      </c>
      <c r="Q71" s="34">
        <f t="shared" si="1"/>
        <v>7.3845180341700063</v>
      </c>
      <c r="R71" s="34">
        <v>180</v>
      </c>
      <c r="S71" s="81">
        <v>9.62791</v>
      </c>
      <c r="T71" s="81"/>
      <c r="U71" s="81">
        <f>100*(S71-S70)/R71</f>
        <v>4.1860499999999998</v>
      </c>
    </row>
    <row r="72" spans="1:21" x14ac:dyDescent="0.3">
      <c r="A72" s="5" t="s">
        <v>364</v>
      </c>
      <c r="B72" s="5" t="s">
        <v>365</v>
      </c>
      <c r="C72" s="5">
        <v>1999</v>
      </c>
      <c r="D72" s="106">
        <v>120</v>
      </c>
      <c r="E72" s="106">
        <v>31.6</v>
      </c>
      <c r="F72" s="29">
        <v>1997</v>
      </c>
      <c r="G72" s="29">
        <v>475.2</v>
      </c>
      <c r="H72" s="29">
        <v>778.80000000000007</v>
      </c>
      <c r="I72" s="29">
        <v>26.8</v>
      </c>
      <c r="J72" s="29">
        <v>1.4662500000000001</v>
      </c>
      <c r="K72" s="29">
        <v>45.3125</v>
      </c>
      <c r="L72" s="29">
        <v>37.25</v>
      </c>
      <c r="M72" s="29">
        <v>17.4375</v>
      </c>
      <c r="N72" s="29">
        <v>6.3</v>
      </c>
      <c r="O72" s="29">
        <v>15.893271461716937</v>
      </c>
      <c r="P72" s="29">
        <v>1.72</v>
      </c>
      <c r="Q72" s="29">
        <f t="shared" si="1"/>
        <v>9.240274105649382</v>
      </c>
      <c r="R72" s="29">
        <v>0</v>
      </c>
      <c r="S72" s="5">
        <v>1.63</v>
      </c>
      <c r="T72" s="5">
        <f>S72</f>
        <v>1.63</v>
      </c>
      <c r="U72" s="5">
        <v>0</v>
      </c>
    </row>
    <row r="73" spans="1:21" x14ac:dyDescent="0.3">
      <c r="A73" s="5" t="s">
        <v>364</v>
      </c>
      <c r="B73" s="5" t="s">
        <v>365</v>
      </c>
      <c r="C73" s="5">
        <v>1999</v>
      </c>
      <c r="D73" s="106">
        <v>120</v>
      </c>
      <c r="E73" s="106">
        <v>31.6</v>
      </c>
      <c r="F73" s="29">
        <v>1997</v>
      </c>
      <c r="G73" s="29">
        <v>475.2</v>
      </c>
      <c r="H73" s="29">
        <v>778.80000000000007</v>
      </c>
      <c r="I73" s="29">
        <v>26.8</v>
      </c>
      <c r="J73" s="29">
        <v>1.4662500000000001</v>
      </c>
      <c r="K73" s="29">
        <v>45.3125</v>
      </c>
      <c r="L73" s="29">
        <v>37.25</v>
      </c>
      <c r="M73" s="29">
        <v>17.4375</v>
      </c>
      <c r="N73" s="29">
        <v>6.3</v>
      </c>
      <c r="O73" s="29">
        <v>15.893271461716937</v>
      </c>
      <c r="P73" s="29">
        <v>1.72</v>
      </c>
      <c r="Q73" s="29">
        <f t="shared" si="1"/>
        <v>9.240274105649382</v>
      </c>
      <c r="R73" s="29">
        <v>162.9</v>
      </c>
      <c r="S73" s="5">
        <v>1.9</v>
      </c>
      <c r="U73" s="5">
        <f>100*(S73-S72)/R73</f>
        <v>0.16574585635359115</v>
      </c>
    </row>
    <row r="74" spans="1:21" x14ac:dyDescent="0.3">
      <c r="A74" s="5" t="s">
        <v>364</v>
      </c>
      <c r="B74" s="5" t="s">
        <v>365</v>
      </c>
      <c r="C74" s="5">
        <v>1999</v>
      </c>
      <c r="D74" s="106">
        <v>120</v>
      </c>
      <c r="E74" s="106">
        <v>31.6</v>
      </c>
      <c r="F74" s="29">
        <v>1997</v>
      </c>
      <c r="G74" s="29">
        <v>475.2</v>
      </c>
      <c r="H74" s="29">
        <v>778.80000000000007</v>
      </c>
      <c r="I74" s="29">
        <v>26.8</v>
      </c>
      <c r="J74" s="29">
        <v>1.4662500000000001</v>
      </c>
      <c r="K74" s="29">
        <v>45.3125</v>
      </c>
      <c r="L74" s="29">
        <v>37.25</v>
      </c>
      <c r="M74" s="29">
        <v>17.4375</v>
      </c>
      <c r="N74" s="29">
        <v>6.3</v>
      </c>
      <c r="O74" s="29">
        <v>15.893271461716937</v>
      </c>
      <c r="P74" s="29">
        <v>1.72</v>
      </c>
      <c r="Q74" s="29">
        <f t="shared" si="1"/>
        <v>9.240274105649382</v>
      </c>
      <c r="R74" s="29">
        <v>254</v>
      </c>
      <c r="S74" s="5">
        <v>1.45</v>
      </c>
      <c r="U74" s="5">
        <f>100*(S74-S72)/R74</f>
        <v>-7.0866141732283436E-2</v>
      </c>
    </row>
    <row r="75" spans="1:21" x14ac:dyDescent="0.3">
      <c r="A75" s="81" t="s">
        <v>364</v>
      </c>
      <c r="B75" s="81" t="s">
        <v>365</v>
      </c>
      <c r="C75" s="81">
        <v>1999</v>
      </c>
      <c r="D75" s="107">
        <v>120</v>
      </c>
      <c r="E75" s="107">
        <v>31.6</v>
      </c>
      <c r="F75" s="34">
        <v>1997</v>
      </c>
      <c r="G75" s="34">
        <v>475.2</v>
      </c>
      <c r="H75" s="34">
        <v>778.80000000000007</v>
      </c>
      <c r="I75" s="34">
        <v>26.8</v>
      </c>
      <c r="J75" s="34">
        <v>1.4662500000000001</v>
      </c>
      <c r="K75" s="34">
        <v>45.3125</v>
      </c>
      <c r="L75" s="34">
        <v>37.25</v>
      </c>
      <c r="M75" s="34">
        <v>17.4375</v>
      </c>
      <c r="N75" s="34">
        <v>6.3</v>
      </c>
      <c r="O75" s="34">
        <v>15.893271461716937</v>
      </c>
      <c r="P75" s="34">
        <v>1.72</v>
      </c>
      <c r="Q75" s="34">
        <f t="shared" si="1"/>
        <v>9.240274105649382</v>
      </c>
      <c r="R75" s="34">
        <v>338.4</v>
      </c>
      <c r="S75" s="81">
        <v>10.41</v>
      </c>
      <c r="T75" s="81"/>
      <c r="U75" s="81">
        <f>100*(S75-S72)/R75</f>
        <v>2.5945626477541377</v>
      </c>
    </row>
    <row r="76" spans="1:21" x14ac:dyDescent="0.3">
      <c r="A76" s="5" t="s">
        <v>366</v>
      </c>
      <c r="B76" s="5" t="s">
        <v>367</v>
      </c>
      <c r="C76" s="5">
        <v>2003</v>
      </c>
      <c r="D76" s="106">
        <v>106.43</v>
      </c>
      <c r="E76" s="106">
        <v>30.43</v>
      </c>
      <c r="F76" s="29">
        <v>1999</v>
      </c>
      <c r="G76" s="29">
        <v>343.2</v>
      </c>
      <c r="H76" s="29">
        <v>720</v>
      </c>
      <c r="I76" s="29">
        <v>27.8</v>
      </c>
      <c r="J76" s="29">
        <v>1.34699999</v>
      </c>
      <c r="K76" s="29">
        <v>29.7</v>
      </c>
      <c r="L76" s="29">
        <v>41.6</v>
      </c>
      <c r="M76" s="29">
        <v>28.7</v>
      </c>
      <c r="N76" s="29">
        <v>8.1999999999999993</v>
      </c>
      <c r="O76" s="29">
        <v>11.653132250580047</v>
      </c>
      <c r="P76" s="29">
        <v>1.7</v>
      </c>
      <c r="Q76" s="29">
        <f t="shared" si="1"/>
        <v>6.8547836768117927</v>
      </c>
      <c r="R76" s="29">
        <v>0</v>
      </c>
      <c r="S76" s="5">
        <v>0.38</v>
      </c>
      <c r="T76" s="5">
        <f>AVERAGE(S76,S81,S86)</f>
        <v>0.48</v>
      </c>
      <c r="U76" s="5">
        <v>0</v>
      </c>
    </row>
    <row r="77" spans="1:21" x14ac:dyDescent="0.3">
      <c r="A77" s="5" t="s">
        <v>366</v>
      </c>
      <c r="B77" s="5" t="s">
        <v>367</v>
      </c>
      <c r="C77" s="5">
        <v>2003</v>
      </c>
      <c r="D77" s="106">
        <v>106.43</v>
      </c>
      <c r="E77" s="106">
        <v>30.43</v>
      </c>
      <c r="F77" s="29">
        <v>1999</v>
      </c>
      <c r="G77" s="29">
        <v>343.2</v>
      </c>
      <c r="H77" s="29">
        <v>720</v>
      </c>
      <c r="I77" s="29">
        <v>27.8</v>
      </c>
      <c r="J77" s="29">
        <v>1.34699999</v>
      </c>
      <c r="K77" s="29">
        <v>29.7</v>
      </c>
      <c r="L77" s="29">
        <v>41.6</v>
      </c>
      <c r="M77" s="29">
        <v>28.7</v>
      </c>
      <c r="N77" s="29">
        <v>8.1999999999999993</v>
      </c>
      <c r="O77" s="29">
        <v>11.653132250580047</v>
      </c>
      <c r="P77" s="29">
        <v>1.7</v>
      </c>
      <c r="Q77" s="29">
        <f t="shared" si="1"/>
        <v>6.8547836768117927</v>
      </c>
      <c r="R77" s="29">
        <v>150</v>
      </c>
      <c r="S77" s="5">
        <v>0.79</v>
      </c>
      <c r="U77" s="5">
        <f>100*(S77-S76)/R77</f>
        <v>0.27333333333333332</v>
      </c>
    </row>
    <row r="78" spans="1:21" x14ac:dyDescent="0.3">
      <c r="A78" s="5" t="s">
        <v>366</v>
      </c>
      <c r="B78" s="5" t="s">
        <v>367</v>
      </c>
      <c r="C78" s="5">
        <v>2003</v>
      </c>
      <c r="D78" s="106">
        <v>106.43</v>
      </c>
      <c r="E78" s="106">
        <v>30.43</v>
      </c>
      <c r="F78" s="29">
        <v>1999</v>
      </c>
      <c r="G78" s="29">
        <v>343.2</v>
      </c>
      <c r="H78" s="29">
        <v>720</v>
      </c>
      <c r="I78" s="29">
        <v>27.8</v>
      </c>
      <c r="J78" s="29">
        <v>1.34699999</v>
      </c>
      <c r="K78" s="29">
        <v>29.7</v>
      </c>
      <c r="L78" s="29">
        <v>41.6</v>
      </c>
      <c r="M78" s="29">
        <v>28.7</v>
      </c>
      <c r="N78" s="29">
        <v>8.1999999999999993</v>
      </c>
      <c r="O78" s="29">
        <v>11.653132250580047</v>
      </c>
      <c r="P78" s="29">
        <v>1.7</v>
      </c>
      <c r="Q78" s="29">
        <f t="shared" si="1"/>
        <v>6.8547836768117927</v>
      </c>
      <c r="R78" s="29">
        <v>225</v>
      </c>
      <c r="S78" s="5">
        <v>0.8</v>
      </c>
      <c r="U78" s="5">
        <f>100*(S78-S76)/R78</f>
        <v>0.1866666666666667</v>
      </c>
    </row>
    <row r="79" spans="1:21" x14ac:dyDescent="0.3">
      <c r="A79" s="5" t="s">
        <v>366</v>
      </c>
      <c r="B79" s="5" t="s">
        <v>367</v>
      </c>
      <c r="C79" s="5">
        <v>2003</v>
      </c>
      <c r="D79" s="106">
        <v>106.43</v>
      </c>
      <c r="E79" s="106">
        <v>30.43</v>
      </c>
      <c r="F79" s="29">
        <v>1999</v>
      </c>
      <c r="G79" s="29">
        <v>343.2</v>
      </c>
      <c r="H79" s="29">
        <v>720</v>
      </c>
      <c r="I79" s="29">
        <v>27.8</v>
      </c>
      <c r="J79" s="29">
        <v>1.34699999</v>
      </c>
      <c r="K79" s="29">
        <v>29.7</v>
      </c>
      <c r="L79" s="29">
        <v>41.6</v>
      </c>
      <c r="M79" s="29">
        <v>28.7</v>
      </c>
      <c r="N79" s="29">
        <v>8.1999999999999993</v>
      </c>
      <c r="O79" s="29">
        <v>11.653132250580047</v>
      </c>
      <c r="P79" s="29">
        <v>1.7</v>
      </c>
      <c r="Q79" s="29">
        <f t="shared" si="1"/>
        <v>6.8547836768117927</v>
      </c>
      <c r="R79" s="29">
        <v>150</v>
      </c>
      <c r="S79" s="5">
        <v>0.79</v>
      </c>
      <c r="U79" s="5">
        <f>100*(S79-S76)/R79</f>
        <v>0.27333333333333332</v>
      </c>
    </row>
    <row r="80" spans="1:21" x14ac:dyDescent="0.3">
      <c r="A80" s="5" t="s">
        <v>366</v>
      </c>
      <c r="B80" s="5" t="s">
        <v>367</v>
      </c>
      <c r="C80" s="5">
        <v>2003</v>
      </c>
      <c r="D80" s="106">
        <v>106.43</v>
      </c>
      <c r="E80" s="106">
        <v>30.43</v>
      </c>
      <c r="F80" s="29">
        <v>1999</v>
      </c>
      <c r="G80" s="29">
        <v>343.2</v>
      </c>
      <c r="H80" s="29">
        <v>720</v>
      </c>
      <c r="I80" s="29">
        <v>27.8</v>
      </c>
      <c r="J80" s="29">
        <v>1.34699999</v>
      </c>
      <c r="K80" s="29">
        <v>29.7</v>
      </c>
      <c r="L80" s="29">
        <v>41.6</v>
      </c>
      <c r="M80" s="29">
        <v>28.7</v>
      </c>
      <c r="N80" s="29">
        <v>8.1999999999999993</v>
      </c>
      <c r="O80" s="29">
        <v>11.653132250580047</v>
      </c>
      <c r="P80" s="29">
        <v>1.7</v>
      </c>
      <c r="Q80" s="29">
        <f t="shared" si="1"/>
        <v>6.8547836768117927</v>
      </c>
      <c r="R80" s="29">
        <v>225</v>
      </c>
      <c r="S80" s="5">
        <v>1.1599999999999999</v>
      </c>
      <c r="U80" s="5">
        <f>100*(S80-S76)/R80</f>
        <v>0.34666666666666662</v>
      </c>
    </row>
    <row r="81" spans="1:21" x14ac:dyDescent="0.3">
      <c r="A81" s="5" t="s">
        <v>366</v>
      </c>
      <c r="B81" s="5" t="s">
        <v>367</v>
      </c>
      <c r="C81" s="5">
        <v>2003</v>
      </c>
      <c r="D81" s="106">
        <v>106.43</v>
      </c>
      <c r="E81" s="106">
        <v>30.43</v>
      </c>
      <c r="F81" s="29">
        <v>1999</v>
      </c>
      <c r="G81" s="29">
        <v>343.2</v>
      </c>
      <c r="H81" s="29">
        <v>720</v>
      </c>
      <c r="I81" s="29">
        <v>27.8</v>
      </c>
      <c r="J81" s="29">
        <v>1.34699999</v>
      </c>
      <c r="K81" s="29">
        <v>29.7</v>
      </c>
      <c r="L81" s="29">
        <v>41.6</v>
      </c>
      <c r="M81" s="29">
        <v>28.7</v>
      </c>
      <c r="N81" s="29">
        <v>8.1999999999999993</v>
      </c>
      <c r="O81" s="29">
        <v>11.653132250580047</v>
      </c>
      <c r="P81" s="29">
        <v>1.7</v>
      </c>
      <c r="Q81" s="29">
        <f t="shared" si="1"/>
        <v>6.8547836768117927</v>
      </c>
      <c r="R81" s="29">
        <v>0</v>
      </c>
      <c r="S81" s="5">
        <v>0.38</v>
      </c>
      <c r="U81" s="5">
        <v>0</v>
      </c>
    </row>
    <row r="82" spans="1:21" x14ac:dyDescent="0.3">
      <c r="A82" s="5" t="s">
        <v>366</v>
      </c>
      <c r="B82" s="5" t="s">
        <v>367</v>
      </c>
      <c r="C82" s="5">
        <v>2003</v>
      </c>
      <c r="D82" s="106">
        <v>106.43</v>
      </c>
      <c r="E82" s="106">
        <v>30.43</v>
      </c>
      <c r="F82" s="29">
        <v>1999</v>
      </c>
      <c r="G82" s="29">
        <v>343.2</v>
      </c>
      <c r="H82" s="29">
        <v>720</v>
      </c>
      <c r="I82" s="29">
        <v>27.8</v>
      </c>
      <c r="J82" s="29">
        <v>1.34699999</v>
      </c>
      <c r="K82" s="29">
        <v>29.7</v>
      </c>
      <c r="L82" s="29">
        <v>41.6</v>
      </c>
      <c r="M82" s="29">
        <v>28.7</v>
      </c>
      <c r="N82" s="29">
        <v>8.1999999999999993</v>
      </c>
      <c r="O82" s="29">
        <v>11.653132250580047</v>
      </c>
      <c r="P82" s="29">
        <v>1.7</v>
      </c>
      <c r="Q82" s="29">
        <f t="shared" si="1"/>
        <v>6.8547836768117927</v>
      </c>
      <c r="R82" s="29">
        <v>150</v>
      </c>
      <c r="S82" s="5">
        <v>1.06</v>
      </c>
      <c r="U82" s="5">
        <f>100*(S82-S81)/R82</f>
        <v>0.45333333333333331</v>
      </c>
    </row>
    <row r="83" spans="1:21" x14ac:dyDescent="0.3">
      <c r="A83" s="5" t="s">
        <v>366</v>
      </c>
      <c r="B83" s="5" t="s">
        <v>367</v>
      </c>
      <c r="C83" s="5">
        <v>2003</v>
      </c>
      <c r="D83" s="106">
        <v>106.43</v>
      </c>
      <c r="E83" s="106">
        <v>30.43</v>
      </c>
      <c r="F83" s="29">
        <v>1999</v>
      </c>
      <c r="G83" s="29">
        <v>343.2</v>
      </c>
      <c r="H83" s="29">
        <v>720</v>
      </c>
      <c r="I83" s="29">
        <v>27.8</v>
      </c>
      <c r="J83" s="29">
        <v>1.34699999</v>
      </c>
      <c r="K83" s="29">
        <v>29.7</v>
      </c>
      <c r="L83" s="29">
        <v>41.6</v>
      </c>
      <c r="M83" s="29">
        <v>28.7</v>
      </c>
      <c r="N83" s="29">
        <v>8.1999999999999993</v>
      </c>
      <c r="O83" s="29">
        <v>11.653132250580047</v>
      </c>
      <c r="P83" s="29">
        <v>1.7</v>
      </c>
      <c r="Q83" s="29">
        <f t="shared" si="1"/>
        <v>6.8547836768117927</v>
      </c>
      <c r="R83" s="29">
        <v>225</v>
      </c>
      <c r="S83" s="5">
        <v>1.1299999999999999</v>
      </c>
      <c r="U83" s="5">
        <f>100*(S83-S81)/R83</f>
        <v>0.33333333333333326</v>
      </c>
    </row>
    <row r="84" spans="1:21" x14ac:dyDescent="0.3">
      <c r="A84" s="5" t="s">
        <v>366</v>
      </c>
      <c r="B84" s="5" t="s">
        <v>367</v>
      </c>
      <c r="C84" s="5">
        <v>2003</v>
      </c>
      <c r="D84" s="106">
        <v>106.43</v>
      </c>
      <c r="E84" s="106">
        <v>30.43</v>
      </c>
      <c r="F84" s="29">
        <v>1999</v>
      </c>
      <c r="G84" s="29">
        <v>343.2</v>
      </c>
      <c r="H84" s="29">
        <v>720</v>
      </c>
      <c r="I84" s="29">
        <v>27.8</v>
      </c>
      <c r="J84" s="29">
        <v>1.34699999</v>
      </c>
      <c r="K84" s="29">
        <v>29.7</v>
      </c>
      <c r="L84" s="29">
        <v>41.6</v>
      </c>
      <c r="M84" s="29">
        <v>28.7</v>
      </c>
      <c r="N84" s="29">
        <v>8.1999999999999993</v>
      </c>
      <c r="O84" s="29">
        <v>11.653132250580047</v>
      </c>
      <c r="P84" s="29">
        <v>1.7</v>
      </c>
      <c r="Q84" s="29">
        <f t="shared" si="1"/>
        <v>6.8547836768117927</v>
      </c>
      <c r="R84" s="29">
        <v>150</v>
      </c>
      <c r="S84" s="5">
        <v>1.1200000000000001</v>
      </c>
      <c r="U84" s="5">
        <f>100*(S84-S81)/R84</f>
        <v>0.4933333333333334</v>
      </c>
    </row>
    <row r="85" spans="1:21" x14ac:dyDescent="0.3">
      <c r="A85" s="5" t="s">
        <v>366</v>
      </c>
      <c r="B85" s="5" t="s">
        <v>367</v>
      </c>
      <c r="C85" s="5">
        <v>2003</v>
      </c>
      <c r="D85" s="106">
        <v>106.43</v>
      </c>
      <c r="E85" s="106">
        <v>30.43</v>
      </c>
      <c r="F85" s="29">
        <v>1999</v>
      </c>
      <c r="G85" s="29">
        <v>343.2</v>
      </c>
      <c r="H85" s="29">
        <v>720</v>
      </c>
      <c r="I85" s="29">
        <v>27.8</v>
      </c>
      <c r="J85" s="29">
        <v>1.34699999</v>
      </c>
      <c r="K85" s="29">
        <v>29.7</v>
      </c>
      <c r="L85" s="29">
        <v>41.6</v>
      </c>
      <c r="M85" s="29">
        <v>28.7</v>
      </c>
      <c r="N85" s="29">
        <v>8.1999999999999993</v>
      </c>
      <c r="O85" s="29">
        <v>11.653132250580047</v>
      </c>
      <c r="P85" s="29">
        <v>1.7</v>
      </c>
      <c r="Q85" s="29">
        <f t="shared" si="1"/>
        <v>6.8547836768117927</v>
      </c>
      <c r="R85" s="29">
        <v>225</v>
      </c>
      <c r="S85" s="5">
        <v>1.49</v>
      </c>
      <c r="U85" s="5">
        <f>100*(S85-S81)/R85</f>
        <v>0.49333333333333329</v>
      </c>
    </row>
    <row r="86" spans="1:21" x14ac:dyDescent="0.3">
      <c r="A86" s="5" t="s">
        <v>366</v>
      </c>
      <c r="B86" s="5" t="s">
        <v>367</v>
      </c>
      <c r="C86" s="5">
        <v>2003</v>
      </c>
      <c r="D86" s="106">
        <v>106.43</v>
      </c>
      <c r="E86" s="106">
        <v>30.43</v>
      </c>
      <c r="F86" s="29">
        <v>1999</v>
      </c>
      <c r="G86" s="29">
        <v>343.2</v>
      </c>
      <c r="H86" s="29">
        <v>720</v>
      </c>
      <c r="I86" s="29">
        <v>27.8</v>
      </c>
      <c r="J86" s="29">
        <v>1.34699999</v>
      </c>
      <c r="K86" s="29">
        <v>29.7</v>
      </c>
      <c r="L86" s="29">
        <v>41.6</v>
      </c>
      <c r="M86" s="29">
        <v>28.7</v>
      </c>
      <c r="N86" s="29">
        <v>8.1999999999999993</v>
      </c>
      <c r="O86" s="29">
        <v>11.653132250580047</v>
      </c>
      <c r="P86" s="29">
        <v>1.7</v>
      </c>
      <c r="Q86" s="29">
        <f t="shared" si="1"/>
        <v>6.8547836768117927</v>
      </c>
      <c r="R86" s="29">
        <v>0</v>
      </c>
      <c r="S86" s="5">
        <v>0.68</v>
      </c>
      <c r="U86" s="5">
        <v>0</v>
      </c>
    </row>
    <row r="87" spans="1:21" x14ac:dyDescent="0.3">
      <c r="A87" s="5" t="s">
        <v>366</v>
      </c>
      <c r="B87" s="5" t="s">
        <v>367</v>
      </c>
      <c r="C87" s="5">
        <v>2003</v>
      </c>
      <c r="D87" s="106">
        <v>106.43</v>
      </c>
      <c r="E87" s="106">
        <v>30.43</v>
      </c>
      <c r="F87" s="29">
        <v>1999</v>
      </c>
      <c r="G87" s="29">
        <v>343.2</v>
      </c>
      <c r="H87" s="29">
        <v>720</v>
      </c>
      <c r="I87" s="29">
        <v>27.8</v>
      </c>
      <c r="J87" s="29">
        <v>1.34699999</v>
      </c>
      <c r="K87" s="29">
        <v>29.7</v>
      </c>
      <c r="L87" s="29">
        <v>41.6</v>
      </c>
      <c r="M87" s="29">
        <v>28.7</v>
      </c>
      <c r="N87" s="29">
        <v>8.1999999999999993</v>
      </c>
      <c r="O87" s="29">
        <v>11.653132250580047</v>
      </c>
      <c r="P87" s="29">
        <v>1.7</v>
      </c>
      <c r="Q87" s="29">
        <f t="shared" si="1"/>
        <v>6.8547836768117927</v>
      </c>
      <c r="R87" s="29">
        <v>150</v>
      </c>
      <c r="S87" s="5">
        <v>2.04</v>
      </c>
      <c r="U87" s="5">
        <f>100*(S87-S86)/R87</f>
        <v>0.90666666666666662</v>
      </c>
    </row>
    <row r="88" spans="1:21" x14ac:dyDescent="0.3">
      <c r="A88" s="5" t="s">
        <v>366</v>
      </c>
      <c r="B88" s="5" t="s">
        <v>367</v>
      </c>
      <c r="C88" s="5">
        <v>2003</v>
      </c>
      <c r="D88" s="106">
        <v>106.43</v>
      </c>
      <c r="E88" s="106">
        <v>30.43</v>
      </c>
      <c r="F88" s="29">
        <v>1999</v>
      </c>
      <c r="G88" s="29">
        <v>343.2</v>
      </c>
      <c r="H88" s="29">
        <v>720</v>
      </c>
      <c r="I88" s="29">
        <v>27.8</v>
      </c>
      <c r="J88" s="29">
        <v>1.34699999</v>
      </c>
      <c r="K88" s="29">
        <v>29.7</v>
      </c>
      <c r="L88" s="29">
        <v>41.6</v>
      </c>
      <c r="M88" s="29">
        <v>28.7</v>
      </c>
      <c r="N88" s="29">
        <v>8.1999999999999993</v>
      </c>
      <c r="O88" s="29">
        <v>11.653132250580047</v>
      </c>
      <c r="P88" s="29">
        <v>1.7</v>
      </c>
      <c r="Q88" s="29">
        <f t="shared" si="1"/>
        <v>6.8547836768117927</v>
      </c>
      <c r="R88" s="29">
        <v>225</v>
      </c>
      <c r="S88" s="5">
        <v>2.87</v>
      </c>
      <c r="U88" s="5">
        <f>100*(S88-S86)/R88</f>
        <v>0.97333333333333338</v>
      </c>
    </row>
    <row r="89" spans="1:21" x14ac:dyDescent="0.3">
      <c r="A89" s="5" t="s">
        <v>366</v>
      </c>
      <c r="B89" s="5" t="s">
        <v>367</v>
      </c>
      <c r="C89" s="5">
        <v>2003</v>
      </c>
      <c r="D89" s="106">
        <v>106.43</v>
      </c>
      <c r="E89" s="106">
        <v>30.43</v>
      </c>
      <c r="F89" s="29">
        <v>1999</v>
      </c>
      <c r="G89" s="29">
        <v>343.2</v>
      </c>
      <c r="H89" s="29">
        <v>720</v>
      </c>
      <c r="I89" s="29">
        <v>27.8</v>
      </c>
      <c r="J89" s="29">
        <v>1.34699999</v>
      </c>
      <c r="K89" s="29">
        <v>29.7</v>
      </c>
      <c r="L89" s="29">
        <v>41.6</v>
      </c>
      <c r="M89" s="29">
        <v>28.7</v>
      </c>
      <c r="N89" s="29">
        <v>8.1999999999999993</v>
      </c>
      <c r="O89" s="29">
        <v>11.653132250580047</v>
      </c>
      <c r="P89" s="29">
        <v>1.7</v>
      </c>
      <c r="Q89" s="29">
        <f t="shared" si="1"/>
        <v>6.8547836768117927</v>
      </c>
      <c r="R89" s="29">
        <v>150</v>
      </c>
      <c r="S89" s="5">
        <v>2.16</v>
      </c>
      <c r="U89" s="5">
        <f>100*(S89-S86)/R89</f>
        <v>0.98666666666666669</v>
      </c>
    </row>
    <row r="90" spans="1:21" x14ac:dyDescent="0.3">
      <c r="A90" s="81" t="s">
        <v>366</v>
      </c>
      <c r="B90" s="81" t="s">
        <v>367</v>
      </c>
      <c r="C90" s="81">
        <v>2003</v>
      </c>
      <c r="D90" s="107">
        <v>106.43</v>
      </c>
      <c r="E90" s="107">
        <v>30.43</v>
      </c>
      <c r="F90" s="34">
        <v>1999</v>
      </c>
      <c r="G90" s="34">
        <v>343.2</v>
      </c>
      <c r="H90" s="34">
        <v>720</v>
      </c>
      <c r="I90" s="34">
        <v>27.8</v>
      </c>
      <c r="J90" s="34">
        <v>1.34699999</v>
      </c>
      <c r="K90" s="34">
        <v>29.7</v>
      </c>
      <c r="L90" s="34">
        <v>41.6</v>
      </c>
      <c r="M90" s="34">
        <v>28.7</v>
      </c>
      <c r="N90" s="34">
        <v>8.1999999999999993</v>
      </c>
      <c r="O90" s="34">
        <v>11.653132250580047</v>
      </c>
      <c r="P90" s="34">
        <v>1.7</v>
      </c>
      <c r="Q90" s="34">
        <f t="shared" si="1"/>
        <v>6.8547836768117927</v>
      </c>
      <c r="R90" s="34">
        <v>225</v>
      </c>
      <c r="S90" s="81">
        <v>2.9</v>
      </c>
      <c r="T90" s="81"/>
      <c r="U90" s="81">
        <f>100*(S90-S86)/R90</f>
        <v>0.98666666666666658</v>
      </c>
    </row>
    <row r="91" spans="1:21" x14ac:dyDescent="0.3">
      <c r="A91" s="5" t="s">
        <v>368</v>
      </c>
      <c r="B91" s="5" t="s">
        <v>369</v>
      </c>
      <c r="C91" s="5">
        <v>2005</v>
      </c>
      <c r="D91" s="106">
        <v>111.25</v>
      </c>
      <c r="E91" s="106">
        <v>30.83</v>
      </c>
      <c r="F91" s="29">
        <v>2003</v>
      </c>
      <c r="G91" s="29">
        <v>480</v>
      </c>
      <c r="H91" s="29">
        <v>660</v>
      </c>
      <c r="I91" s="29">
        <v>26.6</v>
      </c>
      <c r="J91" s="29">
        <v>1.31428572</v>
      </c>
      <c r="K91" s="29">
        <v>41</v>
      </c>
      <c r="L91" s="29">
        <v>42</v>
      </c>
      <c r="M91" s="29">
        <v>17</v>
      </c>
      <c r="N91" s="29">
        <v>6.8</v>
      </c>
      <c r="O91" s="29">
        <v>10.498839907192576</v>
      </c>
      <c r="P91" s="29">
        <v>0.91</v>
      </c>
      <c r="Q91" s="29">
        <f t="shared" si="1"/>
        <v>11.537186711200633</v>
      </c>
      <c r="R91" s="29">
        <v>0</v>
      </c>
      <c r="S91" s="5">
        <v>5.0697174866338699</v>
      </c>
      <c r="T91" s="5">
        <f>AVERAGE(S91,S98)</f>
        <v>4.57315618639592</v>
      </c>
      <c r="U91" s="5">
        <v>0</v>
      </c>
    </row>
    <row r="92" spans="1:21" x14ac:dyDescent="0.3">
      <c r="A92" s="5" t="s">
        <v>368</v>
      </c>
      <c r="B92" s="5" t="s">
        <v>369</v>
      </c>
      <c r="C92" s="5">
        <v>2005</v>
      </c>
      <c r="D92" s="106">
        <v>111.25</v>
      </c>
      <c r="E92" s="106">
        <v>30.83</v>
      </c>
      <c r="F92" s="29">
        <v>2003</v>
      </c>
      <c r="G92" s="29">
        <v>480</v>
      </c>
      <c r="H92" s="29">
        <v>660</v>
      </c>
      <c r="I92" s="29">
        <v>26.6</v>
      </c>
      <c r="J92" s="29">
        <v>1.31428572</v>
      </c>
      <c r="K92" s="29">
        <v>41</v>
      </c>
      <c r="L92" s="29">
        <v>42</v>
      </c>
      <c r="M92" s="29">
        <v>17</v>
      </c>
      <c r="N92" s="29">
        <v>6.8</v>
      </c>
      <c r="O92" s="29">
        <v>10.498839907192576</v>
      </c>
      <c r="P92" s="29">
        <v>0.91</v>
      </c>
      <c r="Q92" s="29">
        <f t="shared" si="1"/>
        <v>11.537186711200633</v>
      </c>
      <c r="R92" s="29">
        <v>120</v>
      </c>
      <c r="S92" s="5">
        <v>7.3981118304326401</v>
      </c>
      <c r="U92" s="5">
        <f>100*(S92-S91)/R92</f>
        <v>1.9403286198323084</v>
      </c>
    </row>
    <row r="93" spans="1:21" x14ac:dyDescent="0.3">
      <c r="A93" s="5" t="s">
        <v>368</v>
      </c>
      <c r="B93" s="5" t="s">
        <v>369</v>
      </c>
      <c r="C93" s="5">
        <v>2005</v>
      </c>
      <c r="D93" s="106">
        <v>111.25</v>
      </c>
      <c r="E93" s="106">
        <v>30.83</v>
      </c>
      <c r="F93" s="29">
        <v>2003</v>
      </c>
      <c r="G93" s="29">
        <v>480</v>
      </c>
      <c r="H93" s="29">
        <v>660</v>
      </c>
      <c r="I93" s="29">
        <v>26.6</v>
      </c>
      <c r="J93" s="29">
        <v>1.31428572</v>
      </c>
      <c r="K93" s="29">
        <v>41</v>
      </c>
      <c r="L93" s="29">
        <v>42</v>
      </c>
      <c r="M93" s="29">
        <v>17</v>
      </c>
      <c r="N93" s="29">
        <v>6.8</v>
      </c>
      <c r="O93" s="29">
        <v>10.498839907192576</v>
      </c>
      <c r="P93" s="29">
        <v>0.91</v>
      </c>
      <c r="Q93" s="29">
        <f t="shared" si="1"/>
        <v>11.537186711200633</v>
      </c>
      <c r="R93" s="29">
        <v>120</v>
      </c>
      <c r="S93" s="5">
        <v>8.0883914955228704</v>
      </c>
      <c r="U93" s="5">
        <f>100*(S93-S91)/R93</f>
        <v>2.5155616740741675</v>
      </c>
    </row>
    <row r="94" spans="1:21" x14ac:dyDescent="0.3">
      <c r="A94" s="5" t="s">
        <v>368</v>
      </c>
      <c r="B94" s="5" t="s">
        <v>369</v>
      </c>
      <c r="C94" s="5">
        <v>2005</v>
      </c>
      <c r="D94" s="106">
        <v>111.25</v>
      </c>
      <c r="E94" s="106">
        <v>30.83</v>
      </c>
      <c r="F94" s="29">
        <v>2003</v>
      </c>
      <c r="G94" s="29">
        <v>480</v>
      </c>
      <c r="H94" s="29">
        <v>660</v>
      </c>
      <c r="I94" s="29">
        <v>26.6</v>
      </c>
      <c r="J94" s="29">
        <v>1.31428572</v>
      </c>
      <c r="K94" s="29">
        <v>41</v>
      </c>
      <c r="L94" s="29">
        <v>42</v>
      </c>
      <c r="M94" s="29">
        <v>17</v>
      </c>
      <c r="N94" s="29">
        <v>6.8</v>
      </c>
      <c r="O94" s="29">
        <v>10.498839907192576</v>
      </c>
      <c r="P94" s="29">
        <v>0.91</v>
      </c>
      <c r="Q94" s="29">
        <f t="shared" si="1"/>
        <v>11.537186711200633</v>
      </c>
      <c r="R94" s="29">
        <v>120</v>
      </c>
      <c r="S94" s="5">
        <v>7.9736059766322702</v>
      </c>
      <c r="U94" s="5">
        <f>100*(S94-S91)/R94</f>
        <v>2.4199070749986671</v>
      </c>
    </row>
    <row r="95" spans="1:21" x14ac:dyDescent="0.3">
      <c r="A95" s="5" t="s">
        <v>368</v>
      </c>
      <c r="B95" s="5" t="s">
        <v>369</v>
      </c>
      <c r="C95" s="5">
        <v>2005</v>
      </c>
      <c r="D95" s="106">
        <v>111.25</v>
      </c>
      <c r="E95" s="106">
        <v>30.83</v>
      </c>
      <c r="F95" s="29">
        <v>2003</v>
      </c>
      <c r="G95" s="29">
        <v>480</v>
      </c>
      <c r="H95" s="29">
        <v>660</v>
      </c>
      <c r="I95" s="29">
        <v>26.6</v>
      </c>
      <c r="J95" s="29">
        <v>1.31428572</v>
      </c>
      <c r="K95" s="29">
        <v>41</v>
      </c>
      <c r="L95" s="29">
        <v>42</v>
      </c>
      <c r="M95" s="29">
        <v>17</v>
      </c>
      <c r="N95" s="29">
        <v>6.8</v>
      </c>
      <c r="O95" s="29">
        <v>10.498839907192576</v>
      </c>
      <c r="P95" s="29">
        <v>0.91</v>
      </c>
      <c r="Q95" s="29">
        <f t="shared" si="1"/>
        <v>11.537186711200633</v>
      </c>
      <c r="R95" s="29">
        <v>180</v>
      </c>
      <c r="S95" s="5">
        <v>8.4217109830705592</v>
      </c>
      <c r="U95" s="5">
        <f>100*(S95-S91)/R95</f>
        <v>1.8622186091314941</v>
      </c>
    </row>
    <row r="96" spans="1:21" x14ac:dyDescent="0.3">
      <c r="A96" s="5" t="s">
        <v>368</v>
      </c>
      <c r="B96" s="5" t="s">
        <v>369</v>
      </c>
      <c r="C96" s="5">
        <v>2005</v>
      </c>
      <c r="D96" s="106">
        <v>111.25</v>
      </c>
      <c r="E96" s="106">
        <v>30.83</v>
      </c>
      <c r="F96" s="29">
        <v>2003</v>
      </c>
      <c r="G96" s="29">
        <v>480</v>
      </c>
      <c r="H96" s="29">
        <v>660</v>
      </c>
      <c r="I96" s="29">
        <v>26.6</v>
      </c>
      <c r="J96" s="29">
        <v>1.31428572</v>
      </c>
      <c r="K96" s="29">
        <v>41</v>
      </c>
      <c r="L96" s="29">
        <v>42</v>
      </c>
      <c r="M96" s="29">
        <v>17</v>
      </c>
      <c r="N96" s="29">
        <v>6.8</v>
      </c>
      <c r="O96" s="29">
        <v>10.498839907192576</v>
      </c>
      <c r="P96" s="29">
        <v>0.91</v>
      </c>
      <c r="Q96" s="29">
        <f t="shared" si="1"/>
        <v>11.537186711200633</v>
      </c>
      <c r="R96" s="29">
        <v>180</v>
      </c>
      <c r="S96" s="5">
        <v>10.2132053191553</v>
      </c>
      <c r="U96" s="5">
        <f>100*(S96-S91)/R96</f>
        <v>2.8574932402896831</v>
      </c>
    </row>
    <row r="97" spans="1:21" x14ac:dyDescent="0.3">
      <c r="A97" s="5" t="s">
        <v>368</v>
      </c>
      <c r="B97" s="5" t="s">
        <v>369</v>
      </c>
      <c r="C97" s="5">
        <v>2005</v>
      </c>
      <c r="D97" s="106">
        <v>111.25</v>
      </c>
      <c r="E97" s="106">
        <v>30.83</v>
      </c>
      <c r="F97" s="29">
        <v>2003</v>
      </c>
      <c r="G97" s="29">
        <v>480</v>
      </c>
      <c r="H97" s="29">
        <v>660</v>
      </c>
      <c r="I97" s="29">
        <v>26.6</v>
      </c>
      <c r="J97" s="29">
        <v>1.31428572</v>
      </c>
      <c r="K97" s="29">
        <v>41</v>
      </c>
      <c r="L97" s="29">
        <v>42</v>
      </c>
      <c r="M97" s="29">
        <v>17</v>
      </c>
      <c r="N97" s="29">
        <v>6.8</v>
      </c>
      <c r="O97" s="29">
        <v>10.498839907192576</v>
      </c>
      <c r="P97" s="29">
        <v>0.91</v>
      </c>
      <c r="Q97" s="29">
        <f t="shared" si="1"/>
        <v>11.537186711200633</v>
      </c>
      <c r="R97" s="29">
        <v>180</v>
      </c>
      <c r="S97" s="5">
        <v>9.1308604760181105</v>
      </c>
      <c r="U97" s="5">
        <v>0</v>
      </c>
    </row>
    <row r="98" spans="1:21" x14ac:dyDescent="0.3">
      <c r="A98" s="5" t="s">
        <v>368</v>
      </c>
      <c r="B98" s="5" t="s">
        <v>369</v>
      </c>
      <c r="C98" s="5">
        <v>2005</v>
      </c>
      <c r="D98" s="106">
        <v>111.25</v>
      </c>
      <c r="E98" s="106">
        <v>30.83</v>
      </c>
      <c r="F98" s="29">
        <v>2003</v>
      </c>
      <c r="G98" s="29">
        <v>480</v>
      </c>
      <c r="H98" s="29">
        <v>660</v>
      </c>
      <c r="I98" s="29">
        <v>26.6</v>
      </c>
      <c r="J98" s="29">
        <v>1.31428572</v>
      </c>
      <c r="K98" s="29">
        <v>41</v>
      </c>
      <c r="L98" s="29">
        <v>42</v>
      </c>
      <c r="M98" s="29">
        <v>17</v>
      </c>
      <c r="N98" s="29">
        <v>6.8</v>
      </c>
      <c r="O98" s="29">
        <v>10.498839907192576</v>
      </c>
      <c r="P98" s="29">
        <v>0.91</v>
      </c>
      <c r="Q98" s="29">
        <f t="shared" si="1"/>
        <v>11.537186711200633</v>
      </c>
      <c r="R98" s="29">
        <v>0</v>
      </c>
      <c r="S98" s="5">
        <v>4.0765948861579702</v>
      </c>
      <c r="U98" s="5">
        <v>0</v>
      </c>
    </row>
    <row r="99" spans="1:21" x14ac:dyDescent="0.3">
      <c r="A99" s="5" t="s">
        <v>368</v>
      </c>
      <c r="B99" s="5" t="s">
        <v>369</v>
      </c>
      <c r="C99" s="5">
        <v>2005</v>
      </c>
      <c r="D99" s="106">
        <v>111.25</v>
      </c>
      <c r="E99" s="106">
        <v>30.83</v>
      </c>
      <c r="F99" s="29">
        <v>2003</v>
      </c>
      <c r="G99" s="29">
        <v>480</v>
      </c>
      <c r="H99" s="29">
        <v>660</v>
      </c>
      <c r="I99" s="29">
        <v>26.6</v>
      </c>
      <c r="J99" s="29">
        <v>1.31428572</v>
      </c>
      <c r="K99" s="29">
        <v>41</v>
      </c>
      <c r="L99" s="29">
        <v>42</v>
      </c>
      <c r="M99" s="29">
        <v>17</v>
      </c>
      <c r="N99" s="29">
        <v>6.8</v>
      </c>
      <c r="O99" s="29">
        <v>10.498839907192576</v>
      </c>
      <c r="P99" s="29">
        <v>0.91</v>
      </c>
      <c r="Q99" s="29">
        <f t="shared" si="1"/>
        <v>11.537186711200633</v>
      </c>
      <c r="R99" s="29">
        <v>120</v>
      </c>
      <c r="S99" s="5">
        <v>5.5442402520724201</v>
      </c>
      <c r="U99" s="5">
        <f>100*(S99-S98)/R99</f>
        <v>1.2230378049287083</v>
      </c>
    </row>
    <row r="100" spans="1:21" x14ac:dyDescent="0.3">
      <c r="A100" s="5" t="s">
        <v>368</v>
      </c>
      <c r="B100" s="5" t="s">
        <v>369</v>
      </c>
      <c r="C100" s="5">
        <v>2005</v>
      </c>
      <c r="D100" s="106">
        <v>111.25</v>
      </c>
      <c r="E100" s="106">
        <v>30.83</v>
      </c>
      <c r="F100" s="29">
        <v>2003</v>
      </c>
      <c r="G100" s="29">
        <v>480</v>
      </c>
      <c r="H100" s="29">
        <v>660</v>
      </c>
      <c r="I100" s="29">
        <v>26.6</v>
      </c>
      <c r="J100" s="29">
        <v>1.31428572</v>
      </c>
      <c r="K100" s="29">
        <v>41</v>
      </c>
      <c r="L100" s="29">
        <v>42</v>
      </c>
      <c r="M100" s="29">
        <v>17</v>
      </c>
      <c r="N100" s="29">
        <v>6.8</v>
      </c>
      <c r="O100" s="29">
        <v>10.498839907192576</v>
      </c>
      <c r="P100" s="29">
        <v>0.91</v>
      </c>
      <c r="Q100" s="29">
        <f t="shared" si="1"/>
        <v>11.537186711200633</v>
      </c>
      <c r="R100" s="29">
        <v>120</v>
      </c>
      <c r="S100" s="5">
        <v>6.2607952623677496</v>
      </c>
      <c r="U100" s="5">
        <f>100*(S100-S98)/R100</f>
        <v>1.8201669801748162</v>
      </c>
    </row>
    <row r="101" spans="1:21" x14ac:dyDescent="0.3">
      <c r="A101" s="5" t="s">
        <v>368</v>
      </c>
      <c r="B101" s="5" t="s">
        <v>369</v>
      </c>
      <c r="C101" s="5">
        <v>2005</v>
      </c>
      <c r="D101" s="106">
        <v>111.25</v>
      </c>
      <c r="E101" s="106">
        <v>30.83</v>
      </c>
      <c r="F101" s="29">
        <v>2003</v>
      </c>
      <c r="G101" s="29">
        <v>480</v>
      </c>
      <c r="H101" s="29">
        <v>660</v>
      </c>
      <c r="I101" s="29">
        <v>26.6</v>
      </c>
      <c r="J101" s="29">
        <v>1.31428572</v>
      </c>
      <c r="K101" s="29">
        <v>41</v>
      </c>
      <c r="L101" s="29">
        <v>42</v>
      </c>
      <c r="M101" s="29">
        <v>17</v>
      </c>
      <c r="N101" s="29">
        <v>6.8</v>
      </c>
      <c r="O101" s="29">
        <v>10.498839907192576</v>
      </c>
      <c r="P101" s="29">
        <v>0.91</v>
      </c>
      <c r="Q101" s="29">
        <f t="shared" si="1"/>
        <v>11.537186711200633</v>
      </c>
      <c r="R101" s="29">
        <v>120</v>
      </c>
      <c r="S101" s="5">
        <v>5.8250090492098998</v>
      </c>
      <c r="U101" s="5">
        <f>100*(S101-S98)/R101</f>
        <v>1.4570118025432748</v>
      </c>
    </row>
    <row r="102" spans="1:21" x14ac:dyDescent="0.3">
      <c r="A102" s="5" t="s">
        <v>368</v>
      </c>
      <c r="B102" s="5" t="s">
        <v>369</v>
      </c>
      <c r="C102" s="5">
        <v>2005</v>
      </c>
      <c r="D102" s="106">
        <v>111.25</v>
      </c>
      <c r="E102" s="106">
        <v>30.83</v>
      </c>
      <c r="F102" s="29">
        <v>2003</v>
      </c>
      <c r="G102" s="29">
        <v>480</v>
      </c>
      <c r="H102" s="29">
        <v>660</v>
      </c>
      <c r="I102" s="29">
        <v>26.6</v>
      </c>
      <c r="J102" s="29">
        <v>1.31428572</v>
      </c>
      <c r="K102" s="29">
        <v>41</v>
      </c>
      <c r="L102" s="29">
        <v>42</v>
      </c>
      <c r="M102" s="29">
        <v>17</v>
      </c>
      <c r="N102" s="29">
        <v>6.8</v>
      </c>
      <c r="O102" s="29">
        <v>10.498839907192576</v>
      </c>
      <c r="P102" s="29">
        <v>0.91</v>
      </c>
      <c r="Q102" s="29">
        <f t="shared" si="1"/>
        <v>11.537186711200633</v>
      </c>
      <c r="R102" s="29">
        <v>180</v>
      </c>
      <c r="S102" s="5">
        <v>6.7026340618194604</v>
      </c>
      <c r="U102" s="5">
        <f>100*(S102-S98)/R102</f>
        <v>1.4589106531452725</v>
      </c>
    </row>
    <row r="103" spans="1:21" x14ac:dyDescent="0.3">
      <c r="A103" s="5" t="s">
        <v>368</v>
      </c>
      <c r="B103" s="5" t="s">
        <v>369</v>
      </c>
      <c r="C103" s="5">
        <v>2005</v>
      </c>
      <c r="D103" s="106">
        <v>111.25</v>
      </c>
      <c r="E103" s="106">
        <v>30.83</v>
      </c>
      <c r="F103" s="29">
        <v>2003</v>
      </c>
      <c r="G103" s="29">
        <v>480</v>
      </c>
      <c r="H103" s="29">
        <v>660</v>
      </c>
      <c r="I103" s="29">
        <v>26.6</v>
      </c>
      <c r="J103" s="29">
        <v>1.31428572</v>
      </c>
      <c r="K103" s="29">
        <v>41</v>
      </c>
      <c r="L103" s="29">
        <v>42</v>
      </c>
      <c r="M103" s="29">
        <v>17</v>
      </c>
      <c r="N103" s="29">
        <v>6.8</v>
      </c>
      <c r="O103" s="29">
        <v>10.498839907192576</v>
      </c>
      <c r="P103" s="29">
        <v>0.91</v>
      </c>
      <c r="Q103" s="29">
        <f t="shared" si="1"/>
        <v>11.537186711200633</v>
      </c>
      <c r="R103" s="29">
        <v>180</v>
      </c>
      <c r="S103" s="5">
        <v>7.7678892495386398</v>
      </c>
      <c r="U103" s="5">
        <f>100*(S103-S98)/R103</f>
        <v>2.0507190907670387</v>
      </c>
    </row>
    <row r="104" spans="1:21" x14ac:dyDescent="0.3">
      <c r="A104" s="81" t="s">
        <v>368</v>
      </c>
      <c r="B104" s="81" t="s">
        <v>369</v>
      </c>
      <c r="C104" s="81">
        <v>2005</v>
      </c>
      <c r="D104" s="107">
        <v>111.25</v>
      </c>
      <c r="E104" s="107">
        <v>30.83</v>
      </c>
      <c r="F104" s="34">
        <v>2003</v>
      </c>
      <c r="G104" s="34">
        <v>480</v>
      </c>
      <c r="H104" s="34">
        <v>660</v>
      </c>
      <c r="I104" s="34">
        <v>26.6</v>
      </c>
      <c r="J104" s="34">
        <v>1.31428572</v>
      </c>
      <c r="K104" s="29">
        <v>41</v>
      </c>
      <c r="L104" s="29">
        <v>42</v>
      </c>
      <c r="M104" s="29">
        <v>17</v>
      </c>
      <c r="N104" s="34">
        <v>6.8</v>
      </c>
      <c r="O104" s="34">
        <v>10.498839907192576</v>
      </c>
      <c r="P104" s="34">
        <v>0.91</v>
      </c>
      <c r="Q104" s="34">
        <f t="shared" si="1"/>
        <v>11.537186711200633</v>
      </c>
      <c r="R104" s="34">
        <v>180</v>
      </c>
      <c r="S104" s="81">
        <v>7.3578087264052998</v>
      </c>
      <c r="T104" s="81"/>
      <c r="U104" s="81">
        <v>0</v>
      </c>
    </row>
    <row r="105" spans="1:21" x14ac:dyDescent="0.3">
      <c r="A105" s="5" t="s">
        <v>370</v>
      </c>
      <c r="B105" s="5" t="s">
        <v>371</v>
      </c>
      <c r="C105" s="5">
        <v>2006</v>
      </c>
      <c r="D105" s="106">
        <v>120.831486</v>
      </c>
      <c r="E105" s="106">
        <v>31.669446000000001</v>
      </c>
      <c r="F105" s="29">
        <v>2001</v>
      </c>
      <c r="G105" s="29">
        <v>528</v>
      </c>
      <c r="H105" s="29">
        <v>804</v>
      </c>
      <c r="I105" s="29">
        <v>26.7</v>
      </c>
      <c r="J105" s="29">
        <v>1.52</v>
      </c>
      <c r="K105" s="29">
        <v>38</v>
      </c>
      <c r="L105" s="29">
        <v>37</v>
      </c>
      <c r="M105" s="29">
        <v>25</v>
      </c>
      <c r="N105" s="29">
        <v>7.36</v>
      </c>
      <c r="O105" s="29">
        <v>20.301624129930396</v>
      </c>
      <c r="P105" s="29">
        <v>2.09</v>
      </c>
      <c r="Q105" s="29">
        <f t="shared" si="1"/>
        <v>9.7136957559475583</v>
      </c>
      <c r="R105" s="29">
        <v>0</v>
      </c>
      <c r="S105" s="5">
        <v>5.0999999999999996</v>
      </c>
      <c r="T105" s="5">
        <f>AVERAGE(S105,S108)</f>
        <v>4.6500000000000004</v>
      </c>
      <c r="U105" s="5">
        <v>0</v>
      </c>
    </row>
    <row r="106" spans="1:21" x14ac:dyDescent="0.3">
      <c r="A106" s="5" t="s">
        <v>370</v>
      </c>
      <c r="B106" s="5" t="s">
        <v>371</v>
      </c>
      <c r="C106" s="5">
        <v>2006</v>
      </c>
      <c r="D106" s="106">
        <v>120.831486</v>
      </c>
      <c r="E106" s="106">
        <v>31.669446000000001</v>
      </c>
      <c r="F106" s="29">
        <v>2001</v>
      </c>
      <c r="G106" s="29">
        <v>528</v>
      </c>
      <c r="H106" s="29">
        <v>804</v>
      </c>
      <c r="I106" s="29">
        <v>26.7</v>
      </c>
      <c r="J106" s="29">
        <v>1.52</v>
      </c>
      <c r="K106" s="29">
        <v>38</v>
      </c>
      <c r="L106" s="29">
        <v>37</v>
      </c>
      <c r="M106" s="29">
        <v>25</v>
      </c>
      <c r="N106" s="29">
        <v>7.36</v>
      </c>
      <c r="O106" s="29">
        <v>20.301624129930396</v>
      </c>
      <c r="P106" s="29">
        <v>2.09</v>
      </c>
      <c r="Q106" s="29">
        <f t="shared" si="1"/>
        <v>9.7136957559475583</v>
      </c>
      <c r="R106" s="29">
        <v>300</v>
      </c>
      <c r="S106" s="5">
        <v>5.2</v>
      </c>
      <c r="U106" s="5">
        <f>100*(S106-S105)/R106</f>
        <v>3.3333333333333513E-2</v>
      </c>
    </row>
    <row r="107" spans="1:21" x14ac:dyDescent="0.3">
      <c r="A107" s="5" t="s">
        <v>370</v>
      </c>
      <c r="B107" s="5" t="s">
        <v>371</v>
      </c>
      <c r="C107" s="5">
        <v>2006</v>
      </c>
      <c r="D107" s="106">
        <v>120.831486</v>
      </c>
      <c r="E107" s="106">
        <v>31.669446000000001</v>
      </c>
      <c r="F107" s="29">
        <v>2001</v>
      </c>
      <c r="G107" s="29">
        <v>528</v>
      </c>
      <c r="H107" s="29">
        <v>804</v>
      </c>
      <c r="I107" s="29">
        <v>26.7</v>
      </c>
      <c r="J107" s="29">
        <v>1.52</v>
      </c>
      <c r="K107" s="29">
        <v>38</v>
      </c>
      <c r="L107" s="29">
        <v>37</v>
      </c>
      <c r="M107" s="29">
        <v>25</v>
      </c>
      <c r="N107" s="29">
        <v>7.36</v>
      </c>
      <c r="O107" s="29">
        <v>20.301624129930396</v>
      </c>
      <c r="P107" s="29">
        <v>2.09</v>
      </c>
      <c r="Q107" s="29">
        <f t="shared" si="1"/>
        <v>9.7136957559475583</v>
      </c>
      <c r="R107" s="29">
        <v>225</v>
      </c>
      <c r="S107" s="5">
        <v>4.8</v>
      </c>
      <c r="U107" s="5">
        <f>100*(S107-S106)/R107</f>
        <v>-0.17777777777777792</v>
      </c>
    </row>
    <row r="108" spans="1:21" x14ac:dyDescent="0.3">
      <c r="A108" s="5" t="s">
        <v>370</v>
      </c>
      <c r="B108" s="5" t="s">
        <v>371</v>
      </c>
      <c r="C108" s="5">
        <v>2006</v>
      </c>
      <c r="D108" s="106">
        <v>120.831486</v>
      </c>
      <c r="E108" s="106">
        <v>31.669446000000001</v>
      </c>
      <c r="F108" s="29">
        <v>2002</v>
      </c>
      <c r="G108" s="29">
        <v>528</v>
      </c>
      <c r="H108" s="29">
        <v>804</v>
      </c>
      <c r="I108" s="29">
        <v>26.7</v>
      </c>
      <c r="J108" s="29">
        <v>1.52</v>
      </c>
      <c r="K108" s="29">
        <v>38</v>
      </c>
      <c r="L108" s="29">
        <v>37</v>
      </c>
      <c r="M108" s="29">
        <v>25</v>
      </c>
      <c r="N108" s="29">
        <v>7.36</v>
      </c>
      <c r="O108" s="29">
        <v>20.301624129930396</v>
      </c>
      <c r="P108" s="29">
        <v>2.09</v>
      </c>
      <c r="Q108" s="29">
        <f t="shared" si="1"/>
        <v>9.7136957559475583</v>
      </c>
      <c r="R108" s="29">
        <v>0</v>
      </c>
      <c r="S108" s="5">
        <v>4.2</v>
      </c>
      <c r="U108" s="5">
        <v>0</v>
      </c>
    </row>
    <row r="109" spans="1:21" x14ac:dyDescent="0.3">
      <c r="A109" s="5" t="s">
        <v>370</v>
      </c>
      <c r="B109" s="5" t="s">
        <v>371</v>
      </c>
      <c r="C109" s="5">
        <v>2006</v>
      </c>
      <c r="D109" s="106">
        <v>120.831486</v>
      </c>
      <c r="E109" s="106">
        <v>31.669446000000001</v>
      </c>
      <c r="F109" s="29">
        <v>2002</v>
      </c>
      <c r="G109" s="29">
        <v>528</v>
      </c>
      <c r="H109" s="29">
        <v>804</v>
      </c>
      <c r="I109" s="29">
        <v>26.7</v>
      </c>
      <c r="J109" s="29">
        <v>1.52</v>
      </c>
      <c r="K109" s="29">
        <v>38</v>
      </c>
      <c r="L109" s="29">
        <v>37</v>
      </c>
      <c r="M109" s="29">
        <v>25</v>
      </c>
      <c r="N109" s="29">
        <v>7.36</v>
      </c>
      <c r="O109" s="29">
        <v>20.301624129930396</v>
      </c>
      <c r="P109" s="29">
        <v>2.09</v>
      </c>
      <c r="Q109" s="29">
        <f t="shared" si="1"/>
        <v>9.7136957559475583</v>
      </c>
      <c r="R109" s="29">
        <v>300</v>
      </c>
      <c r="S109" s="5">
        <v>4.8</v>
      </c>
      <c r="U109" s="5">
        <f>100*(S109-S108)/R109</f>
        <v>0.19999999999999987</v>
      </c>
    </row>
    <row r="110" spans="1:21" x14ac:dyDescent="0.3">
      <c r="A110" s="81" t="s">
        <v>370</v>
      </c>
      <c r="B110" s="81" t="s">
        <v>371</v>
      </c>
      <c r="C110" s="81">
        <v>2006</v>
      </c>
      <c r="D110" s="107">
        <v>120.831486</v>
      </c>
      <c r="E110" s="107">
        <v>31.669446000000001</v>
      </c>
      <c r="F110" s="34">
        <v>2002</v>
      </c>
      <c r="G110" s="34">
        <v>528</v>
      </c>
      <c r="H110" s="34">
        <v>804</v>
      </c>
      <c r="I110" s="34">
        <v>26.7</v>
      </c>
      <c r="J110" s="34">
        <v>1.52</v>
      </c>
      <c r="K110" s="29">
        <v>38</v>
      </c>
      <c r="L110" s="29">
        <v>37</v>
      </c>
      <c r="M110" s="29">
        <v>25</v>
      </c>
      <c r="N110" s="34">
        <v>7.36</v>
      </c>
      <c r="O110" s="34">
        <v>20.301624129930396</v>
      </c>
      <c r="P110" s="34">
        <v>2.09</v>
      </c>
      <c r="Q110" s="34">
        <f t="shared" si="1"/>
        <v>9.7136957559475583</v>
      </c>
      <c r="R110" s="34">
        <v>225</v>
      </c>
      <c r="S110" s="81">
        <v>3.2</v>
      </c>
      <c r="T110" s="81"/>
      <c r="U110" s="81">
        <f>100*(S110-S109)/R110</f>
        <v>-0.71111111111111103</v>
      </c>
    </row>
    <row r="111" spans="1:21" x14ac:dyDescent="0.3">
      <c r="A111" s="5" t="s">
        <v>372</v>
      </c>
      <c r="B111" s="5" t="s">
        <v>373</v>
      </c>
      <c r="C111" s="5">
        <v>2005</v>
      </c>
      <c r="D111" s="106">
        <v>106.43</v>
      </c>
      <c r="E111" s="106">
        <v>30.26</v>
      </c>
      <c r="F111" s="29">
        <v>2004</v>
      </c>
      <c r="G111" s="29">
        <v>343.2</v>
      </c>
      <c r="H111" s="29">
        <v>720</v>
      </c>
      <c r="I111" s="29">
        <v>27.8</v>
      </c>
      <c r="J111" s="29">
        <v>1.34699999</v>
      </c>
      <c r="K111" s="29">
        <v>29.7</v>
      </c>
      <c r="L111" s="29">
        <v>41.6</v>
      </c>
      <c r="M111" s="29">
        <v>28.7</v>
      </c>
      <c r="N111" s="29">
        <v>7.7</v>
      </c>
      <c r="O111" s="29">
        <v>7.0765661252900225</v>
      </c>
      <c r="P111" s="29">
        <v>0.99</v>
      </c>
      <c r="Q111" s="29">
        <f t="shared" si="1"/>
        <v>7.1480465912020428</v>
      </c>
      <c r="R111" s="29">
        <v>0</v>
      </c>
      <c r="S111" s="5">
        <v>12.600000000000001</v>
      </c>
      <c r="T111" s="5">
        <f>AVERAGE(S111,S115,S119,S123)</f>
        <v>12.2075</v>
      </c>
      <c r="U111" s="5">
        <v>0</v>
      </c>
    </row>
    <row r="112" spans="1:21" x14ac:dyDescent="0.3">
      <c r="A112" s="5" t="s">
        <v>372</v>
      </c>
      <c r="B112" s="5" t="s">
        <v>373</v>
      </c>
      <c r="C112" s="5">
        <v>2005</v>
      </c>
      <c r="D112" s="106">
        <v>106.43</v>
      </c>
      <c r="E112" s="106">
        <v>30.26</v>
      </c>
      <c r="F112" s="29">
        <v>2004</v>
      </c>
      <c r="G112" s="29">
        <v>343.2</v>
      </c>
      <c r="H112" s="29">
        <v>720</v>
      </c>
      <c r="I112" s="29">
        <v>27.8</v>
      </c>
      <c r="J112" s="29">
        <v>1.34699999</v>
      </c>
      <c r="K112" s="29">
        <v>29.7</v>
      </c>
      <c r="L112" s="29">
        <v>41.6</v>
      </c>
      <c r="M112" s="29">
        <v>28.7</v>
      </c>
      <c r="N112" s="29">
        <v>7.7</v>
      </c>
      <c r="O112" s="29">
        <v>7.0765661252900225</v>
      </c>
      <c r="P112" s="29">
        <v>0.99</v>
      </c>
      <c r="Q112" s="29">
        <f t="shared" si="1"/>
        <v>7.1480465912020428</v>
      </c>
      <c r="R112" s="29">
        <v>75</v>
      </c>
      <c r="S112" s="5">
        <v>13.51</v>
      </c>
      <c r="U112" s="5">
        <f>100*(S112-S111)/R112</f>
        <v>1.2133333333333312</v>
      </c>
    </row>
    <row r="113" spans="1:21" x14ac:dyDescent="0.3">
      <c r="A113" s="5" t="s">
        <v>372</v>
      </c>
      <c r="B113" s="5" t="s">
        <v>373</v>
      </c>
      <c r="C113" s="5">
        <v>2005</v>
      </c>
      <c r="D113" s="106">
        <v>106.43</v>
      </c>
      <c r="E113" s="106">
        <v>30.26</v>
      </c>
      <c r="F113" s="29">
        <v>2004</v>
      </c>
      <c r="G113" s="29">
        <v>343.2</v>
      </c>
      <c r="H113" s="29">
        <v>720</v>
      </c>
      <c r="I113" s="29">
        <v>27.8</v>
      </c>
      <c r="J113" s="29">
        <v>1.34699999</v>
      </c>
      <c r="K113" s="29">
        <v>29.7</v>
      </c>
      <c r="L113" s="29">
        <v>41.6</v>
      </c>
      <c r="M113" s="29">
        <v>28.7</v>
      </c>
      <c r="N113" s="29">
        <v>7.7</v>
      </c>
      <c r="O113" s="29">
        <v>7.0765661252900225</v>
      </c>
      <c r="P113" s="29">
        <v>0.99</v>
      </c>
      <c r="Q113" s="29">
        <f t="shared" si="1"/>
        <v>7.1480465912020428</v>
      </c>
      <c r="R113" s="29">
        <v>150</v>
      </c>
      <c r="S113" s="5">
        <v>14.45</v>
      </c>
      <c r="U113" s="5">
        <f>100*(S113-S111)/R113</f>
        <v>1.2333333333333318</v>
      </c>
    </row>
    <row r="114" spans="1:21" x14ac:dyDescent="0.3">
      <c r="A114" s="5" t="s">
        <v>372</v>
      </c>
      <c r="B114" s="5" t="s">
        <v>373</v>
      </c>
      <c r="C114" s="5">
        <v>2005</v>
      </c>
      <c r="D114" s="106">
        <v>106.43</v>
      </c>
      <c r="E114" s="106">
        <v>30.26</v>
      </c>
      <c r="F114" s="29">
        <v>2004</v>
      </c>
      <c r="G114" s="29">
        <v>343.2</v>
      </c>
      <c r="H114" s="29">
        <v>720</v>
      </c>
      <c r="I114" s="29">
        <v>27.8</v>
      </c>
      <c r="J114" s="29">
        <v>1.34699999</v>
      </c>
      <c r="K114" s="29">
        <v>29.7</v>
      </c>
      <c r="L114" s="29">
        <v>41.6</v>
      </c>
      <c r="M114" s="29">
        <v>28.7</v>
      </c>
      <c r="N114" s="29">
        <v>7.7</v>
      </c>
      <c r="O114" s="29">
        <v>7.0765661252900225</v>
      </c>
      <c r="P114" s="29">
        <v>0.99</v>
      </c>
      <c r="Q114" s="29">
        <f t="shared" si="1"/>
        <v>7.1480465912020428</v>
      </c>
      <c r="R114" s="29">
        <v>225</v>
      </c>
      <c r="S114" s="5">
        <v>15.129999999999999</v>
      </c>
      <c r="U114" s="5">
        <f>100*(S114-S111)/R114</f>
        <v>1.1244444444444435</v>
      </c>
    </row>
    <row r="115" spans="1:21" x14ac:dyDescent="0.3">
      <c r="A115" s="5" t="s">
        <v>372</v>
      </c>
      <c r="B115" s="5" t="s">
        <v>373</v>
      </c>
      <c r="C115" s="5">
        <v>2005</v>
      </c>
      <c r="D115" s="106">
        <v>106.43</v>
      </c>
      <c r="E115" s="106">
        <v>30.26</v>
      </c>
      <c r="F115" s="29">
        <v>2004</v>
      </c>
      <c r="G115" s="29">
        <v>343.2</v>
      </c>
      <c r="H115" s="29">
        <v>720</v>
      </c>
      <c r="I115" s="29">
        <v>27.8</v>
      </c>
      <c r="J115" s="29">
        <v>1.34699999</v>
      </c>
      <c r="K115" s="29">
        <v>29.7</v>
      </c>
      <c r="L115" s="29">
        <v>41.6</v>
      </c>
      <c r="M115" s="29">
        <v>28.7</v>
      </c>
      <c r="N115" s="29">
        <v>7.2</v>
      </c>
      <c r="O115" s="29">
        <v>7.6566125290023201</v>
      </c>
      <c r="P115" s="29">
        <v>1.1599999999999999</v>
      </c>
      <c r="Q115" s="29">
        <f t="shared" si="1"/>
        <v>6.6005280422433801</v>
      </c>
      <c r="R115" s="29">
        <v>0</v>
      </c>
      <c r="S115" s="5">
        <v>13.2</v>
      </c>
      <c r="U115" s="5">
        <v>0</v>
      </c>
    </row>
    <row r="116" spans="1:21" x14ac:dyDescent="0.3">
      <c r="A116" s="5" t="s">
        <v>372</v>
      </c>
      <c r="B116" s="5" t="s">
        <v>373</v>
      </c>
      <c r="C116" s="5">
        <v>2005</v>
      </c>
      <c r="D116" s="106">
        <v>106.43</v>
      </c>
      <c r="E116" s="106">
        <v>30.26</v>
      </c>
      <c r="F116" s="29">
        <v>2004</v>
      </c>
      <c r="G116" s="29">
        <v>343.2</v>
      </c>
      <c r="H116" s="29">
        <v>720</v>
      </c>
      <c r="I116" s="29">
        <v>27.8</v>
      </c>
      <c r="J116" s="29">
        <v>1.34699999</v>
      </c>
      <c r="K116" s="29">
        <v>29.7</v>
      </c>
      <c r="L116" s="29">
        <v>41.6</v>
      </c>
      <c r="M116" s="29">
        <v>28.7</v>
      </c>
      <c r="N116" s="29">
        <v>7.2</v>
      </c>
      <c r="O116" s="29">
        <v>7.6566125290023201</v>
      </c>
      <c r="P116" s="29">
        <v>1.1599999999999999</v>
      </c>
      <c r="Q116" s="29">
        <f t="shared" si="1"/>
        <v>6.6005280422433801</v>
      </c>
      <c r="R116" s="29">
        <v>75</v>
      </c>
      <c r="S116" s="5">
        <v>13.73</v>
      </c>
      <c r="U116" s="5">
        <f>100*(S116-S115)/R116</f>
        <v>0.70666666666666822</v>
      </c>
    </row>
    <row r="117" spans="1:21" x14ac:dyDescent="0.3">
      <c r="A117" s="5" t="s">
        <v>372</v>
      </c>
      <c r="B117" s="5" t="s">
        <v>373</v>
      </c>
      <c r="C117" s="5">
        <v>2005</v>
      </c>
      <c r="D117" s="106">
        <v>106.43</v>
      </c>
      <c r="E117" s="106">
        <v>30.26</v>
      </c>
      <c r="F117" s="29">
        <v>2004</v>
      </c>
      <c r="G117" s="29">
        <v>343.2</v>
      </c>
      <c r="H117" s="29">
        <v>720</v>
      </c>
      <c r="I117" s="29">
        <v>27.8</v>
      </c>
      <c r="J117" s="29">
        <v>1.34699999</v>
      </c>
      <c r="K117" s="29">
        <v>29.7</v>
      </c>
      <c r="L117" s="29">
        <v>41.6</v>
      </c>
      <c r="M117" s="29">
        <v>28.7</v>
      </c>
      <c r="N117" s="29">
        <v>7.2</v>
      </c>
      <c r="O117" s="29">
        <v>7.6566125290023201</v>
      </c>
      <c r="P117" s="29">
        <v>1.1599999999999999</v>
      </c>
      <c r="Q117" s="29">
        <f t="shared" si="1"/>
        <v>6.6005280422433801</v>
      </c>
      <c r="R117" s="29">
        <v>150</v>
      </c>
      <c r="S117" s="5">
        <v>14.39</v>
      </c>
      <c r="U117" s="5">
        <f>100*(S117-S115)/R117</f>
        <v>0.79333333333333422</v>
      </c>
    </row>
    <row r="118" spans="1:21" x14ac:dyDescent="0.3">
      <c r="A118" s="5" t="s">
        <v>372</v>
      </c>
      <c r="B118" s="5" t="s">
        <v>373</v>
      </c>
      <c r="C118" s="5">
        <v>2005</v>
      </c>
      <c r="D118" s="106">
        <v>106.43</v>
      </c>
      <c r="E118" s="106">
        <v>30.26</v>
      </c>
      <c r="F118" s="29">
        <v>2004</v>
      </c>
      <c r="G118" s="29">
        <v>343.2</v>
      </c>
      <c r="H118" s="29">
        <v>720</v>
      </c>
      <c r="I118" s="29">
        <v>27.8</v>
      </c>
      <c r="J118" s="29">
        <v>1.34699999</v>
      </c>
      <c r="K118" s="29">
        <v>29.7</v>
      </c>
      <c r="L118" s="29">
        <v>41.6</v>
      </c>
      <c r="M118" s="29">
        <v>28.7</v>
      </c>
      <c r="N118" s="29">
        <v>7.2</v>
      </c>
      <c r="O118" s="29">
        <v>7.6566125290023201</v>
      </c>
      <c r="P118" s="29">
        <v>1.1599999999999999</v>
      </c>
      <c r="Q118" s="29">
        <f t="shared" si="1"/>
        <v>6.6005280422433801</v>
      </c>
      <c r="R118" s="29">
        <v>225</v>
      </c>
      <c r="S118" s="5">
        <v>16.28</v>
      </c>
      <c r="U118" s="5">
        <f>100*(S118-S115)/R118</f>
        <v>1.3688888888888897</v>
      </c>
    </row>
    <row r="119" spans="1:21" x14ac:dyDescent="0.3">
      <c r="A119" s="5" t="s">
        <v>372</v>
      </c>
      <c r="B119" s="5" t="s">
        <v>373</v>
      </c>
      <c r="C119" s="5">
        <v>2005</v>
      </c>
      <c r="D119" s="106">
        <v>106.43</v>
      </c>
      <c r="E119" s="106">
        <v>30.26</v>
      </c>
      <c r="F119" s="29">
        <v>2004</v>
      </c>
      <c r="G119" s="29">
        <v>343.2</v>
      </c>
      <c r="H119" s="29">
        <v>720</v>
      </c>
      <c r="I119" s="29">
        <v>27.8</v>
      </c>
      <c r="J119" s="29">
        <v>1.34699999</v>
      </c>
      <c r="K119" s="29">
        <v>29.7</v>
      </c>
      <c r="L119" s="29">
        <v>41.6</v>
      </c>
      <c r="M119" s="29">
        <v>28.7</v>
      </c>
      <c r="N119" s="29">
        <v>5.2</v>
      </c>
      <c r="O119" s="29">
        <v>6.9605568445475638</v>
      </c>
      <c r="P119" s="29">
        <v>1.04</v>
      </c>
      <c r="Q119" s="29">
        <f t="shared" si="1"/>
        <v>6.6928431197572724</v>
      </c>
      <c r="R119" s="29">
        <v>0</v>
      </c>
      <c r="S119" s="5">
        <v>11.5</v>
      </c>
      <c r="U119" s="5">
        <v>0</v>
      </c>
    </row>
    <row r="120" spans="1:21" x14ac:dyDescent="0.3">
      <c r="A120" s="5" t="s">
        <v>372</v>
      </c>
      <c r="B120" s="5" t="s">
        <v>373</v>
      </c>
      <c r="C120" s="5">
        <v>2005</v>
      </c>
      <c r="D120" s="106">
        <v>106.43</v>
      </c>
      <c r="E120" s="106">
        <v>30.26</v>
      </c>
      <c r="F120" s="29">
        <v>2004</v>
      </c>
      <c r="G120" s="29">
        <v>343.2</v>
      </c>
      <c r="H120" s="29">
        <v>720</v>
      </c>
      <c r="I120" s="29">
        <v>27.8</v>
      </c>
      <c r="J120" s="29">
        <v>1.34699999</v>
      </c>
      <c r="K120" s="29">
        <v>29.7</v>
      </c>
      <c r="L120" s="29">
        <v>41.6</v>
      </c>
      <c r="M120" s="29">
        <v>28.7</v>
      </c>
      <c r="N120" s="29">
        <v>5.2</v>
      </c>
      <c r="O120" s="29">
        <v>6.9605568445475638</v>
      </c>
      <c r="P120" s="29">
        <v>1.04</v>
      </c>
      <c r="Q120" s="29">
        <f t="shared" si="1"/>
        <v>6.6928431197572724</v>
      </c>
      <c r="R120" s="29">
        <v>75</v>
      </c>
      <c r="S120" s="5">
        <v>13.34</v>
      </c>
      <c r="U120" s="5">
        <f>100*(S120-S119)/R120</f>
        <v>2.4533333333333331</v>
      </c>
    </row>
    <row r="121" spans="1:21" x14ac:dyDescent="0.3">
      <c r="A121" s="5" t="s">
        <v>372</v>
      </c>
      <c r="B121" s="5" t="s">
        <v>373</v>
      </c>
      <c r="C121" s="5">
        <v>2005</v>
      </c>
      <c r="D121" s="106">
        <v>106.43</v>
      </c>
      <c r="E121" s="106">
        <v>30.26</v>
      </c>
      <c r="F121" s="29">
        <v>2004</v>
      </c>
      <c r="G121" s="29">
        <v>343.2</v>
      </c>
      <c r="H121" s="29">
        <v>720</v>
      </c>
      <c r="I121" s="29">
        <v>27.8</v>
      </c>
      <c r="J121" s="29">
        <v>1.34699999</v>
      </c>
      <c r="K121" s="29">
        <v>29.7</v>
      </c>
      <c r="L121" s="29">
        <v>41.6</v>
      </c>
      <c r="M121" s="29">
        <v>28.7</v>
      </c>
      <c r="N121" s="29">
        <v>5.2</v>
      </c>
      <c r="O121" s="29">
        <v>6.9605568445475638</v>
      </c>
      <c r="P121" s="29">
        <v>1.04</v>
      </c>
      <c r="Q121" s="29">
        <f t="shared" si="1"/>
        <v>6.6928431197572724</v>
      </c>
      <c r="R121" s="29">
        <v>150</v>
      </c>
      <c r="S121" s="5">
        <v>13.65</v>
      </c>
      <c r="U121" s="5">
        <f>100*(S121-S119)/R121</f>
        <v>1.4333333333333336</v>
      </c>
    </row>
    <row r="122" spans="1:21" x14ac:dyDescent="0.3">
      <c r="A122" s="5" t="s">
        <v>372</v>
      </c>
      <c r="B122" s="5" t="s">
        <v>373</v>
      </c>
      <c r="C122" s="5">
        <v>2005</v>
      </c>
      <c r="D122" s="106">
        <v>106.43</v>
      </c>
      <c r="E122" s="106">
        <v>30.26</v>
      </c>
      <c r="F122" s="29">
        <v>2004</v>
      </c>
      <c r="G122" s="29">
        <v>343.2</v>
      </c>
      <c r="H122" s="29">
        <v>720</v>
      </c>
      <c r="I122" s="29">
        <v>27.8</v>
      </c>
      <c r="J122" s="29">
        <v>1.34699999</v>
      </c>
      <c r="K122" s="29">
        <v>29.7</v>
      </c>
      <c r="L122" s="29">
        <v>41.6</v>
      </c>
      <c r="M122" s="29">
        <v>28.7</v>
      </c>
      <c r="N122" s="29">
        <v>5.2</v>
      </c>
      <c r="O122" s="29">
        <v>6.9605568445475638</v>
      </c>
      <c r="P122" s="29">
        <v>1.04</v>
      </c>
      <c r="Q122" s="29">
        <f t="shared" si="1"/>
        <v>6.6928431197572724</v>
      </c>
      <c r="R122" s="29">
        <v>225</v>
      </c>
      <c r="S122" s="5">
        <v>14.77</v>
      </c>
      <c r="U122" s="5">
        <f>100*(S122-S119)/R122</f>
        <v>1.4533333333333331</v>
      </c>
    </row>
    <row r="123" spans="1:21" x14ac:dyDescent="0.3">
      <c r="A123" s="5" t="s">
        <v>372</v>
      </c>
      <c r="B123" s="5" t="s">
        <v>373</v>
      </c>
      <c r="C123" s="5">
        <v>2005</v>
      </c>
      <c r="D123" s="106">
        <v>106.43</v>
      </c>
      <c r="E123" s="106">
        <v>30.26</v>
      </c>
      <c r="F123" s="29">
        <v>2004</v>
      </c>
      <c r="G123" s="29">
        <v>343.2</v>
      </c>
      <c r="H123" s="29">
        <v>720</v>
      </c>
      <c r="I123" s="29">
        <v>27.8</v>
      </c>
      <c r="J123" s="29">
        <v>1.34699999</v>
      </c>
      <c r="K123" s="29">
        <v>29.7</v>
      </c>
      <c r="L123" s="29">
        <v>41.6</v>
      </c>
      <c r="M123" s="29">
        <v>28.7</v>
      </c>
      <c r="N123" s="29">
        <v>7.2</v>
      </c>
      <c r="O123" s="29">
        <v>7.6566125290023201</v>
      </c>
      <c r="P123" s="29">
        <v>1.1599999999999999</v>
      </c>
      <c r="Q123" s="29">
        <f t="shared" si="1"/>
        <v>6.6005280422433801</v>
      </c>
      <c r="R123" s="29">
        <v>0</v>
      </c>
      <c r="S123" s="5">
        <v>11.530000000000001</v>
      </c>
      <c r="U123" s="5">
        <v>0</v>
      </c>
    </row>
    <row r="124" spans="1:21" x14ac:dyDescent="0.3">
      <c r="A124" s="5" t="s">
        <v>372</v>
      </c>
      <c r="B124" s="5" t="s">
        <v>373</v>
      </c>
      <c r="C124" s="5">
        <v>2005</v>
      </c>
      <c r="D124" s="106">
        <v>106.43</v>
      </c>
      <c r="E124" s="106">
        <v>30.26</v>
      </c>
      <c r="F124" s="29">
        <v>2004</v>
      </c>
      <c r="G124" s="29">
        <v>343.2</v>
      </c>
      <c r="H124" s="29">
        <v>720</v>
      </c>
      <c r="I124" s="29">
        <v>27.8</v>
      </c>
      <c r="J124" s="29">
        <v>1.34699999</v>
      </c>
      <c r="K124" s="29">
        <v>29.7</v>
      </c>
      <c r="L124" s="29">
        <v>41.6</v>
      </c>
      <c r="M124" s="29">
        <v>28.7</v>
      </c>
      <c r="N124" s="29">
        <v>7.2</v>
      </c>
      <c r="O124" s="29">
        <v>7.6566125290023201</v>
      </c>
      <c r="P124" s="29">
        <v>1.1599999999999999</v>
      </c>
      <c r="Q124" s="29">
        <f t="shared" si="1"/>
        <v>6.6005280422433801</v>
      </c>
      <c r="R124" s="29">
        <v>75</v>
      </c>
      <c r="S124" s="5">
        <v>12.870000000000001</v>
      </c>
      <c r="U124" s="5">
        <f>100*(S124-S123)/R124</f>
        <v>1.7866666666666666</v>
      </c>
    </row>
    <row r="125" spans="1:21" x14ac:dyDescent="0.3">
      <c r="A125" s="5" t="s">
        <v>372</v>
      </c>
      <c r="B125" s="5" t="s">
        <v>373</v>
      </c>
      <c r="C125" s="5">
        <v>2005</v>
      </c>
      <c r="D125" s="106">
        <v>106.43</v>
      </c>
      <c r="E125" s="106">
        <v>30.26</v>
      </c>
      <c r="F125" s="29">
        <v>2004</v>
      </c>
      <c r="G125" s="29">
        <v>343.2</v>
      </c>
      <c r="H125" s="29">
        <v>720</v>
      </c>
      <c r="I125" s="29">
        <v>27.8</v>
      </c>
      <c r="J125" s="29">
        <v>1.34699999</v>
      </c>
      <c r="K125" s="29">
        <v>29.7</v>
      </c>
      <c r="L125" s="29">
        <v>41.6</v>
      </c>
      <c r="M125" s="29">
        <v>28.7</v>
      </c>
      <c r="N125" s="29">
        <v>7.2</v>
      </c>
      <c r="O125" s="29">
        <v>7.6566125290023201</v>
      </c>
      <c r="P125" s="29">
        <v>1.1599999999999999</v>
      </c>
      <c r="Q125" s="29">
        <f t="shared" si="1"/>
        <v>6.6005280422433801</v>
      </c>
      <c r="R125" s="29">
        <v>150</v>
      </c>
      <c r="S125" s="5">
        <v>13.79</v>
      </c>
      <c r="U125" s="5">
        <f>100*(S125-S123)/R125</f>
        <v>1.5066666666666653</v>
      </c>
    </row>
    <row r="126" spans="1:21" x14ac:dyDescent="0.3">
      <c r="A126" s="81" t="s">
        <v>372</v>
      </c>
      <c r="B126" s="81" t="s">
        <v>373</v>
      </c>
      <c r="C126" s="81">
        <v>2005</v>
      </c>
      <c r="D126" s="107">
        <v>106.43</v>
      </c>
      <c r="E126" s="107">
        <v>30.26</v>
      </c>
      <c r="F126" s="34">
        <v>2004</v>
      </c>
      <c r="G126" s="34">
        <v>343.2</v>
      </c>
      <c r="H126" s="34">
        <v>720</v>
      </c>
      <c r="I126" s="34">
        <v>27.8</v>
      </c>
      <c r="J126" s="34">
        <v>1.34699999</v>
      </c>
      <c r="K126" s="34">
        <v>29.7</v>
      </c>
      <c r="L126" s="34">
        <v>41.6</v>
      </c>
      <c r="M126" s="34">
        <v>28.7</v>
      </c>
      <c r="N126" s="34">
        <v>7.2</v>
      </c>
      <c r="O126" s="34">
        <v>7.6566125290023201</v>
      </c>
      <c r="P126" s="34">
        <v>1.1599999999999999</v>
      </c>
      <c r="Q126" s="34">
        <f t="shared" si="1"/>
        <v>6.6005280422433801</v>
      </c>
      <c r="R126" s="34">
        <v>225</v>
      </c>
      <c r="S126" s="81">
        <v>14.649999999999999</v>
      </c>
      <c r="T126" s="81"/>
      <c r="U126" s="81">
        <f>100*(S126-S123)/R126</f>
        <v>1.3866666666666656</v>
      </c>
    </row>
    <row r="127" spans="1:21" x14ac:dyDescent="0.3">
      <c r="A127" s="5" t="s">
        <v>333</v>
      </c>
      <c r="B127" s="5" t="s">
        <v>374</v>
      </c>
      <c r="C127" s="5">
        <v>2012</v>
      </c>
      <c r="D127" s="106">
        <v>119.79026500000001</v>
      </c>
      <c r="E127" s="106">
        <v>31.362245000000001</v>
      </c>
      <c r="F127" s="29">
        <v>2008</v>
      </c>
      <c r="G127" s="29">
        <v>652.80000000000007</v>
      </c>
      <c r="H127" s="29">
        <v>687.6</v>
      </c>
      <c r="I127" s="29">
        <v>26.2</v>
      </c>
      <c r="J127" s="29">
        <v>1.2749999999999999</v>
      </c>
      <c r="K127" s="29">
        <v>38</v>
      </c>
      <c r="L127" s="29">
        <v>37</v>
      </c>
      <c r="M127" s="29">
        <v>25</v>
      </c>
      <c r="N127" s="29">
        <v>6.2</v>
      </c>
      <c r="O127" s="29">
        <v>7.3085846867749416</v>
      </c>
      <c r="P127" s="29">
        <v>0.64</v>
      </c>
      <c r="Q127" s="29">
        <f t="shared" si="1"/>
        <v>11.419663573085845</v>
      </c>
      <c r="R127" s="29">
        <v>0</v>
      </c>
      <c r="S127" s="5">
        <v>2.7322175732217602</v>
      </c>
      <c r="T127" s="5">
        <f>S127</f>
        <v>2.7322175732217602</v>
      </c>
      <c r="U127" s="5">
        <v>0</v>
      </c>
    </row>
    <row r="128" spans="1:21" x14ac:dyDescent="0.3">
      <c r="A128" s="5" t="s">
        <v>333</v>
      </c>
      <c r="B128" s="5" t="s">
        <v>374</v>
      </c>
      <c r="C128" s="5">
        <v>2012</v>
      </c>
      <c r="D128" s="106">
        <v>119.79026500000001</v>
      </c>
      <c r="E128" s="106">
        <v>31.362245000000001</v>
      </c>
      <c r="F128" s="29">
        <v>2008</v>
      </c>
      <c r="G128" s="29">
        <v>652.80000000000007</v>
      </c>
      <c r="H128" s="29">
        <v>687.6</v>
      </c>
      <c r="I128" s="29">
        <v>26.2</v>
      </c>
      <c r="J128" s="29">
        <v>1.2749999999999999</v>
      </c>
      <c r="K128" s="29">
        <v>38</v>
      </c>
      <c r="L128" s="29">
        <v>37</v>
      </c>
      <c r="M128" s="29">
        <v>25</v>
      </c>
      <c r="N128" s="29">
        <v>6.2</v>
      </c>
      <c r="O128" s="29">
        <v>7.3085846867749416</v>
      </c>
      <c r="P128" s="29">
        <v>0.64</v>
      </c>
      <c r="Q128" s="29">
        <f t="shared" si="1"/>
        <v>11.419663573085845</v>
      </c>
      <c r="R128" s="29">
        <v>81</v>
      </c>
      <c r="S128" s="5">
        <v>3.1297071129707099</v>
      </c>
      <c r="U128" s="5">
        <f>100*(S128-S127)/R128</f>
        <v>0.49072782685055522</v>
      </c>
    </row>
    <row r="129" spans="1:21" x14ac:dyDescent="0.3">
      <c r="A129" s="5" t="s">
        <v>333</v>
      </c>
      <c r="B129" s="5" t="s">
        <v>374</v>
      </c>
      <c r="C129" s="5">
        <v>2012</v>
      </c>
      <c r="D129" s="106">
        <v>119.79026500000001</v>
      </c>
      <c r="E129" s="106">
        <v>31.362245000000001</v>
      </c>
      <c r="F129" s="29">
        <v>2008</v>
      </c>
      <c r="G129" s="29">
        <v>652.80000000000007</v>
      </c>
      <c r="H129" s="29">
        <v>687.6</v>
      </c>
      <c r="I129" s="29">
        <v>26.2</v>
      </c>
      <c r="J129" s="29">
        <v>1.2749999999999999</v>
      </c>
      <c r="K129" s="29">
        <v>38</v>
      </c>
      <c r="L129" s="29">
        <v>37</v>
      </c>
      <c r="M129" s="29">
        <v>25</v>
      </c>
      <c r="N129" s="29">
        <v>6.2</v>
      </c>
      <c r="O129" s="29">
        <v>7.3085846867749416</v>
      </c>
      <c r="P129" s="29">
        <v>0.64</v>
      </c>
      <c r="Q129" s="29">
        <f t="shared" si="1"/>
        <v>11.419663573085845</v>
      </c>
      <c r="R129" s="29">
        <v>135</v>
      </c>
      <c r="S129" s="5">
        <v>2.8786610878661101</v>
      </c>
      <c r="U129" s="5">
        <f>100*(S129-S127)/R129</f>
        <v>0.10847667751433326</v>
      </c>
    </row>
    <row r="130" spans="1:21" x14ac:dyDescent="0.3">
      <c r="A130" s="5" t="s">
        <v>333</v>
      </c>
      <c r="B130" s="5" t="s">
        <v>374</v>
      </c>
      <c r="C130" s="5">
        <v>2012</v>
      </c>
      <c r="D130" s="106">
        <v>119.79026500000001</v>
      </c>
      <c r="E130" s="106">
        <v>31.362245000000001</v>
      </c>
      <c r="F130" s="29">
        <v>2008</v>
      </c>
      <c r="G130" s="29">
        <v>652.80000000000007</v>
      </c>
      <c r="H130" s="29">
        <v>687.6</v>
      </c>
      <c r="I130" s="29">
        <v>26.2</v>
      </c>
      <c r="J130" s="29">
        <v>1.2749999999999999</v>
      </c>
      <c r="K130" s="29">
        <v>38</v>
      </c>
      <c r="L130" s="29">
        <v>37</v>
      </c>
      <c r="M130" s="29">
        <v>25</v>
      </c>
      <c r="N130" s="29">
        <v>6.2</v>
      </c>
      <c r="O130" s="29">
        <v>7.3085846867749416</v>
      </c>
      <c r="P130" s="29">
        <v>0.64</v>
      </c>
      <c r="Q130" s="29">
        <f t="shared" si="1"/>
        <v>11.419663573085845</v>
      </c>
      <c r="R130" s="29">
        <v>189</v>
      </c>
      <c r="S130" s="5">
        <v>3.5648535564853598</v>
      </c>
      <c r="U130" s="5">
        <f>100*(S130-S127)/R130</f>
        <v>0.44054813929290987</v>
      </c>
    </row>
    <row r="131" spans="1:21" x14ac:dyDescent="0.3">
      <c r="A131" s="5" t="s">
        <v>333</v>
      </c>
      <c r="B131" s="5" t="s">
        <v>374</v>
      </c>
      <c r="C131" s="5">
        <v>2012</v>
      </c>
      <c r="D131" s="106">
        <v>119.79026500000001</v>
      </c>
      <c r="E131" s="106">
        <v>31.362245000000001</v>
      </c>
      <c r="F131" s="29">
        <v>2008</v>
      </c>
      <c r="G131" s="29">
        <v>652.80000000000007</v>
      </c>
      <c r="H131" s="29">
        <v>687.6</v>
      </c>
      <c r="I131" s="29">
        <v>26.2</v>
      </c>
      <c r="J131" s="29">
        <v>1.2749999999999999</v>
      </c>
      <c r="K131" s="29">
        <v>38</v>
      </c>
      <c r="L131" s="29">
        <v>37</v>
      </c>
      <c r="M131" s="29">
        <v>25</v>
      </c>
      <c r="N131" s="29">
        <v>6.2</v>
      </c>
      <c r="O131" s="29">
        <v>7.3085846867749416</v>
      </c>
      <c r="P131" s="29">
        <v>0.64</v>
      </c>
      <c r="Q131" s="29">
        <f t="shared" ref="Q131:Q194" si="2">O131/P131</f>
        <v>11.419663573085845</v>
      </c>
      <c r="R131" s="29">
        <v>216</v>
      </c>
      <c r="S131" s="5">
        <v>3.5815899581589998</v>
      </c>
      <c r="U131" s="5">
        <f>100*(S131-S127)/R131</f>
        <v>0.39322795598946281</v>
      </c>
    </row>
    <row r="132" spans="1:21" x14ac:dyDescent="0.3">
      <c r="A132" s="5" t="s">
        <v>333</v>
      </c>
      <c r="B132" s="5" t="s">
        <v>374</v>
      </c>
      <c r="C132" s="5">
        <v>2012</v>
      </c>
      <c r="D132" s="106">
        <v>119.79026500000001</v>
      </c>
      <c r="E132" s="106">
        <v>31.362245000000001</v>
      </c>
      <c r="F132" s="29">
        <v>2008</v>
      </c>
      <c r="G132" s="29">
        <v>652.80000000000007</v>
      </c>
      <c r="H132" s="29">
        <v>687.6</v>
      </c>
      <c r="I132" s="29">
        <v>26.2</v>
      </c>
      <c r="J132" s="29">
        <v>1.2749999999999999</v>
      </c>
      <c r="K132" s="29">
        <v>38</v>
      </c>
      <c r="L132" s="29">
        <v>37</v>
      </c>
      <c r="M132" s="29">
        <v>25</v>
      </c>
      <c r="N132" s="29">
        <v>6.2</v>
      </c>
      <c r="O132" s="29">
        <v>7.3085846867749416</v>
      </c>
      <c r="P132" s="29">
        <v>0.64</v>
      </c>
      <c r="Q132" s="29">
        <f t="shared" si="2"/>
        <v>11.419663573085845</v>
      </c>
      <c r="R132" s="29">
        <v>243</v>
      </c>
      <c r="S132" s="5">
        <v>3.6652719665272002</v>
      </c>
      <c r="U132" s="5">
        <f>100*(S132-S127)/R132</f>
        <v>0.38397300136026341</v>
      </c>
    </row>
    <row r="133" spans="1:21" x14ac:dyDescent="0.3">
      <c r="A133" s="81" t="s">
        <v>333</v>
      </c>
      <c r="B133" s="81" t="s">
        <v>374</v>
      </c>
      <c r="C133" s="81">
        <v>2012</v>
      </c>
      <c r="D133" s="107">
        <v>119.79026500000001</v>
      </c>
      <c r="E133" s="107">
        <v>31.362245000000001</v>
      </c>
      <c r="F133" s="34">
        <v>2008</v>
      </c>
      <c r="G133" s="34">
        <v>652.80000000000007</v>
      </c>
      <c r="H133" s="34">
        <v>687.6</v>
      </c>
      <c r="I133" s="34">
        <v>26.2</v>
      </c>
      <c r="J133" s="34">
        <v>1.2749999999999999</v>
      </c>
      <c r="K133" s="29">
        <v>38</v>
      </c>
      <c r="L133" s="29">
        <v>37</v>
      </c>
      <c r="M133" s="29">
        <v>25</v>
      </c>
      <c r="N133" s="34">
        <v>6.2</v>
      </c>
      <c r="O133" s="34">
        <v>7.3085846867749416</v>
      </c>
      <c r="P133" s="34">
        <v>0.64</v>
      </c>
      <c r="Q133" s="34">
        <f t="shared" si="2"/>
        <v>11.419663573085845</v>
      </c>
      <c r="R133" s="34">
        <v>270</v>
      </c>
      <c r="S133" s="81">
        <v>3.5146443514644399</v>
      </c>
      <c r="T133" s="81"/>
      <c r="U133" s="81">
        <f>100*(S133-S127)/R133</f>
        <v>0.28978769564543694</v>
      </c>
    </row>
    <row r="134" spans="1:21" x14ac:dyDescent="0.3">
      <c r="A134" s="5" t="s">
        <v>231</v>
      </c>
      <c r="B134" s="5" t="s">
        <v>232</v>
      </c>
      <c r="C134" s="5">
        <v>2007</v>
      </c>
      <c r="D134" s="106">
        <v>120.8</v>
      </c>
      <c r="E134" s="106">
        <v>31.7</v>
      </c>
      <c r="F134" s="29">
        <v>2003</v>
      </c>
      <c r="G134" s="29">
        <v>528</v>
      </c>
      <c r="H134" s="29">
        <v>804</v>
      </c>
      <c r="I134" s="29">
        <v>26.7</v>
      </c>
      <c r="J134" s="29">
        <v>1.52</v>
      </c>
      <c r="K134" s="29">
        <v>36</v>
      </c>
      <c r="L134" s="29">
        <v>43</v>
      </c>
      <c r="M134" s="29">
        <v>21</v>
      </c>
      <c r="N134" s="29">
        <v>6.4</v>
      </c>
      <c r="O134" s="29">
        <v>16.473317865429234</v>
      </c>
      <c r="P134" s="29">
        <v>1.837</v>
      </c>
      <c r="Q134" s="29">
        <f t="shared" si="2"/>
        <v>8.9675110862434586</v>
      </c>
      <c r="R134" s="29">
        <v>0</v>
      </c>
      <c r="S134" s="5">
        <v>1.036</v>
      </c>
      <c r="T134" s="5">
        <f>S134</f>
        <v>1.036</v>
      </c>
      <c r="U134" s="5">
        <v>0</v>
      </c>
    </row>
    <row r="135" spans="1:21" x14ac:dyDescent="0.3">
      <c r="A135" s="5" t="s">
        <v>231</v>
      </c>
      <c r="B135" s="5" t="s">
        <v>232</v>
      </c>
      <c r="C135" s="5">
        <v>2007</v>
      </c>
      <c r="D135" s="106">
        <v>120.8</v>
      </c>
      <c r="E135" s="106">
        <v>31.7</v>
      </c>
      <c r="F135" s="29">
        <v>2003</v>
      </c>
      <c r="G135" s="29">
        <v>528</v>
      </c>
      <c r="H135" s="29">
        <v>804</v>
      </c>
      <c r="I135" s="29">
        <v>26.7</v>
      </c>
      <c r="J135" s="29">
        <v>1.52</v>
      </c>
      <c r="K135" s="29">
        <v>36</v>
      </c>
      <c r="L135" s="29">
        <v>43</v>
      </c>
      <c r="M135" s="29">
        <v>21</v>
      </c>
      <c r="N135" s="29">
        <v>6.4</v>
      </c>
      <c r="O135" s="29">
        <v>16.473317865429234</v>
      </c>
      <c r="P135" s="29">
        <v>1.837</v>
      </c>
      <c r="Q135" s="29">
        <f t="shared" si="2"/>
        <v>8.9675110862434586</v>
      </c>
      <c r="R135" s="29">
        <v>100</v>
      </c>
      <c r="S135" s="5">
        <v>1.294</v>
      </c>
      <c r="U135" s="5">
        <f>100*(S135-S134)/R135</f>
        <v>0.25800000000000001</v>
      </c>
    </row>
    <row r="136" spans="1:21" x14ac:dyDescent="0.3">
      <c r="A136" s="5" t="s">
        <v>231</v>
      </c>
      <c r="B136" s="5" t="s">
        <v>232</v>
      </c>
      <c r="C136" s="5">
        <v>2007</v>
      </c>
      <c r="D136" s="106">
        <v>120.8</v>
      </c>
      <c r="E136" s="106">
        <v>31.7</v>
      </c>
      <c r="F136" s="29">
        <v>2003</v>
      </c>
      <c r="G136" s="29">
        <v>528</v>
      </c>
      <c r="H136" s="29">
        <v>804</v>
      </c>
      <c r="I136" s="29">
        <v>26.7</v>
      </c>
      <c r="J136" s="29">
        <v>1.52</v>
      </c>
      <c r="K136" s="29">
        <v>36</v>
      </c>
      <c r="L136" s="29">
        <v>43</v>
      </c>
      <c r="M136" s="29">
        <v>21</v>
      </c>
      <c r="N136" s="29">
        <v>6.4</v>
      </c>
      <c r="O136" s="29">
        <v>16.473317865429234</v>
      </c>
      <c r="P136" s="29">
        <v>1.837</v>
      </c>
      <c r="Q136" s="29">
        <f t="shared" si="2"/>
        <v>8.9675110862434586</v>
      </c>
      <c r="R136" s="29">
        <v>200</v>
      </c>
      <c r="S136" s="5">
        <v>1.581</v>
      </c>
      <c r="U136" s="5">
        <f>100*(S136-S134)/R136</f>
        <v>0.27249999999999996</v>
      </c>
    </row>
    <row r="137" spans="1:21" x14ac:dyDescent="0.3">
      <c r="A137" s="81" t="s">
        <v>231</v>
      </c>
      <c r="B137" s="81" t="s">
        <v>232</v>
      </c>
      <c r="C137" s="81">
        <v>2007</v>
      </c>
      <c r="D137" s="107">
        <v>120.8</v>
      </c>
      <c r="E137" s="107">
        <v>31.7</v>
      </c>
      <c r="F137" s="34">
        <v>2003</v>
      </c>
      <c r="G137" s="34">
        <v>528</v>
      </c>
      <c r="H137" s="34">
        <v>804</v>
      </c>
      <c r="I137" s="34">
        <v>26.7</v>
      </c>
      <c r="J137" s="34">
        <v>1.52</v>
      </c>
      <c r="K137" s="29">
        <v>36</v>
      </c>
      <c r="L137" s="29">
        <v>43</v>
      </c>
      <c r="M137" s="29">
        <v>21</v>
      </c>
      <c r="N137" s="34">
        <v>6.4</v>
      </c>
      <c r="O137" s="34">
        <v>16.473317865429234</v>
      </c>
      <c r="P137" s="34">
        <v>1.837</v>
      </c>
      <c r="Q137" s="34">
        <f t="shared" si="2"/>
        <v>8.9675110862434586</v>
      </c>
      <c r="R137" s="34">
        <v>300</v>
      </c>
      <c r="S137" s="81">
        <v>1.8680000000000001</v>
      </c>
      <c r="T137" s="81"/>
      <c r="U137" s="81">
        <f>100*(S137-S134)/R137</f>
        <v>0.27733333333333332</v>
      </c>
    </row>
    <row r="138" spans="1:21" x14ac:dyDescent="0.3">
      <c r="A138" s="5" t="s">
        <v>342</v>
      </c>
      <c r="B138" s="5" t="s">
        <v>375</v>
      </c>
      <c r="C138" s="5">
        <v>2009</v>
      </c>
      <c r="D138" s="106">
        <v>112.3</v>
      </c>
      <c r="E138" s="106">
        <v>28.6</v>
      </c>
      <c r="F138" s="29">
        <v>2008</v>
      </c>
      <c r="G138" s="29">
        <v>504</v>
      </c>
      <c r="H138" s="29">
        <v>660</v>
      </c>
      <c r="I138" s="29">
        <v>26.9</v>
      </c>
      <c r="J138" s="29">
        <v>1.3644827500000001</v>
      </c>
      <c r="K138" s="29">
        <v>34.137931029999997</v>
      </c>
      <c r="L138" s="29">
        <v>37.896551719999998</v>
      </c>
      <c r="M138" s="29">
        <v>27.96551724</v>
      </c>
      <c r="N138" s="29">
        <v>6.5</v>
      </c>
      <c r="O138" s="29">
        <v>22.958236658932712</v>
      </c>
      <c r="P138" s="29">
        <v>2.6</v>
      </c>
      <c r="Q138" s="29">
        <f t="shared" si="2"/>
        <v>8.8300910226664282</v>
      </c>
      <c r="R138" s="29">
        <v>0</v>
      </c>
      <c r="S138" s="5">
        <v>2.0499999999999998</v>
      </c>
      <c r="T138" s="5">
        <f>S138</f>
        <v>2.0499999999999998</v>
      </c>
      <c r="U138" s="5">
        <v>0</v>
      </c>
    </row>
    <row r="139" spans="1:21" x14ac:dyDescent="0.3">
      <c r="A139" s="5" t="s">
        <v>342</v>
      </c>
      <c r="B139" s="5" t="s">
        <v>375</v>
      </c>
      <c r="C139" s="5">
        <v>2009</v>
      </c>
      <c r="D139" s="106">
        <v>112.3</v>
      </c>
      <c r="E139" s="106">
        <v>28.6</v>
      </c>
      <c r="F139" s="29">
        <v>2008</v>
      </c>
      <c r="G139" s="29">
        <v>504</v>
      </c>
      <c r="H139" s="29">
        <v>660</v>
      </c>
      <c r="I139" s="29">
        <v>26.9</v>
      </c>
      <c r="J139" s="29">
        <v>1.3644827500000001</v>
      </c>
      <c r="K139" s="29">
        <v>34.137931029999997</v>
      </c>
      <c r="L139" s="29">
        <v>37.896551719999998</v>
      </c>
      <c r="M139" s="29">
        <v>27.96551724</v>
      </c>
      <c r="N139" s="29">
        <v>6.54</v>
      </c>
      <c r="O139" s="29">
        <v>22.958236658932712</v>
      </c>
      <c r="P139" s="29">
        <v>2.57</v>
      </c>
      <c r="Q139" s="29">
        <f t="shared" si="2"/>
        <v>8.933166015148915</v>
      </c>
      <c r="R139" s="29">
        <v>150</v>
      </c>
      <c r="S139" s="5">
        <v>4.2750000000000004</v>
      </c>
      <c r="U139" s="5">
        <f>100*(S139-S138)/R139</f>
        <v>1.4833333333333336</v>
      </c>
    </row>
    <row r="140" spans="1:21" x14ac:dyDescent="0.3">
      <c r="A140" s="5" t="s">
        <v>342</v>
      </c>
      <c r="B140" s="5" t="s">
        <v>375</v>
      </c>
      <c r="C140" s="5">
        <v>2009</v>
      </c>
      <c r="D140" s="106">
        <v>112.3</v>
      </c>
      <c r="E140" s="106">
        <v>28.6</v>
      </c>
      <c r="F140" s="29">
        <v>2008</v>
      </c>
      <c r="G140" s="29">
        <v>504</v>
      </c>
      <c r="H140" s="29">
        <v>660</v>
      </c>
      <c r="I140" s="29">
        <v>26.9</v>
      </c>
      <c r="J140" s="29">
        <v>1.3644827500000001</v>
      </c>
      <c r="K140" s="29">
        <v>34.137931029999997</v>
      </c>
      <c r="L140" s="29">
        <v>37.896551719999998</v>
      </c>
      <c r="M140" s="29">
        <v>27.96551724</v>
      </c>
      <c r="N140" s="29">
        <v>6.5</v>
      </c>
      <c r="O140" s="29">
        <v>22.958236658932712</v>
      </c>
      <c r="P140" s="29">
        <v>2.6</v>
      </c>
      <c r="Q140" s="29">
        <f t="shared" si="2"/>
        <v>8.8300910226664282</v>
      </c>
      <c r="R140" s="29">
        <v>150</v>
      </c>
      <c r="S140" s="5">
        <v>8.01</v>
      </c>
      <c r="U140" s="5">
        <f>100*(S140-S138)/R140</f>
        <v>3.9733333333333332</v>
      </c>
    </row>
    <row r="141" spans="1:21" x14ac:dyDescent="0.3">
      <c r="A141" s="5" t="s">
        <v>342</v>
      </c>
      <c r="B141" s="5" t="s">
        <v>375</v>
      </c>
      <c r="C141" s="5">
        <v>2009</v>
      </c>
      <c r="D141" s="106">
        <v>112.3</v>
      </c>
      <c r="E141" s="106">
        <v>28.6</v>
      </c>
      <c r="F141" s="29">
        <v>2008</v>
      </c>
      <c r="G141" s="29">
        <v>504</v>
      </c>
      <c r="H141" s="29">
        <v>660</v>
      </c>
      <c r="I141" s="29">
        <v>26.9</v>
      </c>
      <c r="J141" s="29">
        <v>1.3644827500000001</v>
      </c>
      <c r="K141" s="29">
        <v>34.137931029999997</v>
      </c>
      <c r="L141" s="29">
        <v>37.896551719999998</v>
      </c>
      <c r="M141" s="29">
        <v>27.96551724</v>
      </c>
      <c r="N141" s="29">
        <v>6.5</v>
      </c>
      <c r="O141" s="29">
        <v>22.958236658932712</v>
      </c>
      <c r="P141" s="29">
        <v>2.6</v>
      </c>
      <c r="Q141" s="29">
        <f t="shared" si="2"/>
        <v>8.8300910226664282</v>
      </c>
      <c r="R141" s="29">
        <v>150</v>
      </c>
      <c r="S141" s="5">
        <v>9.66</v>
      </c>
      <c r="U141" s="5">
        <f>100*(S141-S138)/R141</f>
        <v>5.0733333333333333</v>
      </c>
    </row>
    <row r="142" spans="1:21" x14ac:dyDescent="0.3">
      <c r="A142" s="5" t="s">
        <v>342</v>
      </c>
      <c r="B142" s="5" t="s">
        <v>375</v>
      </c>
      <c r="C142" s="5">
        <v>2009</v>
      </c>
      <c r="D142" s="106">
        <v>112.3</v>
      </c>
      <c r="E142" s="106">
        <v>28.6</v>
      </c>
      <c r="F142" s="29">
        <v>2008</v>
      </c>
      <c r="G142" s="29">
        <v>504</v>
      </c>
      <c r="H142" s="29">
        <v>660</v>
      </c>
      <c r="I142" s="29">
        <v>26.9</v>
      </c>
      <c r="J142" s="29">
        <v>1.3644827500000001</v>
      </c>
      <c r="K142" s="29">
        <v>34.137931029999997</v>
      </c>
      <c r="L142" s="29">
        <v>37.896551719999998</v>
      </c>
      <c r="M142" s="29">
        <v>27.96551724</v>
      </c>
      <c r="N142" s="29">
        <v>6.5</v>
      </c>
      <c r="O142" s="29">
        <v>22.958236658932712</v>
      </c>
      <c r="P142" s="29">
        <v>2.6</v>
      </c>
      <c r="Q142" s="29">
        <f t="shared" si="2"/>
        <v>8.8300910226664282</v>
      </c>
      <c r="R142" s="29">
        <v>75</v>
      </c>
      <c r="S142" s="5">
        <v>5.89</v>
      </c>
      <c r="U142" s="5">
        <f>100*(S142-S138)/R142</f>
        <v>5.12</v>
      </c>
    </row>
    <row r="143" spans="1:21" x14ac:dyDescent="0.3">
      <c r="A143" s="5" t="s">
        <v>342</v>
      </c>
      <c r="B143" s="5" t="s">
        <v>375</v>
      </c>
      <c r="C143" s="5">
        <v>2009</v>
      </c>
      <c r="D143" s="106">
        <v>112.3</v>
      </c>
      <c r="E143" s="106">
        <v>28.6</v>
      </c>
      <c r="F143" s="29">
        <v>2008</v>
      </c>
      <c r="G143" s="29">
        <v>504</v>
      </c>
      <c r="H143" s="29">
        <v>660</v>
      </c>
      <c r="I143" s="29">
        <v>26.9</v>
      </c>
      <c r="J143" s="29">
        <v>1.3644827500000001</v>
      </c>
      <c r="K143" s="29">
        <v>34.137931029999997</v>
      </c>
      <c r="L143" s="29">
        <v>37.896551719999998</v>
      </c>
      <c r="M143" s="29">
        <v>27.96551724</v>
      </c>
      <c r="N143" s="29">
        <v>6.5</v>
      </c>
      <c r="O143" s="29">
        <v>22.958236658932712</v>
      </c>
      <c r="P143" s="29">
        <v>2.6</v>
      </c>
      <c r="Q143" s="29">
        <f t="shared" si="2"/>
        <v>8.8300910226664282</v>
      </c>
      <c r="R143" s="29">
        <v>112.5</v>
      </c>
      <c r="S143" s="5">
        <v>7.1</v>
      </c>
      <c r="U143" s="5">
        <f>100*(S143-S138)/R143</f>
        <v>4.4888888888888889</v>
      </c>
    </row>
    <row r="144" spans="1:21" x14ac:dyDescent="0.3">
      <c r="A144" s="5" t="s">
        <v>342</v>
      </c>
      <c r="B144" s="5" t="s">
        <v>375</v>
      </c>
      <c r="C144" s="5">
        <v>2009</v>
      </c>
      <c r="D144" s="106">
        <v>112.3</v>
      </c>
      <c r="E144" s="106">
        <v>28.6</v>
      </c>
      <c r="F144" s="29">
        <v>2008</v>
      </c>
      <c r="G144" s="29">
        <v>504</v>
      </c>
      <c r="H144" s="29">
        <v>660</v>
      </c>
      <c r="I144" s="29">
        <v>26.9</v>
      </c>
      <c r="J144" s="29">
        <v>1.3644827500000001</v>
      </c>
      <c r="K144" s="29">
        <v>34.137931029999997</v>
      </c>
      <c r="L144" s="29">
        <v>37.896551719999998</v>
      </c>
      <c r="M144" s="29">
        <v>27.96551724</v>
      </c>
      <c r="N144" s="29">
        <v>6.5</v>
      </c>
      <c r="O144" s="29">
        <v>22.958236658932712</v>
      </c>
      <c r="P144" s="29">
        <v>2.6</v>
      </c>
      <c r="Q144" s="29">
        <f t="shared" si="2"/>
        <v>8.8300910226664282</v>
      </c>
      <c r="R144" s="29">
        <v>150</v>
      </c>
      <c r="S144" s="5">
        <v>10.87</v>
      </c>
      <c r="U144" s="5">
        <f>100*(S144-S138)/R144</f>
        <v>5.88</v>
      </c>
    </row>
    <row r="145" spans="1:21" x14ac:dyDescent="0.3">
      <c r="A145" s="81" t="s">
        <v>342</v>
      </c>
      <c r="B145" s="81" t="s">
        <v>375</v>
      </c>
      <c r="C145" s="81">
        <v>2009</v>
      </c>
      <c r="D145" s="107">
        <v>112.3</v>
      </c>
      <c r="E145" s="107">
        <v>28.6</v>
      </c>
      <c r="F145" s="34">
        <v>2008</v>
      </c>
      <c r="G145" s="34">
        <v>504</v>
      </c>
      <c r="H145" s="34">
        <v>660</v>
      </c>
      <c r="I145" s="34">
        <v>26.9</v>
      </c>
      <c r="J145" s="34">
        <v>1.3644827500000001</v>
      </c>
      <c r="K145" s="34">
        <v>34.137931029999997</v>
      </c>
      <c r="L145" s="34">
        <v>37.896551719999998</v>
      </c>
      <c r="M145" s="34">
        <v>27.96551724</v>
      </c>
      <c r="N145" s="34">
        <v>6.5</v>
      </c>
      <c r="O145" s="34">
        <v>22.958236658932712</v>
      </c>
      <c r="P145" s="34">
        <v>2.6</v>
      </c>
      <c r="Q145" s="34">
        <f t="shared" si="2"/>
        <v>8.8300910226664282</v>
      </c>
      <c r="R145" s="34">
        <v>300</v>
      </c>
      <c r="S145" s="81">
        <v>14.8</v>
      </c>
      <c r="T145" s="81"/>
      <c r="U145" s="81">
        <f>100*(S145-S138)/R145</f>
        <v>4.25</v>
      </c>
    </row>
    <row r="146" spans="1:21" x14ac:dyDescent="0.3">
      <c r="A146" s="5" t="s">
        <v>376</v>
      </c>
      <c r="B146" s="5" t="s">
        <v>377</v>
      </c>
      <c r="C146" s="5">
        <v>2007</v>
      </c>
      <c r="D146" s="106">
        <v>115.13</v>
      </c>
      <c r="E146" s="106">
        <v>28.28</v>
      </c>
      <c r="F146" s="29">
        <v>2005</v>
      </c>
      <c r="G146" s="29">
        <v>780</v>
      </c>
      <c r="H146" s="29">
        <v>732</v>
      </c>
      <c r="I146" s="29">
        <v>27.5</v>
      </c>
      <c r="J146" s="29">
        <v>1.3759999999999999</v>
      </c>
      <c r="K146" s="29">
        <v>42</v>
      </c>
      <c r="L146" s="29">
        <v>27.2</v>
      </c>
      <c r="M146" s="29">
        <v>30.8</v>
      </c>
      <c r="N146" s="29">
        <v>6.87</v>
      </c>
      <c r="O146" s="29">
        <v>7.9930394431554523</v>
      </c>
      <c r="P146" s="29">
        <v>1.45</v>
      </c>
      <c r="Q146" s="29">
        <f t="shared" si="2"/>
        <v>5.5124409952796221</v>
      </c>
      <c r="R146" s="29">
        <v>0</v>
      </c>
      <c r="S146" s="5">
        <v>0.6</v>
      </c>
      <c r="T146" s="5">
        <f>AVERAGE(S146,S155)</f>
        <v>0.55000000000000004</v>
      </c>
      <c r="U146" s="5">
        <v>0</v>
      </c>
    </row>
    <row r="147" spans="1:21" x14ac:dyDescent="0.3">
      <c r="A147" s="5" t="s">
        <v>376</v>
      </c>
      <c r="B147" s="5" t="s">
        <v>377</v>
      </c>
      <c r="C147" s="5">
        <v>2007</v>
      </c>
      <c r="D147" s="106">
        <v>115.13</v>
      </c>
      <c r="E147" s="106">
        <v>28.28</v>
      </c>
      <c r="F147" s="29">
        <v>2005</v>
      </c>
      <c r="G147" s="29">
        <v>780</v>
      </c>
      <c r="H147" s="29">
        <v>732</v>
      </c>
      <c r="I147" s="29">
        <v>27.5</v>
      </c>
      <c r="J147" s="29">
        <v>1.3759999999999999</v>
      </c>
      <c r="K147" s="29">
        <v>42</v>
      </c>
      <c r="L147" s="29">
        <v>27.2</v>
      </c>
      <c r="M147" s="29">
        <v>30.8</v>
      </c>
      <c r="N147" s="29">
        <v>6.87</v>
      </c>
      <c r="O147" s="29">
        <v>7.9930394431554523</v>
      </c>
      <c r="P147" s="29">
        <v>1.45</v>
      </c>
      <c r="Q147" s="29">
        <f t="shared" si="2"/>
        <v>5.5124409952796221</v>
      </c>
      <c r="R147" s="29">
        <v>140</v>
      </c>
      <c r="S147" s="5">
        <v>0.8</v>
      </c>
      <c r="U147" s="5">
        <f>100*(S147-S146)/R147</f>
        <v>0.1428571428571429</v>
      </c>
    </row>
    <row r="148" spans="1:21" x14ac:dyDescent="0.3">
      <c r="A148" s="5" t="s">
        <v>376</v>
      </c>
      <c r="B148" s="5" t="s">
        <v>377</v>
      </c>
      <c r="C148" s="5">
        <v>2007</v>
      </c>
      <c r="D148" s="106">
        <v>115.13</v>
      </c>
      <c r="E148" s="106">
        <v>28.28</v>
      </c>
      <c r="F148" s="29">
        <v>2005</v>
      </c>
      <c r="G148" s="29">
        <v>780</v>
      </c>
      <c r="H148" s="29">
        <v>732</v>
      </c>
      <c r="I148" s="29">
        <v>27.5</v>
      </c>
      <c r="J148" s="29">
        <v>1.3759999999999999</v>
      </c>
      <c r="K148" s="29">
        <v>42</v>
      </c>
      <c r="L148" s="29">
        <v>27.2</v>
      </c>
      <c r="M148" s="29">
        <v>30.8</v>
      </c>
      <c r="N148" s="29">
        <v>6.87</v>
      </c>
      <c r="O148" s="29">
        <v>7.9930394431554523</v>
      </c>
      <c r="P148" s="29">
        <v>1.45</v>
      </c>
      <c r="Q148" s="29">
        <f t="shared" si="2"/>
        <v>5.5124409952796221</v>
      </c>
      <c r="R148" s="29">
        <v>140</v>
      </c>
      <c r="S148" s="5">
        <v>0.8</v>
      </c>
      <c r="U148" s="5">
        <f>100*(S148-S146)/R148</f>
        <v>0.1428571428571429</v>
      </c>
    </row>
    <row r="149" spans="1:21" x14ac:dyDescent="0.3">
      <c r="A149" s="5" t="s">
        <v>376</v>
      </c>
      <c r="B149" s="5" t="s">
        <v>377</v>
      </c>
      <c r="C149" s="5">
        <v>2007</v>
      </c>
      <c r="D149" s="106">
        <v>115.13</v>
      </c>
      <c r="E149" s="106">
        <v>28.28</v>
      </c>
      <c r="F149" s="29">
        <v>2005</v>
      </c>
      <c r="G149" s="29">
        <v>780</v>
      </c>
      <c r="H149" s="29">
        <v>732</v>
      </c>
      <c r="I149" s="29">
        <v>27.5</v>
      </c>
      <c r="J149" s="29">
        <v>1.3759999999999999</v>
      </c>
      <c r="K149" s="29">
        <v>42</v>
      </c>
      <c r="L149" s="29">
        <v>27.2</v>
      </c>
      <c r="M149" s="29">
        <v>30.8</v>
      </c>
      <c r="N149" s="29">
        <v>6.87</v>
      </c>
      <c r="O149" s="29">
        <v>7.9930394431554523</v>
      </c>
      <c r="P149" s="29">
        <v>1.45</v>
      </c>
      <c r="Q149" s="29">
        <f t="shared" si="2"/>
        <v>5.5124409952796221</v>
      </c>
      <c r="R149" s="29">
        <v>140</v>
      </c>
      <c r="S149" s="5">
        <v>0.8</v>
      </c>
      <c r="U149" s="5">
        <f>100*(S149-S146)/R149</f>
        <v>0.1428571428571429</v>
      </c>
    </row>
    <row r="150" spans="1:21" x14ac:dyDescent="0.3">
      <c r="A150" s="5" t="s">
        <v>376</v>
      </c>
      <c r="B150" s="5" t="s">
        <v>377</v>
      </c>
      <c r="C150" s="5">
        <v>2007</v>
      </c>
      <c r="D150" s="106">
        <v>115.13</v>
      </c>
      <c r="E150" s="106">
        <v>28.28</v>
      </c>
      <c r="F150" s="29">
        <v>2005</v>
      </c>
      <c r="G150" s="29">
        <v>780</v>
      </c>
      <c r="H150" s="29">
        <v>732</v>
      </c>
      <c r="I150" s="29">
        <v>27.5</v>
      </c>
      <c r="J150" s="29">
        <v>1.3759999999999999</v>
      </c>
      <c r="K150" s="29">
        <v>42</v>
      </c>
      <c r="L150" s="29">
        <v>27.2</v>
      </c>
      <c r="M150" s="29">
        <v>30.8</v>
      </c>
      <c r="N150" s="29">
        <v>6.87</v>
      </c>
      <c r="O150" s="29">
        <v>7.9930394431554523</v>
      </c>
      <c r="P150" s="29">
        <v>1.45</v>
      </c>
      <c r="Q150" s="29">
        <f t="shared" si="2"/>
        <v>5.5124409952796221</v>
      </c>
      <c r="R150" s="29">
        <v>140</v>
      </c>
      <c r="S150" s="5">
        <v>0.7</v>
      </c>
      <c r="U150" s="5">
        <f>100*(S150-S146)/R150</f>
        <v>7.1428571428571411E-2</v>
      </c>
    </row>
    <row r="151" spans="1:21" x14ac:dyDescent="0.3">
      <c r="A151" s="5" t="s">
        <v>376</v>
      </c>
      <c r="B151" s="5" t="s">
        <v>377</v>
      </c>
      <c r="C151" s="5">
        <v>2007</v>
      </c>
      <c r="D151" s="106">
        <v>115.13</v>
      </c>
      <c r="E151" s="106">
        <v>28.28</v>
      </c>
      <c r="F151" s="29">
        <v>2005</v>
      </c>
      <c r="G151" s="29">
        <v>780</v>
      </c>
      <c r="H151" s="29">
        <v>732</v>
      </c>
      <c r="I151" s="29">
        <v>27.5</v>
      </c>
      <c r="J151" s="29">
        <v>1.3759999999999999</v>
      </c>
      <c r="K151" s="29">
        <v>42</v>
      </c>
      <c r="L151" s="29">
        <v>27.2</v>
      </c>
      <c r="M151" s="29">
        <v>30.8</v>
      </c>
      <c r="N151" s="29">
        <v>6.87</v>
      </c>
      <c r="O151" s="29">
        <v>7.9930394431554523</v>
      </c>
      <c r="P151" s="29">
        <v>1.45</v>
      </c>
      <c r="Q151" s="29">
        <f t="shared" si="2"/>
        <v>5.5124409952796221</v>
      </c>
      <c r="R151" s="29">
        <v>210</v>
      </c>
      <c r="S151" s="5">
        <v>0.9</v>
      </c>
      <c r="U151" s="5">
        <f>100*(S151-S146)/R151</f>
        <v>0.14285714285714288</v>
      </c>
    </row>
    <row r="152" spans="1:21" x14ac:dyDescent="0.3">
      <c r="A152" s="5" t="s">
        <v>376</v>
      </c>
      <c r="B152" s="5" t="s">
        <v>377</v>
      </c>
      <c r="C152" s="5">
        <v>2007</v>
      </c>
      <c r="D152" s="106">
        <v>115.13</v>
      </c>
      <c r="E152" s="106">
        <v>28.28</v>
      </c>
      <c r="F152" s="29">
        <v>2005</v>
      </c>
      <c r="G152" s="29">
        <v>780</v>
      </c>
      <c r="H152" s="29">
        <v>732</v>
      </c>
      <c r="I152" s="29">
        <v>27.5</v>
      </c>
      <c r="J152" s="29">
        <v>1.3759999999999999</v>
      </c>
      <c r="K152" s="29">
        <v>42</v>
      </c>
      <c r="L152" s="29">
        <v>27.2</v>
      </c>
      <c r="M152" s="29">
        <v>30.8</v>
      </c>
      <c r="N152" s="29">
        <v>6.87</v>
      </c>
      <c r="O152" s="29">
        <v>7.9930394431554523</v>
      </c>
      <c r="P152" s="29">
        <v>1.45</v>
      </c>
      <c r="Q152" s="29">
        <f t="shared" si="2"/>
        <v>5.5124409952796221</v>
      </c>
      <c r="R152" s="29">
        <v>210</v>
      </c>
      <c r="S152" s="5">
        <v>0.9</v>
      </c>
      <c r="U152" s="5">
        <f>100*(S152-S146)/R152</f>
        <v>0.14285714285714288</v>
      </c>
    </row>
    <row r="153" spans="1:21" x14ac:dyDescent="0.3">
      <c r="A153" s="5" t="s">
        <v>376</v>
      </c>
      <c r="B153" s="5" t="s">
        <v>377</v>
      </c>
      <c r="C153" s="5">
        <v>2007</v>
      </c>
      <c r="D153" s="106">
        <v>115.13</v>
      </c>
      <c r="E153" s="106">
        <v>28.28</v>
      </c>
      <c r="F153" s="29">
        <v>2005</v>
      </c>
      <c r="G153" s="29">
        <v>780</v>
      </c>
      <c r="H153" s="29">
        <v>732</v>
      </c>
      <c r="I153" s="29">
        <v>27.5</v>
      </c>
      <c r="J153" s="29">
        <v>1.3759999999999999</v>
      </c>
      <c r="K153" s="29">
        <v>42</v>
      </c>
      <c r="L153" s="29">
        <v>27.2</v>
      </c>
      <c r="M153" s="29">
        <v>30.8</v>
      </c>
      <c r="N153" s="29">
        <v>6.87</v>
      </c>
      <c r="O153" s="29">
        <v>7.9930394431554523</v>
      </c>
      <c r="P153" s="29">
        <v>1.45</v>
      </c>
      <c r="Q153" s="29">
        <f t="shared" si="2"/>
        <v>5.5124409952796221</v>
      </c>
      <c r="R153" s="29">
        <v>210</v>
      </c>
      <c r="S153" s="5">
        <v>0.8</v>
      </c>
      <c r="U153" s="5">
        <f>100*(S153-S146)/100</f>
        <v>0.20000000000000007</v>
      </c>
    </row>
    <row r="154" spans="1:21" x14ac:dyDescent="0.3">
      <c r="A154" s="5" t="s">
        <v>376</v>
      </c>
      <c r="B154" s="5" t="s">
        <v>377</v>
      </c>
      <c r="C154" s="5">
        <v>2007</v>
      </c>
      <c r="D154" s="106">
        <v>115.13</v>
      </c>
      <c r="E154" s="106">
        <v>28.28</v>
      </c>
      <c r="F154" s="29">
        <v>2005</v>
      </c>
      <c r="G154" s="29">
        <v>780</v>
      </c>
      <c r="H154" s="29">
        <v>732</v>
      </c>
      <c r="I154" s="29">
        <v>27.5</v>
      </c>
      <c r="J154" s="29">
        <v>1.3759999999999999</v>
      </c>
      <c r="K154" s="29">
        <v>42</v>
      </c>
      <c r="L154" s="29">
        <v>27.2</v>
      </c>
      <c r="M154" s="29">
        <v>30.8</v>
      </c>
      <c r="N154" s="29">
        <v>6.87</v>
      </c>
      <c r="O154" s="29">
        <v>7.9930394431554523</v>
      </c>
      <c r="P154" s="29">
        <v>1.45</v>
      </c>
      <c r="Q154" s="29">
        <f t="shared" si="2"/>
        <v>5.5124409952796221</v>
      </c>
      <c r="R154" s="29">
        <v>210</v>
      </c>
      <c r="S154" s="5">
        <v>0.8</v>
      </c>
      <c r="U154" s="5">
        <f>100*(S154-S146)/R154</f>
        <v>9.5238095238095274E-2</v>
      </c>
    </row>
    <row r="155" spans="1:21" x14ac:dyDescent="0.3">
      <c r="A155" s="5" t="s">
        <v>376</v>
      </c>
      <c r="B155" s="5" t="s">
        <v>377</v>
      </c>
      <c r="C155" s="5">
        <v>2007</v>
      </c>
      <c r="D155" s="106">
        <v>115.13</v>
      </c>
      <c r="E155" s="106">
        <v>28.28</v>
      </c>
      <c r="F155" s="29">
        <v>2005</v>
      </c>
      <c r="G155" s="29">
        <v>780</v>
      </c>
      <c r="H155" s="29">
        <v>732</v>
      </c>
      <c r="I155" s="29">
        <v>27.5</v>
      </c>
      <c r="J155" s="29">
        <v>1.3759999999999999</v>
      </c>
      <c r="K155" s="29">
        <v>42</v>
      </c>
      <c r="L155" s="29">
        <v>27.2</v>
      </c>
      <c r="M155" s="29">
        <v>30.8</v>
      </c>
      <c r="N155" s="29">
        <v>6.87</v>
      </c>
      <c r="O155" s="29">
        <v>7.9930394431554523</v>
      </c>
      <c r="P155" s="29">
        <v>1.45</v>
      </c>
      <c r="Q155" s="29">
        <f t="shared" si="2"/>
        <v>5.5124409952796221</v>
      </c>
      <c r="R155" s="29">
        <v>0</v>
      </c>
      <c r="S155" s="5">
        <v>0.5</v>
      </c>
      <c r="U155" s="5">
        <v>0</v>
      </c>
    </row>
    <row r="156" spans="1:21" x14ac:dyDescent="0.3">
      <c r="A156" s="5" t="s">
        <v>376</v>
      </c>
      <c r="B156" s="5" t="s">
        <v>377</v>
      </c>
      <c r="C156" s="5">
        <v>2007</v>
      </c>
      <c r="D156" s="106">
        <v>115.13</v>
      </c>
      <c r="E156" s="106">
        <v>28.28</v>
      </c>
      <c r="F156" s="29">
        <v>2005</v>
      </c>
      <c r="G156" s="29">
        <v>780</v>
      </c>
      <c r="H156" s="29">
        <v>732</v>
      </c>
      <c r="I156" s="29">
        <v>27.5</v>
      </c>
      <c r="J156" s="29">
        <v>1.3759999999999999</v>
      </c>
      <c r="K156" s="29">
        <v>42</v>
      </c>
      <c r="L156" s="29">
        <v>27.2</v>
      </c>
      <c r="M156" s="29">
        <v>30.8</v>
      </c>
      <c r="N156" s="29">
        <v>6.87</v>
      </c>
      <c r="O156" s="29">
        <v>7.9930394431554523</v>
      </c>
      <c r="P156" s="29">
        <v>1.45</v>
      </c>
      <c r="Q156" s="29">
        <f t="shared" si="2"/>
        <v>5.5124409952796221</v>
      </c>
      <c r="R156" s="29">
        <v>140</v>
      </c>
      <c r="S156" s="5">
        <v>0.8</v>
      </c>
      <c r="U156" s="5">
        <f>100*(S156-S155)/R156</f>
        <v>0.2142857142857143</v>
      </c>
    </row>
    <row r="157" spans="1:21" x14ac:dyDescent="0.3">
      <c r="A157" s="5" t="s">
        <v>376</v>
      </c>
      <c r="B157" s="5" t="s">
        <v>377</v>
      </c>
      <c r="C157" s="5">
        <v>2007</v>
      </c>
      <c r="D157" s="106">
        <v>115.13</v>
      </c>
      <c r="E157" s="106">
        <v>28.28</v>
      </c>
      <c r="F157" s="29">
        <v>2005</v>
      </c>
      <c r="G157" s="29">
        <v>780</v>
      </c>
      <c r="H157" s="29">
        <v>732</v>
      </c>
      <c r="I157" s="29">
        <v>27.5</v>
      </c>
      <c r="J157" s="29">
        <v>1.3759999999999999</v>
      </c>
      <c r="K157" s="29">
        <v>42</v>
      </c>
      <c r="L157" s="29">
        <v>27.2</v>
      </c>
      <c r="M157" s="29">
        <v>30.8</v>
      </c>
      <c r="N157" s="29">
        <v>6.87</v>
      </c>
      <c r="O157" s="29">
        <v>7.9930394431554523</v>
      </c>
      <c r="P157" s="29">
        <v>1.45</v>
      </c>
      <c r="Q157" s="29">
        <f t="shared" si="2"/>
        <v>5.5124409952796221</v>
      </c>
      <c r="R157" s="29">
        <v>140</v>
      </c>
      <c r="S157" s="5">
        <v>0.8</v>
      </c>
      <c r="U157" s="5">
        <f>100*(S157-S155)/R157</f>
        <v>0.2142857142857143</v>
      </c>
    </row>
    <row r="158" spans="1:21" x14ac:dyDescent="0.3">
      <c r="A158" s="5" t="s">
        <v>376</v>
      </c>
      <c r="B158" s="5" t="s">
        <v>377</v>
      </c>
      <c r="C158" s="5">
        <v>2007</v>
      </c>
      <c r="D158" s="106">
        <v>115.13</v>
      </c>
      <c r="E158" s="106">
        <v>28.28</v>
      </c>
      <c r="F158" s="29">
        <v>2005</v>
      </c>
      <c r="G158" s="29">
        <v>780</v>
      </c>
      <c r="H158" s="29">
        <v>732</v>
      </c>
      <c r="I158" s="29">
        <v>27.5</v>
      </c>
      <c r="J158" s="29">
        <v>1.3759999999999999</v>
      </c>
      <c r="K158" s="29">
        <v>42</v>
      </c>
      <c r="L158" s="29">
        <v>27.2</v>
      </c>
      <c r="M158" s="29">
        <v>30.8</v>
      </c>
      <c r="N158" s="29">
        <v>6.87</v>
      </c>
      <c r="O158" s="29">
        <v>7.9930394431554523</v>
      </c>
      <c r="P158" s="29">
        <v>1.45</v>
      </c>
      <c r="Q158" s="29">
        <f t="shared" si="2"/>
        <v>5.5124409952796221</v>
      </c>
      <c r="R158" s="29">
        <v>140</v>
      </c>
      <c r="S158" s="5">
        <v>0.8</v>
      </c>
      <c r="U158" s="5">
        <f>100*(S158-S155)/R158</f>
        <v>0.2142857142857143</v>
      </c>
    </row>
    <row r="159" spans="1:21" x14ac:dyDescent="0.3">
      <c r="A159" s="5" t="s">
        <v>376</v>
      </c>
      <c r="B159" s="5" t="s">
        <v>377</v>
      </c>
      <c r="C159" s="5">
        <v>2007</v>
      </c>
      <c r="D159" s="106">
        <v>115.13</v>
      </c>
      <c r="E159" s="106">
        <v>28.28</v>
      </c>
      <c r="F159" s="29">
        <v>2005</v>
      </c>
      <c r="G159" s="29">
        <v>780</v>
      </c>
      <c r="H159" s="29">
        <v>732</v>
      </c>
      <c r="I159" s="29">
        <v>27.5</v>
      </c>
      <c r="J159" s="29">
        <v>1.3759999999999999</v>
      </c>
      <c r="K159" s="29">
        <v>42</v>
      </c>
      <c r="L159" s="29">
        <v>27.2</v>
      </c>
      <c r="M159" s="29">
        <v>30.8</v>
      </c>
      <c r="N159" s="29">
        <v>6.87</v>
      </c>
      <c r="O159" s="29">
        <v>7.9930394431554523</v>
      </c>
      <c r="P159" s="29">
        <v>1.45</v>
      </c>
      <c r="Q159" s="29">
        <f t="shared" si="2"/>
        <v>5.5124409952796221</v>
      </c>
      <c r="R159" s="29">
        <v>140</v>
      </c>
      <c r="S159" s="5">
        <v>0.8</v>
      </c>
      <c r="U159" s="5">
        <f>100*(S159-S155)/R159</f>
        <v>0.2142857142857143</v>
      </c>
    </row>
    <row r="160" spans="1:21" x14ac:dyDescent="0.3">
      <c r="A160" s="5" t="s">
        <v>376</v>
      </c>
      <c r="B160" s="5" t="s">
        <v>377</v>
      </c>
      <c r="C160" s="5">
        <v>2007</v>
      </c>
      <c r="D160" s="106">
        <v>115.13</v>
      </c>
      <c r="E160" s="106">
        <v>28.28</v>
      </c>
      <c r="F160" s="29">
        <v>2005</v>
      </c>
      <c r="G160" s="29">
        <v>780</v>
      </c>
      <c r="H160" s="29">
        <v>732</v>
      </c>
      <c r="I160" s="29">
        <v>27.5</v>
      </c>
      <c r="J160" s="29">
        <v>1.3759999999999999</v>
      </c>
      <c r="K160" s="29">
        <v>42</v>
      </c>
      <c r="L160" s="29">
        <v>27.2</v>
      </c>
      <c r="M160" s="29">
        <v>30.8</v>
      </c>
      <c r="N160" s="29">
        <v>6.87</v>
      </c>
      <c r="O160" s="29">
        <v>7.9930394431554523</v>
      </c>
      <c r="P160" s="29">
        <v>1.45</v>
      </c>
      <c r="Q160" s="29">
        <f t="shared" si="2"/>
        <v>5.5124409952796221</v>
      </c>
      <c r="R160" s="29">
        <v>210</v>
      </c>
      <c r="S160" s="5">
        <v>1.2</v>
      </c>
      <c r="U160" s="5">
        <f>100*(S160-S155)/R160</f>
        <v>0.33333333333333331</v>
      </c>
    </row>
    <row r="161" spans="1:21" x14ac:dyDescent="0.3">
      <c r="A161" s="5" t="s">
        <v>376</v>
      </c>
      <c r="B161" s="5" t="s">
        <v>377</v>
      </c>
      <c r="C161" s="5">
        <v>2007</v>
      </c>
      <c r="D161" s="106">
        <v>115.13</v>
      </c>
      <c r="E161" s="106">
        <v>28.28</v>
      </c>
      <c r="F161" s="29">
        <v>2005</v>
      </c>
      <c r="G161" s="29">
        <v>780</v>
      </c>
      <c r="H161" s="29">
        <v>732</v>
      </c>
      <c r="I161" s="29">
        <v>27.5</v>
      </c>
      <c r="J161" s="29">
        <v>1.3759999999999999</v>
      </c>
      <c r="K161" s="29">
        <v>42</v>
      </c>
      <c r="L161" s="29">
        <v>27.2</v>
      </c>
      <c r="M161" s="29">
        <v>30.8</v>
      </c>
      <c r="N161" s="29">
        <v>6.87</v>
      </c>
      <c r="O161" s="29">
        <v>7.9930394431554523</v>
      </c>
      <c r="P161" s="29">
        <v>1.45</v>
      </c>
      <c r="Q161" s="29">
        <f t="shared" si="2"/>
        <v>5.5124409952796221</v>
      </c>
      <c r="R161" s="29">
        <v>210</v>
      </c>
      <c r="S161" s="5">
        <v>1.3</v>
      </c>
      <c r="U161" s="5">
        <f>100*(S161-S155)/R161</f>
        <v>0.38095238095238093</v>
      </c>
    </row>
    <row r="162" spans="1:21" x14ac:dyDescent="0.3">
      <c r="A162" s="5" t="s">
        <v>376</v>
      </c>
      <c r="B162" s="5" t="s">
        <v>377</v>
      </c>
      <c r="C162" s="5">
        <v>2007</v>
      </c>
      <c r="D162" s="106">
        <v>115.13</v>
      </c>
      <c r="E162" s="106">
        <v>28.28</v>
      </c>
      <c r="F162" s="29">
        <v>2005</v>
      </c>
      <c r="G162" s="29">
        <v>780</v>
      </c>
      <c r="H162" s="29">
        <v>732</v>
      </c>
      <c r="I162" s="29">
        <v>27.5</v>
      </c>
      <c r="J162" s="29">
        <v>1.3759999999999999</v>
      </c>
      <c r="K162" s="29">
        <v>42</v>
      </c>
      <c r="L162" s="29">
        <v>27.2</v>
      </c>
      <c r="M162" s="29">
        <v>30.8</v>
      </c>
      <c r="N162" s="29">
        <v>6.87</v>
      </c>
      <c r="O162" s="29">
        <v>7.9930394431554523</v>
      </c>
      <c r="P162" s="29">
        <v>1.45</v>
      </c>
      <c r="Q162" s="29">
        <f t="shared" si="2"/>
        <v>5.5124409952796221</v>
      </c>
      <c r="R162" s="29">
        <v>210</v>
      </c>
      <c r="S162" s="5">
        <v>0.9</v>
      </c>
      <c r="U162" s="5">
        <f>100*(S162-S155)/100</f>
        <v>0.4</v>
      </c>
    </row>
    <row r="163" spans="1:21" x14ac:dyDescent="0.3">
      <c r="A163" s="81" t="s">
        <v>376</v>
      </c>
      <c r="B163" s="81" t="s">
        <v>377</v>
      </c>
      <c r="C163" s="81">
        <v>2007</v>
      </c>
      <c r="D163" s="107">
        <v>115.13</v>
      </c>
      <c r="E163" s="107">
        <v>28.28</v>
      </c>
      <c r="F163" s="34">
        <v>2005</v>
      </c>
      <c r="G163" s="34">
        <v>780</v>
      </c>
      <c r="H163" s="34">
        <v>732</v>
      </c>
      <c r="I163" s="34">
        <v>27.5</v>
      </c>
      <c r="J163" s="34">
        <v>1.3759999999999999</v>
      </c>
      <c r="K163" s="34">
        <v>42</v>
      </c>
      <c r="L163" s="34">
        <v>27.2</v>
      </c>
      <c r="M163" s="34">
        <v>30.8</v>
      </c>
      <c r="N163" s="34">
        <v>6.87</v>
      </c>
      <c r="O163" s="34">
        <v>7.9930394431554523</v>
      </c>
      <c r="P163" s="34">
        <v>1.45</v>
      </c>
      <c r="Q163" s="34">
        <f t="shared" si="2"/>
        <v>5.5124409952796221</v>
      </c>
      <c r="R163" s="34">
        <v>210</v>
      </c>
      <c r="S163" s="81">
        <v>0.8</v>
      </c>
      <c r="T163" s="81"/>
      <c r="U163" s="81">
        <f>100*(S163-S155)/R163</f>
        <v>0.14285714285714288</v>
      </c>
    </row>
    <row r="164" spans="1:21" x14ac:dyDescent="0.3">
      <c r="A164" s="5" t="s">
        <v>378</v>
      </c>
      <c r="B164" s="5" t="s">
        <v>379</v>
      </c>
      <c r="C164" s="5">
        <v>2013</v>
      </c>
      <c r="D164" s="106">
        <v>106.28</v>
      </c>
      <c r="E164" s="106">
        <v>38.119999999999997</v>
      </c>
      <c r="F164" s="29" t="s">
        <v>233</v>
      </c>
      <c r="G164" s="29">
        <v>120</v>
      </c>
      <c r="H164" s="29">
        <v>384</v>
      </c>
      <c r="I164" s="29">
        <v>21.4</v>
      </c>
      <c r="J164" s="29">
        <v>1.5029729700000001</v>
      </c>
      <c r="K164" s="29">
        <v>56.108108110000003</v>
      </c>
      <c r="L164" s="29">
        <v>28.432432429999999</v>
      </c>
      <c r="M164" s="29">
        <v>15.45945946</v>
      </c>
      <c r="N164" s="29">
        <v>8.3000000000000007</v>
      </c>
      <c r="O164" s="29">
        <v>9.5591647331786547</v>
      </c>
      <c r="P164" s="29">
        <v>1.002</v>
      </c>
      <c r="Q164" s="29">
        <f t="shared" si="2"/>
        <v>9.5400845640505541</v>
      </c>
      <c r="R164" s="29">
        <v>0</v>
      </c>
      <c r="S164" s="5">
        <v>7.04</v>
      </c>
      <c r="T164" s="5">
        <f>AVERAGE(S164,S169)</f>
        <v>7.8149999999999995</v>
      </c>
      <c r="U164" s="5">
        <v>0</v>
      </c>
    </row>
    <row r="165" spans="1:21" x14ac:dyDescent="0.3">
      <c r="A165" s="5" t="s">
        <v>378</v>
      </c>
      <c r="B165" s="5" t="s">
        <v>379</v>
      </c>
      <c r="C165" s="5">
        <v>2013</v>
      </c>
      <c r="D165" s="106">
        <v>106.28</v>
      </c>
      <c r="E165" s="106">
        <v>38.119999999999997</v>
      </c>
      <c r="F165" s="29" t="s">
        <v>233</v>
      </c>
      <c r="G165" s="29">
        <v>120</v>
      </c>
      <c r="H165" s="29">
        <v>384</v>
      </c>
      <c r="I165" s="29">
        <v>21.4</v>
      </c>
      <c r="J165" s="29">
        <v>1.5029729700000001</v>
      </c>
      <c r="K165" s="29">
        <v>56.108108110000003</v>
      </c>
      <c r="L165" s="29">
        <v>28.432432429999999</v>
      </c>
      <c r="M165" s="29">
        <v>15.45945946</v>
      </c>
      <c r="N165" s="29">
        <v>8.3000000000000007</v>
      </c>
      <c r="O165" s="29">
        <v>9.5591647331786547</v>
      </c>
      <c r="P165" s="29">
        <v>1.002</v>
      </c>
      <c r="Q165" s="29">
        <f t="shared" si="2"/>
        <v>9.5400845640505541</v>
      </c>
      <c r="R165" s="29">
        <v>74</v>
      </c>
      <c r="S165" s="5">
        <v>11.89</v>
      </c>
      <c r="U165" s="5">
        <f>100*(S165-S164)/R165</f>
        <v>6.5540540540540544</v>
      </c>
    </row>
    <row r="166" spans="1:21" x14ac:dyDescent="0.3">
      <c r="A166" s="5" t="s">
        <v>378</v>
      </c>
      <c r="B166" s="5" t="s">
        <v>379</v>
      </c>
      <c r="C166" s="5">
        <v>2013</v>
      </c>
      <c r="D166" s="106">
        <v>106.28</v>
      </c>
      <c r="E166" s="106">
        <v>38.119999999999997</v>
      </c>
      <c r="F166" s="29" t="s">
        <v>233</v>
      </c>
      <c r="G166" s="29">
        <v>120</v>
      </c>
      <c r="H166" s="29">
        <v>384</v>
      </c>
      <c r="I166" s="29">
        <v>21.4</v>
      </c>
      <c r="J166" s="29">
        <v>1.5029729700000001</v>
      </c>
      <c r="K166" s="29">
        <v>56.108108110000003</v>
      </c>
      <c r="L166" s="29">
        <v>28.432432429999999</v>
      </c>
      <c r="M166" s="29">
        <v>15.45945946</v>
      </c>
      <c r="N166" s="29">
        <v>8.3000000000000007</v>
      </c>
      <c r="O166" s="29">
        <v>9.5591647331786547</v>
      </c>
      <c r="P166" s="29">
        <v>1.002</v>
      </c>
      <c r="Q166" s="29">
        <f t="shared" si="2"/>
        <v>9.5400845640505541</v>
      </c>
      <c r="R166" s="29">
        <v>125</v>
      </c>
      <c r="S166" s="5">
        <v>14.92</v>
      </c>
      <c r="U166" s="5">
        <f>100*(S166-S164)/R166</f>
        <v>6.3040000000000003</v>
      </c>
    </row>
    <row r="167" spans="1:21" x14ac:dyDescent="0.3">
      <c r="A167" s="5" t="s">
        <v>378</v>
      </c>
      <c r="B167" s="5" t="s">
        <v>379</v>
      </c>
      <c r="C167" s="5">
        <v>2013</v>
      </c>
      <c r="D167" s="106">
        <v>106.28</v>
      </c>
      <c r="E167" s="106">
        <v>38.119999999999997</v>
      </c>
      <c r="F167" s="29" t="s">
        <v>233</v>
      </c>
      <c r="G167" s="29">
        <v>120</v>
      </c>
      <c r="H167" s="29">
        <v>384</v>
      </c>
      <c r="I167" s="29">
        <v>21.4</v>
      </c>
      <c r="J167" s="29">
        <v>1.5029729700000001</v>
      </c>
      <c r="K167" s="29">
        <v>56.108108110000003</v>
      </c>
      <c r="L167" s="29">
        <v>28.432432429999999</v>
      </c>
      <c r="M167" s="29">
        <v>15.45945946</v>
      </c>
      <c r="N167" s="29">
        <v>8.3000000000000007</v>
      </c>
      <c r="O167" s="29">
        <v>9.5591647331786547</v>
      </c>
      <c r="P167" s="29">
        <v>1.002</v>
      </c>
      <c r="Q167" s="29">
        <f t="shared" si="2"/>
        <v>9.5400845640505541</v>
      </c>
      <c r="R167" s="29">
        <v>176</v>
      </c>
      <c r="S167" s="5">
        <v>18.509999999999998</v>
      </c>
      <c r="U167" s="5">
        <f>100*(S167-S164)/R167</f>
        <v>6.5170454545454541</v>
      </c>
    </row>
    <row r="168" spans="1:21" x14ac:dyDescent="0.3">
      <c r="A168" s="5" t="s">
        <v>378</v>
      </c>
      <c r="B168" s="5" t="s">
        <v>379</v>
      </c>
      <c r="C168" s="5">
        <v>2013</v>
      </c>
      <c r="D168" s="106">
        <v>106.28</v>
      </c>
      <c r="E168" s="106">
        <v>38.119999999999997</v>
      </c>
      <c r="F168" s="29" t="s">
        <v>233</v>
      </c>
      <c r="G168" s="29">
        <v>120</v>
      </c>
      <c r="H168" s="29">
        <v>384</v>
      </c>
      <c r="I168" s="29">
        <v>21.4</v>
      </c>
      <c r="J168" s="29">
        <v>1.5029729700000001</v>
      </c>
      <c r="K168" s="29">
        <v>56.108108110000003</v>
      </c>
      <c r="L168" s="29">
        <v>28.432432429999999</v>
      </c>
      <c r="M168" s="29">
        <v>15.45945946</v>
      </c>
      <c r="N168" s="29">
        <v>8.3000000000000007</v>
      </c>
      <c r="O168" s="29">
        <v>9.5591647331786547</v>
      </c>
      <c r="P168" s="29">
        <v>1.002</v>
      </c>
      <c r="Q168" s="29">
        <f t="shared" si="2"/>
        <v>9.5400845640505541</v>
      </c>
      <c r="R168" s="29">
        <v>300</v>
      </c>
      <c r="S168" s="5">
        <v>25.82</v>
      </c>
      <c r="U168" s="5">
        <f>100*(S168-S164)/R168</f>
        <v>6.26</v>
      </c>
    </row>
    <row r="169" spans="1:21" x14ac:dyDescent="0.3">
      <c r="A169" s="5" t="s">
        <v>378</v>
      </c>
      <c r="B169" s="5" t="s">
        <v>379</v>
      </c>
      <c r="C169" s="5">
        <v>2013</v>
      </c>
      <c r="D169" s="106">
        <v>106.28</v>
      </c>
      <c r="E169" s="106">
        <v>38.119999999999997</v>
      </c>
      <c r="F169" s="29" t="s">
        <v>233</v>
      </c>
      <c r="G169" s="29">
        <v>120</v>
      </c>
      <c r="H169" s="29">
        <v>384</v>
      </c>
      <c r="I169" s="29">
        <v>21.4</v>
      </c>
      <c r="J169" s="29">
        <v>1.5029729700000001</v>
      </c>
      <c r="K169" s="29">
        <v>56.108108110000003</v>
      </c>
      <c r="L169" s="29">
        <v>28.432432429999999</v>
      </c>
      <c r="M169" s="29">
        <v>15.45945946</v>
      </c>
      <c r="N169" s="29">
        <v>8.3000000000000007</v>
      </c>
      <c r="O169" s="29">
        <v>9.5591647331786547</v>
      </c>
      <c r="P169" s="29">
        <v>1.002</v>
      </c>
      <c r="Q169" s="29">
        <f t="shared" si="2"/>
        <v>9.5400845640505541</v>
      </c>
      <c r="R169" s="29">
        <v>0</v>
      </c>
      <c r="S169" s="5">
        <v>8.59</v>
      </c>
      <c r="U169" s="5">
        <v>0</v>
      </c>
    </row>
    <row r="170" spans="1:21" x14ac:dyDescent="0.3">
      <c r="A170" s="5" t="s">
        <v>378</v>
      </c>
      <c r="B170" s="5" t="s">
        <v>379</v>
      </c>
      <c r="C170" s="5">
        <v>2013</v>
      </c>
      <c r="D170" s="106">
        <v>106.28</v>
      </c>
      <c r="E170" s="106">
        <v>38.119999999999997</v>
      </c>
      <c r="F170" s="29" t="s">
        <v>233</v>
      </c>
      <c r="G170" s="29">
        <v>120</v>
      </c>
      <c r="H170" s="29">
        <v>384</v>
      </c>
      <c r="I170" s="29">
        <v>21.4</v>
      </c>
      <c r="J170" s="29">
        <v>1.5029729700000001</v>
      </c>
      <c r="K170" s="29">
        <v>56.108108110000003</v>
      </c>
      <c r="L170" s="29">
        <v>28.432432429999999</v>
      </c>
      <c r="M170" s="29">
        <v>15.45945946</v>
      </c>
      <c r="N170" s="29">
        <v>8.3000000000000007</v>
      </c>
      <c r="O170" s="29">
        <v>9.5591647331786547</v>
      </c>
      <c r="P170" s="29">
        <v>1.002</v>
      </c>
      <c r="Q170" s="29">
        <f t="shared" si="2"/>
        <v>9.5400845640505541</v>
      </c>
      <c r="R170" s="29">
        <v>74</v>
      </c>
      <c r="S170" s="5">
        <v>13.870000000000001</v>
      </c>
      <c r="U170" s="5">
        <f>100*(S170-S169)/R170</f>
        <v>7.1351351351351369</v>
      </c>
    </row>
    <row r="171" spans="1:21" x14ac:dyDescent="0.3">
      <c r="A171" s="5" t="s">
        <v>378</v>
      </c>
      <c r="B171" s="5" t="s">
        <v>379</v>
      </c>
      <c r="C171" s="5">
        <v>2013</v>
      </c>
      <c r="D171" s="106">
        <v>106.28</v>
      </c>
      <c r="E171" s="106">
        <v>38.119999999999997</v>
      </c>
      <c r="F171" s="29" t="s">
        <v>233</v>
      </c>
      <c r="G171" s="29">
        <v>120</v>
      </c>
      <c r="H171" s="29">
        <v>384</v>
      </c>
      <c r="I171" s="29">
        <v>21.4</v>
      </c>
      <c r="J171" s="29">
        <v>1.5029729700000001</v>
      </c>
      <c r="K171" s="29">
        <v>56.108108110000003</v>
      </c>
      <c r="L171" s="29">
        <v>28.432432429999999</v>
      </c>
      <c r="M171" s="29">
        <v>15.45945946</v>
      </c>
      <c r="N171" s="29">
        <v>8.3000000000000007</v>
      </c>
      <c r="O171" s="29">
        <v>9.5591647331786547</v>
      </c>
      <c r="P171" s="29">
        <v>1.002</v>
      </c>
      <c r="Q171" s="29">
        <f t="shared" si="2"/>
        <v>9.5400845640505541</v>
      </c>
      <c r="R171" s="29">
        <v>125</v>
      </c>
      <c r="S171" s="5">
        <v>18.059999999999999</v>
      </c>
      <c r="U171" s="5">
        <f>100*(S171-S169)/R171</f>
        <v>7.5759999999999987</v>
      </c>
    </row>
    <row r="172" spans="1:21" x14ac:dyDescent="0.3">
      <c r="A172" s="5" t="s">
        <v>378</v>
      </c>
      <c r="B172" s="5" t="s">
        <v>379</v>
      </c>
      <c r="C172" s="5">
        <v>2013</v>
      </c>
      <c r="D172" s="106">
        <v>106.28</v>
      </c>
      <c r="E172" s="106">
        <v>38.119999999999997</v>
      </c>
      <c r="F172" s="29" t="s">
        <v>233</v>
      </c>
      <c r="G172" s="29">
        <v>120</v>
      </c>
      <c r="H172" s="29">
        <v>384</v>
      </c>
      <c r="I172" s="29">
        <v>21.4</v>
      </c>
      <c r="J172" s="29">
        <v>1.5029729700000001</v>
      </c>
      <c r="K172" s="29">
        <v>56.108108110000003</v>
      </c>
      <c r="L172" s="29">
        <v>28.432432429999999</v>
      </c>
      <c r="M172" s="29">
        <v>15.45945946</v>
      </c>
      <c r="N172" s="29">
        <v>8.3000000000000007</v>
      </c>
      <c r="O172" s="29">
        <v>9.5591647331786547</v>
      </c>
      <c r="P172" s="29">
        <v>1.002</v>
      </c>
      <c r="Q172" s="29">
        <f t="shared" si="2"/>
        <v>9.5400845640505541</v>
      </c>
      <c r="R172" s="29">
        <v>176</v>
      </c>
      <c r="S172" s="5">
        <v>24.720000000000002</v>
      </c>
      <c r="U172" s="5">
        <f>100*(S172-S169)/R172</f>
        <v>9.1647727272727284</v>
      </c>
    </row>
    <row r="173" spans="1:21" x14ac:dyDescent="0.3">
      <c r="A173" s="81" t="s">
        <v>378</v>
      </c>
      <c r="B173" s="81" t="s">
        <v>379</v>
      </c>
      <c r="C173" s="81">
        <v>2013</v>
      </c>
      <c r="D173" s="107">
        <v>106.28</v>
      </c>
      <c r="E173" s="107">
        <v>38.119999999999997</v>
      </c>
      <c r="F173" s="34" t="s">
        <v>233</v>
      </c>
      <c r="G173" s="34">
        <v>120</v>
      </c>
      <c r="H173" s="34">
        <v>384</v>
      </c>
      <c r="I173" s="34">
        <v>21.4</v>
      </c>
      <c r="J173" s="34">
        <v>1.5029729700000001</v>
      </c>
      <c r="K173" s="34">
        <v>56.108108110000003</v>
      </c>
      <c r="L173" s="34">
        <v>28.432432429999999</v>
      </c>
      <c r="M173" s="34">
        <v>15.45945946</v>
      </c>
      <c r="N173" s="34">
        <v>8.3000000000000007</v>
      </c>
      <c r="O173" s="34">
        <v>9.5591647331786547</v>
      </c>
      <c r="P173" s="34">
        <v>1.002</v>
      </c>
      <c r="Q173" s="34">
        <f t="shared" si="2"/>
        <v>9.5400845640505541</v>
      </c>
      <c r="R173" s="34">
        <v>300</v>
      </c>
      <c r="S173" s="81">
        <v>31.71</v>
      </c>
      <c r="T173" s="81"/>
      <c r="U173" s="81">
        <f>100*(S173-S169)/R173</f>
        <v>7.706666666666667</v>
      </c>
    </row>
    <row r="174" spans="1:21" x14ac:dyDescent="0.3">
      <c r="A174" s="5" t="s">
        <v>380</v>
      </c>
      <c r="B174" s="5" t="s">
        <v>381</v>
      </c>
      <c r="C174" s="5">
        <v>2015</v>
      </c>
      <c r="D174" s="106">
        <v>106.21</v>
      </c>
      <c r="E174" s="106">
        <v>37.99</v>
      </c>
      <c r="F174" s="29">
        <v>2013</v>
      </c>
      <c r="G174" s="29">
        <v>80.400000000000006</v>
      </c>
      <c r="H174" s="29">
        <v>402</v>
      </c>
      <c r="I174" s="29">
        <v>21.2</v>
      </c>
      <c r="J174" s="29">
        <v>1.5029729700000001</v>
      </c>
      <c r="K174" s="29">
        <v>56.108108110000003</v>
      </c>
      <c r="L174" s="29">
        <v>28.432432429999999</v>
      </c>
      <c r="M174" s="29">
        <v>15.45945946</v>
      </c>
      <c r="N174" s="29">
        <v>8.3000000000000007</v>
      </c>
      <c r="O174" s="29">
        <v>8.1786542923433867</v>
      </c>
      <c r="P174" s="29">
        <v>1.03</v>
      </c>
      <c r="Q174" s="29">
        <f t="shared" si="2"/>
        <v>7.9404410605275597</v>
      </c>
      <c r="R174" s="29">
        <v>0</v>
      </c>
      <c r="S174" s="5">
        <v>9.6300000000000008</v>
      </c>
      <c r="T174" s="5">
        <f>S174</f>
        <v>9.6300000000000008</v>
      </c>
      <c r="U174" s="5">
        <v>0</v>
      </c>
    </row>
    <row r="175" spans="1:21" x14ac:dyDescent="0.3">
      <c r="A175" s="81" t="s">
        <v>380</v>
      </c>
      <c r="B175" s="81" t="s">
        <v>381</v>
      </c>
      <c r="C175" s="81">
        <v>2015</v>
      </c>
      <c r="D175" s="107">
        <v>106.21</v>
      </c>
      <c r="E175" s="107">
        <v>37.99</v>
      </c>
      <c r="F175" s="34">
        <v>2013</v>
      </c>
      <c r="G175" s="34">
        <v>80.400000000000006</v>
      </c>
      <c r="H175" s="34">
        <v>402</v>
      </c>
      <c r="I175" s="34">
        <v>21.2</v>
      </c>
      <c r="J175" s="34">
        <v>1.5029729700000001</v>
      </c>
      <c r="K175" s="34">
        <v>56.108108110000003</v>
      </c>
      <c r="L175" s="34">
        <v>28.432432429999999</v>
      </c>
      <c r="M175" s="34">
        <v>15.45945946</v>
      </c>
      <c r="N175" s="34">
        <v>8.3000000000000007</v>
      </c>
      <c r="O175" s="34">
        <v>8.1786542923433867</v>
      </c>
      <c r="P175" s="34">
        <v>1.03</v>
      </c>
      <c r="Q175" s="34">
        <f t="shared" si="2"/>
        <v>7.9404410605275597</v>
      </c>
      <c r="R175" s="34">
        <v>345</v>
      </c>
      <c r="S175" s="81">
        <v>31.76</v>
      </c>
      <c r="T175" s="81"/>
      <c r="U175" s="81">
        <f>100*(S175-S174)/R175</f>
        <v>6.4144927536231897</v>
      </c>
    </row>
    <row r="176" spans="1:21" x14ac:dyDescent="0.3">
      <c r="A176" s="5" t="s">
        <v>382</v>
      </c>
      <c r="B176" s="5" t="s">
        <v>383</v>
      </c>
      <c r="C176" s="5">
        <v>2012</v>
      </c>
      <c r="D176" s="106">
        <v>106.28</v>
      </c>
      <c r="E176" s="106">
        <v>38.119999999999997</v>
      </c>
      <c r="F176" s="29">
        <v>2010</v>
      </c>
      <c r="G176" s="29">
        <v>80.400000000000006</v>
      </c>
      <c r="H176" s="29">
        <v>402</v>
      </c>
      <c r="I176" s="29">
        <v>21.2</v>
      </c>
      <c r="J176" s="29">
        <v>1.5029729700000001</v>
      </c>
      <c r="K176" s="29">
        <v>56.108108110000003</v>
      </c>
      <c r="L176" s="29">
        <v>28.432432429999999</v>
      </c>
      <c r="M176" s="29">
        <v>15.45945946</v>
      </c>
      <c r="N176" s="29">
        <v>8.3000000000000007</v>
      </c>
      <c r="O176" s="29">
        <v>8.8167053364269137</v>
      </c>
      <c r="P176" s="29">
        <v>1.02</v>
      </c>
      <c r="Q176" s="29">
        <f t="shared" si="2"/>
        <v>8.6438287612028564</v>
      </c>
      <c r="R176" s="29">
        <v>0</v>
      </c>
      <c r="S176" s="5">
        <v>13.6</v>
      </c>
      <c r="T176" s="5">
        <f>S176</f>
        <v>13.6</v>
      </c>
      <c r="U176" s="5">
        <v>0</v>
      </c>
    </row>
    <row r="177" spans="1:21" x14ac:dyDescent="0.3">
      <c r="A177" s="5" t="s">
        <v>382</v>
      </c>
      <c r="B177" s="5" t="s">
        <v>383</v>
      </c>
      <c r="C177" s="5">
        <v>2012</v>
      </c>
      <c r="D177" s="106">
        <v>106.28</v>
      </c>
      <c r="E177" s="106">
        <v>38.119999999999997</v>
      </c>
      <c r="F177" s="29">
        <v>2010</v>
      </c>
      <c r="G177" s="29">
        <v>120</v>
      </c>
      <c r="H177" s="29">
        <v>384</v>
      </c>
      <c r="I177" s="29">
        <v>21.4</v>
      </c>
      <c r="J177" s="29">
        <v>1.5029729700000001</v>
      </c>
      <c r="K177" s="29">
        <v>56.108108110000003</v>
      </c>
      <c r="L177" s="29">
        <v>28.432432429999999</v>
      </c>
      <c r="M177" s="29">
        <v>15.45945946</v>
      </c>
      <c r="N177" s="29">
        <v>8.3000000000000007</v>
      </c>
      <c r="O177" s="29">
        <v>8.8167053364269137</v>
      </c>
      <c r="P177" s="29">
        <v>1.02</v>
      </c>
      <c r="Q177" s="29">
        <f t="shared" si="2"/>
        <v>8.6438287612028564</v>
      </c>
      <c r="R177" s="29">
        <v>300</v>
      </c>
      <c r="S177" s="5">
        <v>44.51</v>
      </c>
      <c r="U177" s="5">
        <f>100*(S177-S176)/R177</f>
        <v>10.303333333333331</v>
      </c>
    </row>
    <row r="178" spans="1:21" x14ac:dyDescent="0.3">
      <c r="A178" s="5" t="s">
        <v>382</v>
      </c>
      <c r="B178" s="5" t="s">
        <v>383</v>
      </c>
      <c r="C178" s="5">
        <v>2012</v>
      </c>
      <c r="D178" s="106">
        <v>106.28</v>
      </c>
      <c r="E178" s="106">
        <v>38.119999999999997</v>
      </c>
      <c r="F178" s="29">
        <v>2010</v>
      </c>
      <c r="G178" s="29">
        <v>120</v>
      </c>
      <c r="H178" s="29">
        <v>384</v>
      </c>
      <c r="I178" s="29">
        <v>21.4</v>
      </c>
      <c r="J178" s="29">
        <v>1.5029729700000001</v>
      </c>
      <c r="K178" s="29">
        <v>56.108108110000003</v>
      </c>
      <c r="L178" s="29">
        <v>28.432432429999999</v>
      </c>
      <c r="M178" s="29">
        <v>15.45945946</v>
      </c>
      <c r="N178" s="29">
        <v>8.3000000000000007</v>
      </c>
      <c r="O178" s="29">
        <v>8.8167053364269137</v>
      </c>
      <c r="P178" s="29">
        <v>1.02</v>
      </c>
      <c r="Q178" s="29">
        <f t="shared" si="2"/>
        <v>8.6438287612028564</v>
      </c>
      <c r="R178" s="29">
        <v>240</v>
      </c>
      <c r="S178" s="5">
        <v>34.19</v>
      </c>
      <c r="U178" s="5">
        <f>100*(S178-S176)/R178</f>
        <v>8.5791666666666639</v>
      </c>
    </row>
    <row r="179" spans="1:21" x14ac:dyDescent="0.3">
      <c r="A179" s="5" t="s">
        <v>382</v>
      </c>
      <c r="B179" s="5" t="s">
        <v>383</v>
      </c>
      <c r="C179" s="5">
        <v>2012</v>
      </c>
      <c r="D179" s="106">
        <v>106.28</v>
      </c>
      <c r="E179" s="106">
        <v>38.119999999999997</v>
      </c>
      <c r="F179" s="29">
        <v>2010</v>
      </c>
      <c r="G179" s="29">
        <v>120</v>
      </c>
      <c r="H179" s="29">
        <v>384</v>
      </c>
      <c r="I179" s="29">
        <v>21.4</v>
      </c>
      <c r="J179" s="29">
        <v>1.5029729700000001</v>
      </c>
      <c r="K179" s="29">
        <v>56.108108110000003</v>
      </c>
      <c r="L179" s="29">
        <v>28.432432429999999</v>
      </c>
      <c r="M179" s="29">
        <v>15.45945946</v>
      </c>
      <c r="N179" s="29">
        <v>8.3000000000000007</v>
      </c>
      <c r="O179" s="29">
        <v>8.8167053364269137</v>
      </c>
      <c r="P179" s="29">
        <v>1.02</v>
      </c>
      <c r="Q179" s="29">
        <f t="shared" si="2"/>
        <v>8.6438287612028564</v>
      </c>
      <c r="R179" s="29">
        <v>240</v>
      </c>
      <c r="S179" s="5">
        <v>29.78</v>
      </c>
      <c r="U179" s="5">
        <f>100*(S179-S176)/R179</f>
        <v>6.7416666666666663</v>
      </c>
    </row>
    <row r="180" spans="1:21" x14ac:dyDescent="0.3">
      <c r="A180" s="81" t="s">
        <v>382</v>
      </c>
      <c r="B180" s="81" t="s">
        <v>383</v>
      </c>
      <c r="C180" s="81">
        <v>2012</v>
      </c>
      <c r="D180" s="107">
        <v>106.28</v>
      </c>
      <c r="E180" s="107">
        <v>38.119999999999997</v>
      </c>
      <c r="F180" s="34">
        <v>2010</v>
      </c>
      <c r="G180" s="34">
        <v>120</v>
      </c>
      <c r="H180" s="34">
        <v>384</v>
      </c>
      <c r="I180" s="34">
        <v>21.4</v>
      </c>
      <c r="J180" s="34">
        <v>1.5029729700000001</v>
      </c>
      <c r="K180" s="34">
        <v>56.108108110000003</v>
      </c>
      <c r="L180" s="34">
        <v>28.432432429999999</v>
      </c>
      <c r="M180" s="34">
        <v>15.45945946</v>
      </c>
      <c r="N180" s="34">
        <v>8.3000000000000007</v>
      </c>
      <c r="O180" s="34">
        <v>8.8167053364269137</v>
      </c>
      <c r="P180" s="34">
        <v>1.02</v>
      </c>
      <c r="Q180" s="34">
        <f t="shared" si="2"/>
        <v>8.6438287612028564</v>
      </c>
      <c r="R180" s="34">
        <v>240</v>
      </c>
      <c r="S180" s="81">
        <v>31.32</v>
      </c>
      <c r="T180" s="81"/>
      <c r="U180" s="81">
        <f>100*(S180-S176)/R180</f>
        <v>7.3833333333333337</v>
      </c>
    </row>
    <row r="181" spans="1:21" x14ac:dyDescent="0.3">
      <c r="A181" s="5" t="s">
        <v>384</v>
      </c>
      <c r="B181" s="5" t="s">
        <v>385</v>
      </c>
      <c r="C181" s="5">
        <v>2012</v>
      </c>
      <c r="D181" s="106">
        <v>106.28</v>
      </c>
      <c r="E181" s="106">
        <v>38.119999999999997</v>
      </c>
      <c r="F181" s="29">
        <v>2010</v>
      </c>
      <c r="G181" s="29">
        <v>120</v>
      </c>
      <c r="H181" s="29">
        <v>384</v>
      </c>
      <c r="I181" s="29">
        <v>21.4</v>
      </c>
      <c r="J181" s="29">
        <v>1.5029729700000001</v>
      </c>
      <c r="K181" s="29">
        <v>56.108108110000003</v>
      </c>
      <c r="L181" s="29">
        <v>28.432432429999999</v>
      </c>
      <c r="M181" s="29">
        <v>15.45945946</v>
      </c>
      <c r="N181" s="29">
        <v>8.3000000000000007</v>
      </c>
      <c r="O181" s="29">
        <v>8.8167053364269137</v>
      </c>
      <c r="P181" s="29">
        <v>1.02</v>
      </c>
      <c r="Q181" s="29">
        <f t="shared" si="2"/>
        <v>8.6438287612028564</v>
      </c>
      <c r="R181" s="29">
        <v>0</v>
      </c>
      <c r="S181" s="5">
        <v>9.19</v>
      </c>
      <c r="T181" s="5">
        <f>S181</f>
        <v>9.19</v>
      </c>
      <c r="U181" s="5">
        <v>0</v>
      </c>
    </row>
    <row r="182" spans="1:21" x14ac:dyDescent="0.3">
      <c r="A182" s="81" t="s">
        <v>384</v>
      </c>
      <c r="B182" s="81" t="s">
        <v>385</v>
      </c>
      <c r="C182" s="81">
        <v>2012</v>
      </c>
      <c r="D182" s="107">
        <v>106.28</v>
      </c>
      <c r="E182" s="107">
        <v>38.119999999999997</v>
      </c>
      <c r="F182" s="34">
        <v>2010</v>
      </c>
      <c r="G182" s="34">
        <v>120</v>
      </c>
      <c r="H182" s="34">
        <v>384</v>
      </c>
      <c r="I182" s="34">
        <v>21.4</v>
      </c>
      <c r="J182" s="34">
        <v>1.5029729700000001</v>
      </c>
      <c r="K182" s="34">
        <v>56.108108110000003</v>
      </c>
      <c r="L182" s="34">
        <v>28.432432429999999</v>
      </c>
      <c r="M182" s="34">
        <v>15.45945946</v>
      </c>
      <c r="N182" s="34">
        <v>8.3000000000000007</v>
      </c>
      <c r="O182" s="34">
        <v>8.8167053364269137</v>
      </c>
      <c r="P182" s="34">
        <v>1.02</v>
      </c>
      <c r="Q182" s="34">
        <f t="shared" si="2"/>
        <v>8.6438287612028564</v>
      </c>
      <c r="R182" s="34">
        <v>300</v>
      </c>
      <c r="S182" s="81">
        <v>32.619999999999997</v>
      </c>
      <c r="T182" s="81"/>
      <c r="U182" s="81">
        <f>100*(S182-S181)/R182</f>
        <v>7.81</v>
      </c>
    </row>
    <row r="183" spans="1:21" x14ac:dyDescent="0.3">
      <c r="B183" s="5" t="s">
        <v>70</v>
      </c>
      <c r="C183" s="5">
        <v>2014</v>
      </c>
      <c r="D183" s="106">
        <v>120.619907</v>
      </c>
      <c r="E183" s="106">
        <v>31.317986999999999</v>
      </c>
      <c r="F183" s="29">
        <v>2011</v>
      </c>
      <c r="G183" s="29">
        <v>727.19999999999993</v>
      </c>
      <c r="H183" s="29">
        <v>736.8</v>
      </c>
      <c r="I183" s="29">
        <v>26.3</v>
      </c>
      <c r="J183" s="29">
        <v>1.4261904599999999</v>
      </c>
      <c r="K183" s="29">
        <v>48.047619050000002</v>
      </c>
      <c r="L183" s="29">
        <v>30.714285709999999</v>
      </c>
      <c r="M183" s="29">
        <v>21.23809524</v>
      </c>
      <c r="N183" s="29">
        <v>7.36</v>
      </c>
      <c r="O183" s="29">
        <v>20.301624129930396</v>
      </c>
      <c r="P183" s="29">
        <v>2.09</v>
      </c>
      <c r="Q183" s="29">
        <f t="shared" si="2"/>
        <v>9.7136957559475583</v>
      </c>
      <c r="R183" s="29">
        <v>0</v>
      </c>
      <c r="S183" s="5">
        <v>7.79</v>
      </c>
      <c r="T183" s="5">
        <f>S183</f>
        <v>7.79</v>
      </c>
      <c r="U183" s="5">
        <v>0</v>
      </c>
    </row>
    <row r="184" spans="1:21" x14ac:dyDescent="0.3">
      <c r="B184" s="5" t="s">
        <v>70</v>
      </c>
      <c r="C184" s="5">
        <v>2014</v>
      </c>
      <c r="D184" s="106">
        <v>120.619907</v>
      </c>
      <c r="E184" s="106">
        <v>31.317986999999999</v>
      </c>
      <c r="F184" s="29">
        <v>2011</v>
      </c>
      <c r="G184" s="29">
        <v>727.19999999999993</v>
      </c>
      <c r="H184" s="29">
        <v>736.8</v>
      </c>
      <c r="I184" s="29">
        <v>26.3</v>
      </c>
      <c r="J184" s="29">
        <v>1.4261904599999999</v>
      </c>
      <c r="K184" s="29">
        <v>48.047619050000002</v>
      </c>
      <c r="L184" s="29">
        <v>30.714285709999999</v>
      </c>
      <c r="M184" s="29">
        <v>21.23809524</v>
      </c>
      <c r="N184" s="29">
        <v>7.36</v>
      </c>
      <c r="O184" s="29">
        <v>20.301624129930396</v>
      </c>
      <c r="P184" s="29">
        <v>2.09</v>
      </c>
      <c r="Q184" s="29">
        <f t="shared" si="2"/>
        <v>9.7136957559475583</v>
      </c>
      <c r="R184" s="29">
        <v>300</v>
      </c>
      <c r="S184" s="5">
        <v>7.97</v>
      </c>
      <c r="U184" s="5">
        <f>100*(S184-S183)/R184</f>
        <v>5.9999999999999908E-2</v>
      </c>
    </row>
    <row r="185" spans="1:21" x14ac:dyDescent="0.3">
      <c r="A185" s="81"/>
      <c r="B185" s="81" t="s">
        <v>70</v>
      </c>
      <c r="C185" s="81">
        <v>2014</v>
      </c>
      <c r="D185" s="107">
        <v>120.619907</v>
      </c>
      <c r="E185" s="107">
        <v>31.317986999999999</v>
      </c>
      <c r="F185" s="34">
        <v>2011</v>
      </c>
      <c r="G185" s="34">
        <v>727.19999999999993</v>
      </c>
      <c r="H185" s="34">
        <v>736.8</v>
      </c>
      <c r="I185" s="34">
        <v>26.3</v>
      </c>
      <c r="J185" s="34">
        <v>1.4261904599999999</v>
      </c>
      <c r="K185" s="34">
        <v>48.047619050000002</v>
      </c>
      <c r="L185" s="34">
        <v>30.714285709999999</v>
      </c>
      <c r="M185" s="34">
        <v>21.23809524</v>
      </c>
      <c r="N185" s="34">
        <v>7.36</v>
      </c>
      <c r="O185" s="34">
        <v>20.301624129930396</v>
      </c>
      <c r="P185" s="34">
        <v>2.09</v>
      </c>
      <c r="Q185" s="34">
        <f t="shared" si="2"/>
        <v>9.7136957559475583</v>
      </c>
      <c r="R185" s="34">
        <v>225</v>
      </c>
      <c r="S185" s="81">
        <v>7.92</v>
      </c>
      <c r="T185" s="81"/>
      <c r="U185" s="81">
        <f>100*(S185-S183)/R185</f>
        <v>5.7777777777777733E-2</v>
      </c>
    </row>
    <row r="186" spans="1:21" x14ac:dyDescent="0.3">
      <c r="A186" s="5" t="s">
        <v>386</v>
      </c>
      <c r="B186" s="5" t="s">
        <v>387</v>
      </c>
      <c r="C186" s="5">
        <v>2015</v>
      </c>
      <c r="D186" s="106">
        <v>121.091425</v>
      </c>
      <c r="E186" s="106">
        <v>31.130862</v>
      </c>
      <c r="F186" s="29">
        <v>2013</v>
      </c>
      <c r="G186" s="29">
        <v>444</v>
      </c>
      <c r="H186" s="29">
        <v>696</v>
      </c>
      <c r="I186" s="29">
        <v>27.3</v>
      </c>
      <c r="J186" s="29">
        <v>1.3638461500000001</v>
      </c>
      <c r="K186" s="29">
        <v>30.46153846</v>
      </c>
      <c r="L186" s="29">
        <v>44.53846154</v>
      </c>
      <c r="M186" s="29">
        <v>25</v>
      </c>
      <c r="N186" s="29">
        <v>7.4</v>
      </c>
      <c r="O186" s="29">
        <v>13.248259860788863</v>
      </c>
      <c r="P186" s="29">
        <v>1.4730000000000001</v>
      </c>
      <c r="Q186" s="29">
        <f t="shared" si="2"/>
        <v>8.9940664363807628</v>
      </c>
      <c r="R186" s="29">
        <v>0</v>
      </c>
      <c r="S186" s="5">
        <v>0.43</v>
      </c>
      <c r="T186" s="5">
        <f>S186</f>
        <v>0.43</v>
      </c>
      <c r="U186" s="5">
        <v>0</v>
      </c>
    </row>
    <row r="187" spans="1:21" x14ac:dyDescent="0.3">
      <c r="A187" s="81" t="s">
        <v>388</v>
      </c>
      <c r="B187" s="81" t="s">
        <v>387</v>
      </c>
      <c r="C187" s="81">
        <v>2015</v>
      </c>
      <c r="D187" s="107">
        <v>121.091425</v>
      </c>
      <c r="E187" s="107">
        <v>31.130862</v>
      </c>
      <c r="F187" s="34">
        <v>2013</v>
      </c>
      <c r="G187" s="34">
        <v>444</v>
      </c>
      <c r="H187" s="34">
        <v>696</v>
      </c>
      <c r="I187" s="34">
        <v>27.3</v>
      </c>
      <c r="J187" s="34">
        <v>1.3638461500000001</v>
      </c>
      <c r="K187" s="34">
        <v>30.46153846</v>
      </c>
      <c r="L187" s="34">
        <v>44.53846154</v>
      </c>
      <c r="M187" s="34">
        <v>25</v>
      </c>
      <c r="N187" s="34">
        <v>7.4</v>
      </c>
      <c r="O187" s="34">
        <v>13.248259860788863</v>
      </c>
      <c r="P187" s="34">
        <v>1.4730000000000001</v>
      </c>
      <c r="Q187" s="34">
        <f t="shared" si="2"/>
        <v>8.9940664363807628</v>
      </c>
      <c r="R187" s="34">
        <v>300</v>
      </c>
      <c r="S187" s="81">
        <v>1.25</v>
      </c>
      <c r="T187" s="81"/>
      <c r="U187" s="81">
        <f>100*(S187-S186)/R187</f>
        <v>0.27333333333333332</v>
      </c>
    </row>
    <row r="188" spans="1:21" x14ac:dyDescent="0.3">
      <c r="A188" s="5" t="s">
        <v>389</v>
      </c>
      <c r="B188" s="5" t="s">
        <v>390</v>
      </c>
      <c r="C188" s="5">
        <v>2007</v>
      </c>
      <c r="D188" s="106">
        <v>113.125027</v>
      </c>
      <c r="E188" s="106">
        <v>28.801957999999999</v>
      </c>
      <c r="G188" s="29">
        <v>588</v>
      </c>
      <c r="H188" s="29">
        <v>744</v>
      </c>
      <c r="I188" s="29">
        <v>27.6</v>
      </c>
      <c r="J188" s="29">
        <v>1.3546666599999999</v>
      </c>
      <c r="K188" s="29">
        <v>53</v>
      </c>
      <c r="L188" s="29">
        <v>28</v>
      </c>
      <c r="M188" s="29">
        <v>19</v>
      </c>
      <c r="N188" s="29">
        <v>5.3</v>
      </c>
      <c r="O188" s="29">
        <v>19.941995359628773</v>
      </c>
      <c r="P188" s="29">
        <v>1.8859999999999999</v>
      </c>
      <c r="Q188" s="29">
        <f t="shared" si="2"/>
        <v>10.573698493970719</v>
      </c>
      <c r="R188" s="29">
        <v>0</v>
      </c>
      <c r="S188" s="5">
        <v>5.76</v>
      </c>
      <c r="T188" s="5">
        <f>AVERAGE(S188,S190,S192)</f>
        <v>3.9233333333333333</v>
      </c>
      <c r="U188" s="5">
        <v>0</v>
      </c>
    </row>
    <row r="189" spans="1:21" x14ac:dyDescent="0.3">
      <c r="A189" s="5" t="s">
        <v>389</v>
      </c>
      <c r="B189" s="5" t="s">
        <v>390</v>
      </c>
      <c r="C189" s="5">
        <v>2007</v>
      </c>
      <c r="D189" s="106">
        <v>113.125027</v>
      </c>
      <c r="E189" s="106">
        <v>28.801957999999999</v>
      </c>
      <c r="G189" s="29">
        <v>588</v>
      </c>
      <c r="H189" s="29">
        <v>744</v>
      </c>
      <c r="I189" s="29">
        <v>27.6</v>
      </c>
      <c r="J189" s="29">
        <v>1.3546666599999999</v>
      </c>
      <c r="K189" s="29">
        <v>53</v>
      </c>
      <c r="L189" s="29">
        <v>28</v>
      </c>
      <c r="M189" s="29">
        <v>19</v>
      </c>
      <c r="N189" s="29">
        <v>5.3</v>
      </c>
      <c r="O189" s="29">
        <v>19.941995359628773</v>
      </c>
      <c r="P189" s="29">
        <v>1.8859999999999999</v>
      </c>
      <c r="Q189" s="29">
        <f t="shared" si="2"/>
        <v>10.573698493970719</v>
      </c>
      <c r="R189" s="29">
        <v>300</v>
      </c>
      <c r="S189" s="5">
        <v>6.83</v>
      </c>
      <c r="U189" s="5">
        <f>100*(S189-S188)/R189</f>
        <v>0.35666666666666674</v>
      </c>
    </row>
    <row r="190" spans="1:21" x14ac:dyDescent="0.3">
      <c r="A190" s="5" t="s">
        <v>389</v>
      </c>
      <c r="B190" s="5" t="s">
        <v>390</v>
      </c>
      <c r="C190" s="5">
        <v>2007</v>
      </c>
      <c r="D190" s="106">
        <v>112.651009</v>
      </c>
      <c r="E190" s="106">
        <v>29.493396000000001</v>
      </c>
      <c r="G190" s="29">
        <v>540</v>
      </c>
      <c r="H190" s="29">
        <v>720</v>
      </c>
      <c r="I190" s="29">
        <v>27.7</v>
      </c>
      <c r="J190" s="29">
        <v>1.2941176400000001</v>
      </c>
      <c r="K190" s="29">
        <v>38</v>
      </c>
      <c r="L190" s="29">
        <v>37</v>
      </c>
      <c r="M190" s="29">
        <v>25</v>
      </c>
      <c r="N190" s="29">
        <v>6.5</v>
      </c>
      <c r="O190" s="29">
        <v>19.779582366589327</v>
      </c>
      <c r="P190" s="29">
        <v>1.86</v>
      </c>
      <c r="Q190" s="29">
        <f t="shared" si="2"/>
        <v>10.634184068058778</v>
      </c>
      <c r="R190" s="29">
        <v>0</v>
      </c>
      <c r="S190" s="5">
        <v>1.88</v>
      </c>
      <c r="U190" s="5">
        <v>0</v>
      </c>
    </row>
    <row r="191" spans="1:21" x14ac:dyDescent="0.3">
      <c r="A191" s="5" t="s">
        <v>389</v>
      </c>
      <c r="B191" s="5" t="s">
        <v>390</v>
      </c>
      <c r="C191" s="5">
        <v>2007</v>
      </c>
      <c r="D191" s="106">
        <v>112.651009</v>
      </c>
      <c r="E191" s="106">
        <v>29.493396000000001</v>
      </c>
      <c r="G191" s="29">
        <v>540</v>
      </c>
      <c r="H191" s="29">
        <v>720</v>
      </c>
      <c r="I191" s="29">
        <v>27.7</v>
      </c>
      <c r="J191" s="29">
        <v>1.2941176400000001</v>
      </c>
      <c r="K191" s="29">
        <v>38</v>
      </c>
      <c r="L191" s="29">
        <v>37</v>
      </c>
      <c r="M191" s="29">
        <v>25</v>
      </c>
      <c r="N191" s="29">
        <v>6.5</v>
      </c>
      <c r="O191" s="29">
        <v>19.779582366589327</v>
      </c>
      <c r="P191" s="29">
        <v>1.86</v>
      </c>
      <c r="Q191" s="29">
        <f t="shared" si="2"/>
        <v>10.634184068058778</v>
      </c>
      <c r="R191" s="29">
        <v>300</v>
      </c>
      <c r="S191" s="5">
        <v>1.97</v>
      </c>
      <c r="U191" s="5">
        <f>100*(S191-S190)/R191</f>
        <v>3.0000000000000023E-2</v>
      </c>
    </row>
    <row r="192" spans="1:21" x14ac:dyDescent="0.3">
      <c r="A192" s="5" t="s">
        <v>389</v>
      </c>
      <c r="B192" s="5" t="s">
        <v>390</v>
      </c>
      <c r="C192" s="5">
        <v>2007</v>
      </c>
      <c r="D192" s="106">
        <v>112.564942</v>
      </c>
      <c r="E192" s="106">
        <v>28.977186</v>
      </c>
      <c r="G192" s="29">
        <v>517.19999999999993</v>
      </c>
      <c r="H192" s="29">
        <v>717.6</v>
      </c>
      <c r="I192" s="29">
        <v>27.8</v>
      </c>
      <c r="J192" s="29">
        <v>1.14866665</v>
      </c>
      <c r="K192" s="29">
        <v>37</v>
      </c>
      <c r="L192" s="29">
        <v>42</v>
      </c>
      <c r="M192" s="29">
        <v>21</v>
      </c>
      <c r="N192" s="29">
        <v>7.3</v>
      </c>
      <c r="O192" s="29">
        <v>19.669373549883989</v>
      </c>
      <c r="P192" s="29">
        <v>1.6779999999999999</v>
      </c>
      <c r="Q192" s="29">
        <f t="shared" si="2"/>
        <v>11.721915107201424</v>
      </c>
      <c r="R192" s="29">
        <v>0</v>
      </c>
      <c r="S192" s="5">
        <v>4.13</v>
      </c>
      <c r="U192" s="5">
        <v>0</v>
      </c>
    </row>
    <row r="193" spans="1:21" x14ac:dyDescent="0.3">
      <c r="A193" s="81" t="s">
        <v>389</v>
      </c>
      <c r="B193" s="81" t="s">
        <v>390</v>
      </c>
      <c r="C193" s="81">
        <v>2007</v>
      </c>
      <c r="D193" s="107">
        <v>112.564942</v>
      </c>
      <c r="E193" s="107">
        <v>28.977186</v>
      </c>
      <c r="F193" s="34"/>
      <c r="G193" s="34">
        <v>517.19999999999993</v>
      </c>
      <c r="H193" s="34">
        <v>717.6</v>
      </c>
      <c r="I193" s="34">
        <v>27.8</v>
      </c>
      <c r="J193" s="34">
        <v>1.14866665</v>
      </c>
      <c r="K193" s="29">
        <v>37</v>
      </c>
      <c r="L193" s="29">
        <v>42</v>
      </c>
      <c r="M193" s="29">
        <v>21</v>
      </c>
      <c r="N193" s="34">
        <v>7.3</v>
      </c>
      <c r="O193" s="34">
        <v>19.669373549883989</v>
      </c>
      <c r="P193" s="34">
        <v>1.6779999999999999</v>
      </c>
      <c r="Q193" s="34">
        <f t="shared" si="2"/>
        <v>11.721915107201424</v>
      </c>
      <c r="R193" s="34">
        <v>300</v>
      </c>
      <c r="S193" s="81">
        <v>4.5</v>
      </c>
      <c r="T193" s="81"/>
      <c r="U193" s="81">
        <f>100*(S193-S192)/R193</f>
        <v>0.12333333333333338</v>
      </c>
    </row>
    <row r="194" spans="1:21" x14ac:dyDescent="0.3">
      <c r="A194" s="5" t="s">
        <v>391</v>
      </c>
      <c r="B194" s="5" t="s">
        <v>392</v>
      </c>
      <c r="C194" s="5">
        <v>2005</v>
      </c>
      <c r="D194" s="106">
        <v>118.778074</v>
      </c>
      <c r="E194" s="106">
        <v>32.057236000000003</v>
      </c>
      <c r="F194" s="29">
        <v>2002</v>
      </c>
      <c r="G194" s="29">
        <v>624</v>
      </c>
      <c r="H194" s="29">
        <v>720</v>
      </c>
      <c r="I194" s="29">
        <v>26.6</v>
      </c>
      <c r="J194" s="29">
        <v>1.2255555499999999</v>
      </c>
      <c r="K194" s="29">
        <v>41</v>
      </c>
      <c r="L194" s="29">
        <v>42</v>
      </c>
      <c r="M194" s="29">
        <v>17</v>
      </c>
      <c r="N194" s="29">
        <v>7.2</v>
      </c>
      <c r="O194" s="29">
        <v>21.983758700696054</v>
      </c>
      <c r="P194" s="29">
        <v>2</v>
      </c>
      <c r="Q194" s="29">
        <f t="shared" si="2"/>
        <v>10.991879350348027</v>
      </c>
      <c r="R194" s="29">
        <v>0</v>
      </c>
      <c r="S194" s="5">
        <v>3.8</v>
      </c>
      <c r="T194" s="5">
        <f>AVERAGE(S194,S199)</f>
        <v>4.1999999999999993</v>
      </c>
      <c r="U194" s="5">
        <v>0</v>
      </c>
    </row>
    <row r="195" spans="1:21" x14ac:dyDescent="0.3">
      <c r="A195" s="5" t="s">
        <v>391</v>
      </c>
      <c r="B195" s="5" t="s">
        <v>392</v>
      </c>
      <c r="C195" s="5">
        <v>2005</v>
      </c>
      <c r="D195" s="106">
        <v>118.778074</v>
      </c>
      <c r="E195" s="106">
        <v>32.057236000000003</v>
      </c>
      <c r="F195" s="29">
        <v>2002</v>
      </c>
      <c r="G195" s="29">
        <v>624</v>
      </c>
      <c r="H195" s="29">
        <v>720</v>
      </c>
      <c r="I195" s="29">
        <v>26.6</v>
      </c>
      <c r="J195" s="29">
        <v>1.2255555499999999</v>
      </c>
      <c r="K195" s="29">
        <v>41</v>
      </c>
      <c r="L195" s="29">
        <v>42</v>
      </c>
      <c r="M195" s="29">
        <v>17</v>
      </c>
      <c r="N195" s="29">
        <v>7.2</v>
      </c>
      <c r="O195" s="29">
        <v>21.983758700696054</v>
      </c>
      <c r="P195" s="29">
        <v>2</v>
      </c>
      <c r="Q195" s="29">
        <f t="shared" ref="Q195:Q228" si="3">O195/P195</f>
        <v>10.991879350348027</v>
      </c>
      <c r="R195" s="29">
        <v>180</v>
      </c>
      <c r="S195" s="5">
        <v>4.0999999999999996</v>
      </c>
      <c r="U195" s="5">
        <f>100*(S195-S194)/R195</f>
        <v>0.16666666666666657</v>
      </c>
    </row>
    <row r="196" spans="1:21" x14ac:dyDescent="0.3">
      <c r="A196" s="5" t="s">
        <v>391</v>
      </c>
      <c r="B196" s="5" t="s">
        <v>392</v>
      </c>
      <c r="C196" s="5">
        <v>2005</v>
      </c>
      <c r="D196" s="106">
        <v>118.778074</v>
      </c>
      <c r="E196" s="106">
        <v>32.057236000000003</v>
      </c>
      <c r="F196" s="29">
        <v>2002</v>
      </c>
      <c r="G196" s="29">
        <v>624</v>
      </c>
      <c r="H196" s="29">
        <v>720</v>
      </c>
      <c r="I196" s="29">
        <v>26.6</v>
      </c>
      <c r="J196" s="29">
        <v>1.2255555499999999</v>
      </c>
      <c r="K196" s="29">
        <v>41</v>
      </c>
      <c r="L196" s="29">
        <v>42</v>
      </c>
      <c r="M196" s="29">
        <v>17</v>
      </c>
      <c r="N196" s="29">
        <v>7.2</v>
      </c>
      <c r="O196" s="29">
        <v>21.983758700696054</v>
      </c>
      <c r="P196" s="29">
        <v>2</v>
      </c>
      <c r="Q196" s="29">
        <f t="shared" si="3"/>
        <v>10.991879350348027</v>
      </c>
      <c r="R196" s="29">
        <v>315</v>
      </c>
      <c r="S196" s="5">
        <v>4.5</v>
      </c>
      <c r="U196" s="5">
        <f>100*(S196-S194)/R196</f>
        <v>0.22222222222222227</v>
      </c>
    </row>
    <row r="197" spans="1:21" x14ac:dyDescent="0.3">
      <c r="A197" s="5" t="s">
        <v>391</v>
      </c>
      <c r="B197" s="5" t="s">
        <v>392</v>
      </c>
      <c r="C197" s="5">
        <v>2005</v>
      </c>
      <c r="D197" s="106">
        <v>118.778074</v>
      </c>
      <c r="E197" s="106">
        <v>32.057236000000003</v>
      </c>
      <c r="F197" s="29">
        <v>2002</v>
      </c>
      <c r="G197" s="29">
        <v>624</v>
      </c>
      <c r="H197" s="29">
        <v>720</v>
      </c>
      <c r="I197" s="29">
        <v>26.6</v>
      </c>
      <c r="J197" s="29">
        <v>1.2255555499999999</v>
      </c>
      <c r="K197" s="29">
        <v>41</v>
      </c>
      <c r="L197" s="29">
        <v>42</v>
      </c>
      <c r="M197" s="29">
        <v>17</v>
      </c>
      <c r="N197" s="29">
        <v>7.2</v>
      </c>
      <c r="O197" s="29">
        <v>21.983758700696054</v>
      </c>
      <c r="P197" s="29">
        <v>2</v>
      </c>
      <c r="Q197" s="29">
        <f t="shared" si="3"/>
        <v>10.991879350348027</v>
      </c>
      <c r="R197" s="29">
        <v>315</v>
      </c>
      <c r="S197" s="5">
        <v>3.5</v>
      </c>
      <c r="U197" s="5">
        <f>100*(S197-S194)/R197</f>
        <v>-9.5238095238095177E-2</v>
      </c>
    </row>
    <row r="198" spans="1:21" x14ac:dyDescent="0.3">
      <c r="A198" s="5" t="s">
        <v>391</v>
      </c>
      <c r="B198" s="5" t="s">
        <v>392</v>
      </c>
      <c r="C198" s="5">
        <v>2005</v>
      </c>
      <c r="D198" s="106">
        <v>118.778074</v>
      </c>
      <c r="E198" s="106">
        <v>32.057236000000003</v>
      </c>
      <c r="F198" s="29">
        <v>2002</v>
      </c>
      <c r="G198" s="29">
        <v>624</v>
      </c>
      <c r="H198" s="29">
        <v>720</v>
      </c>
      <c r="I198" s="29">
        <v>26.6</v>
      </c>
      <c r="J198" s="29">
        <v>1.2255555499999999</v>
      </c>
      <c r="K198" s="29">
        <v>41</v>
      </c>
      <c r="L198" s="29">
        <v>42</v>
      </c>
      <c r="M198" s="29">
        <v>17</v>
      </c>
      <c r="N198" s="29">
        <v>7.2</v>
      </c>
      <c r="O198" s="29">
        <v>21.983758700696054</v>
      </c>
      <c r="P198" s="29">
        <v>2</v>
      </c>
      <c r="Q198" s="29">
        <f t="shared" si="3"/>
        <v>10.991879350348027</v>
      </c>
      <c r="R198" s="29">
        <v>315</v>
      </c>
      <c r="S198" s="5">
        <v>3.2</v>
      </c>
      <c r="U198" s="5">
        <f>100*(S198-S194)/R198</f>
        <v>-0.19047619047619035</v>
      </c>
    </row>
    <row r="199" spans="1:21" x14ac:dyDescent="0.3">
      <c r="A199" s="5" t="s">
        <v>391</v>
      </c>
      <c r="B199" s="5" t="s">
        <v>392</v>
      </c>
      <c r="C199" s="5">
        <v>2005</v>
      </c>
      <c r="D199" s="106">
        <v>118.778074</v>
      </c>
      <c r="E199" s="106">
        <v>32.057236000000003</v>
      </c>
      <c r="F199" s="29">
        <v>2003</v>
      </c>
      <c r="G199" s="29">
        <v>624</v>
      </c>
      <c r="H199" s="29">
        <v>720</v>
      </c>
      <c r="I199" s="29">
        <v>26.6</v>
      </c>
      <c r="J199" s="29">
        <v>1.2255555499999999</v>
      </c>
      <c r="K199" s="29">
        <v>41</v>
      </c>
      <c r="L199" s="29">
        <v>42</v>
      </c>
      <c r="M199" s="29">
        <v>17</v>
      </c>
      <c r="N199" s="29">
        <v>7.2</v>
      </c>
      <c r="O199" s="29">
        <v>21.983758700696054</v>
      </c>
      <c r="P199" s="29">
        <v>2</v>
      </c>
      <c r="Q199" s="29">
        <f t="shared" si="3"/>
        <v>10.991879350348027</v>
      </c>
      <c r="R199" s="29">
        <v>0</v>
      </c>
      <c r="S199" s="5">
        <v>4.5999999999999996</v>
      </c>
      <c r="U199" s="5">
        <v>0</v>
      </c>
    </row>
    <row r="200" spans="1:21" x14ac:dyDescent="0.3">
      <c r="A200" s="5" t="s">
        <v>391</v>
      </c>
      <c r="B200" s="5" t="s">
        <v>392</v>
      </c>
      <c r="C200" s="5">
        <v>2005</v>
      </c>
      <c r="D200" s="106">
        <v>118.778074</v>
      </c>
      <c r="E200" s="106">
        <v>32.057236000000003</v>
      </c>
      <c r="F200" s="29">
        <v>2003</v>
      </c>
      <c r="G200" s="29">
        <v>624</v>
      </c>
      <c r="H200" s="29">
        <v>720</v>
      </c>
      <c r="I200" s="29">
        <v>26.6</v>
      </c>
      <c r="J200" s="29">
        <v>1.2255555499999999</v>
      </c>
      <c r="K200" s="29">
        <v>41</v>
      </c>
      <c r="L200" s="29">
        <v>42</v>
      </c>
      <c r="M200" s="29">
        <v>17</v>
      </c>
      <c r="N200" s="29">
        <v>7.2</v>
      </c>
      <c r="O200" s="29">
        <v>21.983758700696054</v>
      </c>
      <c r="P200" s="29">
        <v>2</v>
      </c>
      <c r="Q200" s="29">
        <f t="shared" si="3"/>
        <v>10.991879350348027</v>
      </c>
      <c r="R200" s="29">
        <v>270</v>
      </c>
      <c r="S200" s="5">
        <v>14.9</v>
      </c>
      <c r="U200" s="5">
        <f>100*(S200-S199)/R200</f>
        <v>3.8148148148148149</v>
      </c>
    </row>
    <row r="201" spans="1:21" x14ac:dyDescent="0.3">
      <c r="A201" s="5" t="s">
        <v>391</v>
      </c>
      <c r="B201" s="5" t="s">
        <v>392</v>
      </c>
      <c r="C201" s="5">
        <v>2005</v>
      </c>
      <c r="D201" s="106">
        <v>118.778074</v>
      </c>
      <c r="E201" s="106">
        <v>32.057236000000003</v>
      </c>
      <c r="F201" s="29">
        <v>2003</v>
      </c>
      <c r="G201" s="29">
        <v>624</v>
      </c>
      <c r="H201" s="29">
        <v>720</v>
      </c>
      <c r="I201" s="29">
        <v>26.6</v>
      </c>
      <c r="J201" s="29">
        <v>1.2255555499999999</v>
      </c>
      <c r="K201" s="29">
        <v>41</v>
      </c>
      <c r="L201" s="29">
        <v>42</v>
      </c>
      <c r="M201" s="29">
        <v>17</v>
      </c>
      <c r="N201" s="29">
        <v>7.2</v>
      </c>
      <c r="O201" s="29">
        <v>21.983758700696054</v>
      </c>
      <c r="P201" s="29">
        <v>2</v>
      </c>
      <c r="Q201" s="29">
        <f t="shared" si="3"/>
        <v>10.991879350348027</v>
      </c>
      <c r="R201" s="29">
        <v>315</v>
      </c>
      <c r="S201" s="5">
        <v>28</v>
      </c>
      <c r="U201" s="5">
        <f>100*(S201-S199)/R201</f>
        <v>7.4285714285714288</v>
      </c>
    </row>
    <row r="202" spans="1:21" x14ac:dyDescent="0.3">
      <c r="A202" s="5" t="s">
        <v>391</v>
      </c>
      <c r="B202" s="5" t="s">
        <v>392</v>
      </c>
      <c r="C202" s="5">
        <v>2005</v>
      </c>
      <c r="D202" s="106">
        <v>118.778074</v>
      </c>
      <c r="E202" s="106">
        <v>32.057236000000003</v>
      </c>
      <c r="F202" s="29">
        <v>2003</v>
      </c>
      <c r="G202" s="29">
        <v>624</v>
      </c>
      <c r="H202" s="29">
        <v>720</v>
      </c>
      <c r="I202" s="29">
        <v>26.6</v>
      </c>
      <c r="J202" s="29">
        <v>1.2255555499999999</v>
      </c>
      <c r="K202" s="29">
        <v>41</v>
      </c>
      <c r="L202" s="29">
        <v>42</v>
      </c>
      <c r="M202" s="29">
        <v>17</v>
      </c>
      <c r="N202" s="29">
        <v>7.2</v>
      </c>
      <c r="O202" s="29">
        <v>21.983758700696054</v>
      </c>
      <c r="P202" s="29">
        <v>2</v>
      </c>
      <c r="Q202" s="29">
        <f t="shared" si="3"/>
        <v>10.991879350348027</v>
      </c>
      <c r="R202" s="29">
        <v>315</v>
      </c>
      <c r="S202" s="5">
        <v>10.3</v>
      </c>
      <c r="U202" s="5">
        <f>100*(S202-S199)/R202</f>
        <v>1.80952380952381</v>
      </c>
    </row>
    <row r="203" spans="1:21" x14ac:dyDescent="0.3">
      <c r="A203" s="81" t="s">
        <v>391</v>
      </c>
      <c r="B203" s="81" t="s">
        <v>392</v>
      </c>
      <c r="C203" s="81">
        <v>2005</v>
      </c>
      <c r="D203" s="107">
        <v>118.778074</v>
      </c>
      <c r="E203" s="107">
        <v>32.057236000000003</v>
      </c>
      <c r="F203" s="34">
        <v>2003</v>
      </c>
      <c r="G203" s="34">
        <v>624</v>
      </c>
      <c r="H203" s="34">
        <v>720</v>
      </c>
      <c r="I203" s="34">
        <v>26.6</v>
      </c>
      <c r="J203" s="34">
        <v>1.2255555499999999</v>
      </c>
      <c r="K203" s="29">
        <v>41</v>
      </c>
      <c r="L203" s="29">
        <v>42</v>
      </c>
      <c r="M203" s="29">
        <v>17</v>
      </c>
      <c r="N203" s="34">
        <v>7.2</v>
      </c>
      <c r="O203" s="34">
        <v>21.983758700696054</v>
      </c>
      <c r="P203" s="34">
        <v>2</v>
      </c>
      <c r="Q203" s="34">
        <f t="shared" si="3"/>
        <v>10.991879350348027</v>
      </c>
      <c r="R203" s="34">
        <v>315</v>
      </c>
      <c r="S203" s="81">
        <v>12.6</v>
      </c>
      <c r="T203" s="81"/>
      <c r="U203" s="81">
        <f>100*(S203-S199)/R203</f>
        <v>2.5396825396825395</v>
      </c>
    </row>
    <row r="204" spans="1:21" x14ac:dyDescent="0.3">
      <c r="A204" s="5" t="s">
        <v>337</v>
      </c>
      <c r="B204" s="5" t="s">
        <v>393</v>
      </c>
      <c r="C204" s="5">
        <v>2007</v>
      </c>
      <c r="D204" s="106">
        <v>121.487899</v>
      </c>
      <c r="E204" s="106">
        <v>31.249161999999998</v>
      </c>
      <c r="F204" s="29">
        <v>2004</v>
      </c>
      <c r="G204" s="29">
        <v>452.4</v>
      </c>
      <c r="H204" s="29">
        <v>674.4</v>
      </c>
      <c r="I204" s="29">
        <v>26.3</v>
      </c>
      <c r="J204" s="29">
        <v>1.3638461500000001</v>
      </c>
      <c r="K204" s="29">
        <v>30.46153846</v>
      </c>
      <c r="L204" s="29">
        <v>44.53846154</v>
      </c>
      <c r="M204" s="29">
        <v>25</v>
      </c>
      <c r="N204" s="29">
        <v>7.4</v>
      </c>
      <c r="O204" s="29">
        <v>13.248259860788863</v>
      </c>
      <c r="P204" s="29">
        <v>1.4730000000000001</v>
      </c>
      <c r="Q204" s="29">
        <f t="shared" si="3"/>
        <v>8.9940664363807628</v>
      </c>
      <c r="R204" s="29">
        <v>0</v>
      </c>
      <c r="S204" s="5">
        <v>4.72</v>
      </c>
      <c r="T204" s="5">
        <f>AVERAGE(S204,S207)</f>
        <v>3.5599999999999996</v>
      </c>
      <c r="U204" s="5">
        <v>0</v>
      </c>
    </row>
    <row r="205" spans="1:21" x14ac:dyDescent="0.3">
      <c r="A205" s="5" t="s">
        <v>337</v>
      </c>
      <c r="B205" s="5" t="s">
        <v>393</v>
      </c>
      <c r="C205" s="5">
        <v>2007</v>
      </c>
      <c r="D205" s="106">
        <v>121.487899</v>
      </c>
      <c r="E205" s="106">
        <v>31.249161999999998</v>
      </c>
      <c r="F205" s="29">
        <v>2004</v>
      </c>
      <c r="G205" s="29">
        <v>452.4</v>
      </c>
      <c r="H205" s="29">
        <v>674.4</v>
      </c>
      <c r="I205" s="29">
        <v>26.3</v>
      </c>
      <c r="J205" s="29">
        <v>1.3638461500000001</v>
      </c>
      <c r="K205" s="29">
        <v>30.46153846</v>
      </c>
      <c r="L205" s="29">
        <v>44.53846154</v>
      </c>
      <c r="M205" s="29">
        <v>25</v>
      </c>
      <c r="N205" s="29">
        <v>7.4</v>
      </c>
      <c r="O205" s="29">
        <v>13.248259860788863</v>
      </c>
      <c r="P205" s="29">
        <v>1.4730000000000001</v>
      </c>
      <c r="Q205" s="29">
        <f t="shared" si="3"/>
        <v>8.9940664363807628</v>
      </c>
      <c r="R205" s="29">
        <v>250</v>
      </c>
      <c r="S205" s="5">
        <v>6.44</v>
      </c>
      <c r="U205" s="5">
        <f>100*(S205-S204)/R205</f>
        <v>0.68800000000000028</v>
      </c>
    </row>
    <row r="206" spans="1:21" x14ac:dyDescent="0.3">
      <c r="A206" s="5" t="s">
        <v>337</v>
      </c>
      <c r="B206" s="5" t="s">
        <v>393</v>
      </c>
      <c r="C206" s="5">
        <v>2007</v>
      </c>
      <c r="D206" s="106">
        <v>121.487899</v>
      </c>
      <c r="E206" s="106">
        <v>31.249161999999998</v>
      </c>
      <c r="F206" s="29">
        <v>2004</v>
      </c>
      <c r="G206" s="29">
        <v>452.4</v>
      </c>
      <c r="H206" s="29">
        <v>674.4</v>
      </c>
      <c r="I206" s="29">
        <v>26.3</v>
      </c>
      <c r="J206" s="29">
        <v>1.3638461500000001</v>
      </c>
      <c r="K206" s="29">
        <v>30.46153846</v>
      </c>
      <c r="L206" s="29">
        <v>44.53846154</v>
      </c>
      <c r="M206" s="29">
        <v>25</v>
      </c>
      <c r="N206" s="29">
        <v>7.4</v>
      </c>
      <c r="O206" s="29">
        <v>13.248259860788863</v>
      </c>
      <c r="P206" s="29">
        <v>1.4730000000000001</v>
      </c>
      <c r="Q206" s="29">
        <f t="shared" si="3"/>
        <v>8.9940664363807628</v>
      </c>
      <c r="R206" s="29">
        <v>232</v>
      </c>
      <c r="S206" s="5">
        <v>5</v>
      </c>
      <c r="U206" s="5">
        <f>100*(S206-S204)/R206</f>
        <v>0.1206896551724139</v>
      </c>
    </row>
    <row r="207" spans="1:21" x14ac:dyDescent="0.3">
      <c r="A207" s="5" t="s">
        <v>337</v>
      </c>
      <c r="B207" s="5" t="s">
        <v>393</v>
      </c>
      <c r="C207" s="5">
        <v>2007</v>
      </c>
      <c r="D207" s="106">
        <v>121.487899</v>
      </c>
      <c r="E207" s="106">
        <v>31.249161999999998</v>
      </c>
      <c r="F207" s="29">
        <v>2005</v>
      </c>
      <c r="G207" s="29">
        <v>452.4</v>
      </c>
      <c r="H207" s="29">
        <v>674.4</v>
      </c>
      <c r="I207" s="29">
        <v>26.3</v>
      </c>
      <c r="J207" s="29">
        <v>1.3638461500000001</v>
      </c>
      <c r="K207" s="29">
        <v>30.46153846</v>
      </c>
      <c r="L207" s="29">
        <v>44.53846154</v>
      </c>
      <c r="M207" s="29">
        <v>25</v>
      </c>
      <c r="N207" s="29">
        <v>7.4</v>
      </c>
      <c r="O207" s="29">
        <v>13.248259860788863</v>
      </c>
      <c r="P207" s="29">
        <v>1.4730000000000001</v>
      </c>
      <c r="Q207" s="29">
        <f t="shared" si="3"/>
        <v>8.9940664363807628</v>
      </c>
      <c r="R207" s="29">
        <v>0</v>
      </c>
      <c r="S207" s="5">
        <v>2.4</v>
      </c>
      <c r="U207" s="5">
        <v>0</v>
      </c>
    </row>
    <row r="208" spans="1:21" x14ac:dyDescent="0.3">
      <c r="A208" s="5" t="s">
        <v>337</v>
      </c>
      <c r="B208" s="5" t="s">
        <v>393</v>
      </c>
      <c r="C208" s="5">
        <v>2007</v>
      </c>
      <c r="D208" s="106">
        <v>121.487899</v>
      </c>
      <c r="E208" s="106">
        <v>31.249161999999998</v>
      </c>
      <c r="F208" s="29">
        <v>2005</v>
      </c>
      <c r="G208" s="29">
        <v>452.4</v>
      </c>
      <c r="H208" s="29">
        <v>674.4</v>
      </c>
      <c r="I208" s="29">
        <v>26.3</v>
      </c>
      <c r="J208" s="29">
        <v>1.3638461500000001</v>
      </c>
      <c r="K208" s="29">
        <v>30.46153846</v>
      </c>
      <c r="L208" s="29">
        <v>44.53846154</v>
      </c>
      <c r="M208" s="29">
        <v>25</v>
      </c>
      <c r="N208" s="29">
        <v>7.4</v>
      </c>
      <c r="O208" s="29">
        <v>13.248259860788863</v>
      </c>
      <c r="P208" s="29">
        <v>1.4730000000000001</v>
      </c>
      <c r="Q208" s="29">
        <f t="shared" si="3"/>
        <v>8.9940664363807628</v>
      </c>
      <c r="R208" s="29">
        <v>275</v>
      </c>
      <c r="S208" s="5">
        <v>2.84</v>
      </c>
      <c r="U208" s="5">
        <f>100*(S208-S207)/R208</f>
        <v>0.15999999999999998</v>
      </c>
    </row>
    <row r="209" spans="1:21" x14ac:dyDescent="0.3">
      <c r="A209" s="81" t="s">
        <v>337</v>
      </c>
      <c r="B209" s="81" t="s">
        <v>393</v>
      </c>
      <c r="C209" s="81">
        <v>2007</v>
      </c>
      <c r="D209" s="107">
        <v>121.487899</v>
      </c>
      <c r="E209" s="107">
        <v>31.249161999999998</v>
      </c>
      <c r="F209" s="34">
        <v>2005</v>
      </c>
      <c r="G209" s="34">
        <v>452.4</v>
      </c>
      <c r="H209" s="34">
        <v>674.4</v>
      </c>
      <c r="I209" s="34">
        <v>26.3</v>
      </c>
      <c r="J209" s="34">
        <v>1.3638461500000001</v>
      </c>
      <c r="K209" s="34">
        <v>30.46153846</v>
      </c>
      <c r="L209" s="34">
        <v>44.53846154</v>
      </c>
      <c r="M209" s="34">
        <v>25</v>
      </c>
      <c r="N209" s="34">
        <v>7.4</v>
      </c>
      <c r="O209" s="34">
        <v>13.248259860788863</v>
      </c>
      <c r="P209" s="34">
        <v>1.4730000000000001</v>
      </c>
      <c r="Q209" s="34">
        <f t="shared" si="3"/>
        <v>8.9940664363807628</v>
      </c>
      <c r="R209" s="34">
        <v>234</v>
      </c>
      <c r="S209" s="81">
        <v>2.75</v>
      </c>
      <c r="T209" s="81"/>
      <c r="U209" s="81">
        <f>100*(S209-S207)/R209</f>
        <v>0.1495726495726496</v>
      </c>
    </row>
    <row r="210" spans="1:21" x14ac:dyDescent="0.3">
      <c r="A210" s="5" t="s">
        <v>394</v>
      </c>
      <c r="B210" s="5" t="s">
        <v>379</v>
      </c>
      <c r="C210" s="5">
        <v>2012</v>
      </c>
      <c r="D210" s="106">
        <v>106.28</v>
      </c>
      <c r="E210" s="106">
        <v>38.119999999999997</v>
      </c>
      <c r="F210" s="29" t="s">
        <v>233</v>
      </c>
      <c r="G210" s="29">
        <v>120</v>
      </c>
      <c r="H210" s="29">
        <v>384</v>
      </c>
      <c r="I210" s="29">
        <v>21.4</v>
      </c>
      <c r="J210" s="29">
        <v>1.47</v>
      </c>
      <c r="K210" s="29">
        <v>56.108108110000003</v>
      </c>
      <c r="L210" s="29">
        <v>28.432432429999999</v>
      </c>
      <c r="M210" s="29">
        <v>15.45945946</v>
      </c>
      <c r="N210" s="29">
        <v>8.3000000000000007</v>
      </c>
      <c r="O210" s="29">
        <v>8.8167053364269137</v>
      </c>
      <c r="P210" s="29">
        <v>1.02</v>
      </c>
      <c r="Q210" s="29">
        <f t="shared" si="3"/>
        <v>8.6438287612028564</v>
      </c>
      <c r="R210" s="29">
        <v>0</v>
      </c>
      <c r="S210" s="5">
        <v>13.6</v>
      </c>
      <c r="T210" s="5">
        <f>AVERAGE(S210,S212)</f>
        <v>12.774999999999999</v>
      </c>
      <c r="U210" s="5">
        <v>0</v>
      </c>
    </row>
    <row r="211" spans="1:21" x14ac:dyDescent="0.3">
      <c r="A211" s="5" t="s">
        <v>394</v>
      </c>
      <c r="B211" s="5" t="s">
        <v>379</v>
      </c>
      <c r="C211" s="5">
        <v>2012</v>
      </c>
      <c r="D211" s="106">
        <v>106.28</v>
      </c>
      <c r="E211" s="106">
        <v>38.119999999999997</v>
      </c>
      <c r="F211" s="29" t="s">
        <v>233</v>
      </c>
      <c r="G211" s="29">
        <v>120</v>
      </c>
      <c r="H211" s="29">
        <v>384</v>
      </c>
      <c r="I211" s="29">
        <v>21.4</v>
      </c>
      <c r="J211" s="29">
        <v>1.47</v>
      </c>
      <c r="K211" s="29">
        <v>56.108108110000003</v>
      </c>
      <c r="L211" s="29">
        <v>28.432432429999999</v>
      </c>
      <c r="M211" s="29">
        <v>15.45945946</v>
      </c>
      <c r="N211" s="29">
        <v>8.3000000000000007</v>
      </c>
      <c r="O211" s="29">
        <v>8.8167053364269137</v>
      </c>
      <c r="P211" s="29">
        <v>1.02</v>
      </c>
      <c r="Q211" s="29">
        <f t="shared" si="3"/>
        <v>8.6438287612028564</v>
      </c>
      <c r="R211" s="29">
        <v>300</v>
      </c>
      <c r="S211" s="5">
        <v>44.51</v>
      </c>
      <c r="U211" s="5">
        <f>100*(S211-S210)/R211</f>
        <v>10.303333333333331</v>
      </c>
    </row>
    <row r="212" spans="1:21" x14ac:dyDescent="0.3">
      <c r="A212" s="5" t="s">
        <v>394</v>
      </c>
      <c r="B212" s="5" t="s">
        <v>379</v>
      </c>
      <c r="C212" s="5">
        <v>2012</v>
      </c>
      <c r="D212" s="106">
        <v>106.28</v>
      </c>
      <c r="E212" s="106">
        <v>38.119999999999997</v>
      </c>
      <c r="F212" s="29" t="s">
        <v>233</v>
      </c>
      <c r="G212" s="29">
        <v>120</v>
      </c>
      <c r="H212" s="29">
        <v>384</v>
      </c>
      <c r="I212" s="29">
        <v>21.4</v>
      </c>
      <c r="J212" s="29">
        <v>1.47</v>
      </c>
      <c r="K212" s="29">
        <v>56.108108110000003</v>
      </c>
      <c r="L212" s="29">
        <v>28.432432429999999</v>
      </c>
      <c r="M212" s="29">
        <v>15.45945946</v>
      </c>
      <c r="N212" s="29">
        <v>8.3000000000000007</v>
      </c>
      <c r="O212" s="29">
        <v>8.8167053364269137</v>
      </c>
      <c r="P212" s="29">
        <v>1.02</v>
      </c>
      <c r="Q212" s="29">
        <f t="shared" si="3"/>
        <v>8.6438287612028564</v>
      </c>
      <c r="R212" s="29">
        <v>0</v>
      </c>
      <c r="S212" s="5">
        <v>11.95</v>
      </c>
      <c r="U212" s="5">
        <v>0</v>
      </c>
    </row>
    <row r="213" spans="1:21" x14ac:dyDescent="0.3">
      <c r="A213" s="81" t="s">
        <v>394</v>
      </c>
      <c r="B213" s="81" t="s">
        <v>379</v>
      </c>
      <c r="C213" s="81">
        <v>2012</v>
      </c>
      <c r="D213" s="107">
        <v>106.28</v>
      </c>
      <c r="E213" s="107">
        <v>38.119999999999997</v>
      </c>
      <c r="F213" s="34" t="s">
        <v>233</v>
      </c>
      <c r="G213" s="34">
        <v>120</v>
      </c>
      <c r="H213" s="34">
        <v>384</v>
      </c>
      <c r="I213" s="34">
        <v>21.4</v>
      </c>
      <c r="J213" s="34">
        <v>1.47</v>
      </c>
      <c r="K213" s="34">
        <v>56.108108110000003</v>
      </c>
      <c r="L213" s="34">
        <v>28.432432429999999</v>
      </c>
      <c r="M213" s="34">
        <v>15.45945946</v>
      </c>
      <c r="N213" s="34">
        <v>8.3000000000000007</v>
      </c>
      <c r="O213" s="34">
        <v>8.8167053364269137</v>
      </c>
      <c r="P213" s="34">
        <v>1.02</v>
      </c>
      <c r="Q213" s="34">
        <f t="shared" si="3"/>
        <v>8.6438287612028564</v>
      </c>
      <c r="R213" s="34">
        <v>300</v>
      </c>
      <c r="S213" s="81">
        <v>39.9</v>
      </c>
      <c r="T213" s="81"/>
      <c r="U213" s="81">
        <f>100*(S213-S212)/R213</f>
        <v>9.3166666666666664</v>
      </c>
    </row>
    <row r="214" spans="1:21" x14ac:dyDescent="0.3">
      <c r="A214" s="5" t="s">
        <v>395</v>
      </c>
      <c r="B214" s="5" t="s">
        <v>396</v>
      </c>
      <c r="C214" s="5">
        <v>2012</v>
      </c>
      <c r="D214" s="106">
        <v>133</v>
      </c>
      <c r="E214" s="106">
        <v>45.33</v>
      </c>
      <c r="F214" s="29">
        <v>2009</v>
      </c>
      <c r="G214" s="29">
        <v>396</v>
      </c>
      <c r="H214" s="29">
        <v>684</v>
      </c>
      <c r="I214" s="29">
        <v>19.2</v>
      </c>
      <c r="J214" s="29">
        <v>1.2615384599999999</v>
      </c>
      <c r="K214" s="29">
        <v>31</v>
      </c>
      <c r="L214" s="29">
        <v>41</v>
      </c>
      <c r="M214" s="29">
        <v>28</v>
      </c>
      <c r="N214" s="29">
        <v>6.92</v>
      </c>
      <c r="O214" s="29">
        <v>35.498839907192576</v>
      </c>
      <c r="P214" s="29">
        <v>1.6240000000000001</v>
      </c>
      <c r="Q214" s="29">
        <f t="shared" si="3"/>
        <v>21.858891568468334</v>
      </c>
      <c r="R214" s="29">
        <v>0</v>
      </c>
      <c r="S214" s="5">
        <v>1.224</v>
      </c>
      <c r="T214" s="5">
        <f>S214</f>
        <v>1.224</v>
      </c>
      <c r="U214" s="5">
        <v>0</v>
      </c>
    </row>
    <row r="215" spans="1:21" x14ac:dyDescent="0.3">
      <c r="A215" s="5" t="s">
        <v>395</v>
      </c>
      <c r="B215" s="5" t="s">
        <v>396</v>
      </c>
      <c r="C215" s="5">
        <v>2012</v>
      </c>
      <c r="D215" s="106">
        <v>133</v>
      </c>
      <c r="E215" s="106">
        <v>45.33</v>
      </c>
      <c r="F215" s="29">
        <v>2009</v>
      </c>
      <c r="G215" s="29">
        <v>396</v>
      </c>
      <c r="H215" s="29">
        <v>684</v>
      </c>
      <c r="I215" s="29">
        <v>19.2</v>
      </c>
      <c r="J215" s="29">
        <v>1.2615384599999999</v>
      </c>
      <c r="K215" s="29">
        <v>31</v>
      </c>
      <c r="L215" s="29">
        <v>41</v>
      </c>
      <c r="M215" s="29">
        <v>28</v>
      </c>
      <c r="N215" s="29">
        <v>6.92</v>
      </c>
      <c r="O215" s="29">
        <v>35.498839907192576</v>
      </c>
      <c r="P215" s="29">
        <v>1.6240000000000001</v>
      </c>
      <c r="Q215" s="29">
        <f t="shared" si="3"/>
        <v>21.858891568468334</v>
      </c>
      <c r="R215" s="29">
        <v>103.3</v>
      </c>
      <c r="S215" s="5">
        <v>1.9390000000000001</v>
      </c>
      <c r="U215" s="5">
        <f>100*(S215-S214)/R215</f>
        <v>0.69215876089061001</v>
      </c>
    </row>
    <row r="216" spans="1:21" x14ac:dyDescent="0.3">
      <c r="A216" s="5" t="s">
        <v>395</v>
      </c>
      <c r="B216" s="5" t="s">
        <v>396</v>
      </c>
      <c r="C216" s="5">
        <v>2012</v>
      </c>
      <c r="D216" s="106">
        <v>133</v>
      </c>
      <c r="E216" s="106">
        <v>45.33</v>
      </c>
      <c r="F216" s="29">
        <v>2009</v>
      </c>
      <c r="G216" s="29">
        <v>396</v>
      </c>
      <c r="H216" s="29">
        <v>684</v>
      </c>
      <c r="I216" s="29">
        <v>19.2</v>
      </c>
      <c r="J216" s="29">
        <v>1.2615384599999999</v>
      </c>
      <c r="K216" s="29">
        <v>31</v>
      </c>
      <c r="L216" s="29">
        <v>41</v>
      </c>
      <c r="M216" s="29">
        <v>28</v>
      </c>
      <c r="N216" s="29">
        <v>6.92</v>
      </c>
      <c r="O216" s="29">
        <v>35.498839907192576</v>
      </c>
      <c r="P216" s="29">
        <v>1.6240000000000001</v>
      </c>
      <c r="Q216" s="29">
        <f t="shared" si="3"/>
        <v>21.858891568468334</v>
      </c>
      <c r="R216" s="29">
        <v>103.3</v>
      </c>
      <c r="S216" s="5">
        <v>2.2629999999999999</v>
      </c>
      <c r="U216" s="5">
        <f>100*(S216-S214)/R216</f>
        <v>1.0058083252662149</v>
      </c>
    </row>
    <row r="217" spans="1:21" x14ac:dyDescent="0.3">
      <c r="A217" s="5" t="s">
        <v>395</v>
      </c>
      <c r="B217" s="5" t="s">
        <v>396</v>
      </c>
      <c r="C217" s="5">
        <v>2012</v>
      </c>
      <c r="D217" s="106">
        <v>133</v>
      </c>
      <c r="E217" s="106">
        <v>45.33</v>
      </c>
      <c r="F217" s="29">
        <v>2009</v>
      </c>
      <c r="G217" s="29">
        <v>396</v>
      </c>
      <c r="H217" s="29">
        <v>684</v>
      </c>
      <c r="I217" s="29">
        <v>19.2</v>
      </c>
      <c r="J217" s="29">
        <v>1.2615384599999999</v>
      </c>
      <c r="K217" s="29">
        <v>31</v>
      </c>
      <c r="L217" s="29">
        <v>41</v>
      </c>
      <c r="M217" s="29">
        <v>28</v>
      </c>
      <c r="N217" s="29">
        <v>6.92</v>
      </c>
      <c r="O217" s="29">
        <v>35.498839907192576</v>
      </c>
      <c r="P217" s="29">
        <v>1.6240000000000001</v>
      </c>
      <c r="Q217" s="29">
        <f t="shared" si="3"/>
        <v>21.858891568468334</v>
      </c>
      <c r="R217" s="29">
        <v>82.7</v>
      </c>
      <c r="S217" s="5">
        <v>1.3620000000000001</v>
      </c>
      <c r="U217" s="5">
        <f>100*(S217-S214)/R217</f>
        <v>0.16686819830713434</v>
      </c>
    </row>
    <row r="218" spans="1:21" x14ac:dyDescent="0.3">
      <c r="A218" s="5" t="s">
        <v>395</v>
      </c>
      <c r="B218" s="5" t="s">
        <v>396</v>
      </c>
      <c r="C218" s="5">
        <v>2012</v>
      </c>
      <c r="D218" s="106">
        <v>133</v>
      </c>
      <c r="E218" s="106">
        <v>45.33</v>
      </c>
      <c r="F218" s="29">
        <v>2009</v>
      </c>
      <c r="G218" s="29">
        <v>396</v>
      </c>
      <c r="H218" s="29">
        <v>684</v>
      </c>
      <c r="I218" s="29">
        <v>19.2</v>
      </c>
      <c r="J218" s="29">
        <v>1.2615384599999999</v>
      </c>
      <c r="K218" s="29">
        <v>31</v>
      </c>
      <c r="L218" s="29">
        <v>41</v>
      </c>
      <c r="M218" s="29">
        <v>28</v>
      </c>
      <c r="N218" s="29">
        <v>6.92</v>
      </c>
      <c r="O218" s="29">
        <v>35.498839907192576</v>
      </c>
      <c r="P218" s="29">
        <v>1.6240000000000001</v>
      </c>
      <c r="Q218" s="29">
        <f t="shared" si="3"/>
        <v>21.858891568468334</v>
      </c>
      <c r="R218" s="29">
        <v>82.7</v>
      </c>
      <c r="S218" s="5">
        <v>1.49</v>
      </c>
      <c r="U218" s="5">
        <f>100*(S218-S214)/R218</f>
        <v>0.32164449818621527</v>
      </c>
    </row>
    <row r="219" spans="1:21" x14ac:dyDescent="0.3">
      <c r="A219" s="81" t="s">
        <v>395</v>
      </c>
      <c r="B219" s="81" t="s">
        <v>396</v>
      </c>
      <c r="C219" s="81">
        <v>2012</v>
      </c>
      <c r="D219" s="107">
        <v>133</v>
      </c>
      <c r="E219" s="107">
        <v>45.33</v>
      </c>
      <c r="F219" s="34">
        <v>2009</v>
      </c>
      <c r="G219" s="34">
        <v>396</v>
      </c>
      <c r="H219" s="34">
        <v>684</v>
      </c>
      <c r="I219" s="34">
        <v>19.2</v>
      </c>
      <c r="J219" s="34">
        <v>1.2615384599999999</v>
      </c>
      <c r="K219" s="29">
        <v>31</v>
      </c>
      <c r="L219" s="29">
        <v>41</v>
      </c>
      <c r="M219" s="29">
        <v>28</v>
      </c>
      <c r="N219" s="34">
        <v>6.92</v>
      </c>
      <c r="O219" s="34">
        <v>35.498839907192576</v>
      </c>
      <c r="P219" s="34">
        <v>1.6240000000000001</v>
      </c>
      <c r="Q219" s="34">
        <f t="shared" si="3"/>
        <v>21.858891568468334</v>
      </c>
      <c r="R219" s="34">
        <v>82.7</v>
      </c>
      <c r="S219" s="81">
        <v>1.5509999999999999</v>
      </c>
      <c r="T219" s="81"/>
      <c r="U219" s="81">
        <f>100*(S219-S214)/R219</f>
        <v>0.3954050785973397</v>
      </c>
    </row>
    <row r="220" spans="1:21" x14ac:dyDescent="0.3">
      <c r="A220" s="81" t="s">
        <v>397</v>
      </c>
      <c r="B220" s="81" t="s">
        <v>398</v>
      </c>
      <c r="C220" s="81">
        <v>2007</v>
      </c>
      <c r="D220" s="107">
        <v>120.9</v>
      </c>
      <c r="E220" s="107">
        <v>30.5</v>
      </c>
      <c r="F220" s="34">
        <v>2004</v>
      </c>
      <c r="G220" s="34">
        <v>444</v>
      </c>
      <c r="H220" s="34">
        <v>816</v>
      </c>
      <c r="I220" s="34">
        <v>26.9</v>
      </c>
      <c r="J220" s="34">
        <v>1.0990909</v>
      </c>
      <c r="K220" s="34">
        <v>36</v>
      </c>
      <c r="L220" s="34">
        <v>43</v>
      </c>
      <c r="M220" s="34">
        <v>21</v>
      </c>
      <c r="N220" s="34">
        <v>5.6</v>
      </c>
      <c r="O220" s="34">
        <v>17.366589327146173</v>
      </c>
      <c r="P220" s="34">
        <v>1.5580000000000001</v>
      </c>
      <c r="Q220" s="34">
        <f t="shared" si="3"/>
        <v>11.14671972217341</v>
      </c>
      <c r="R220" s="34">
        <v>0</v>
      </c>
      <c r="S220" s="81">
        <v>18.600000000000001</v>
      </c>
      <c r="T220" s="81">
        <f>S220</f>
        <v>18.600000000000001</v>
      </c>
      <c r="U220" s="81">
        <v>0</v>
      </c>
    </row>
    <row r="221" spans="1:21" x14ac:dyDescent="0.3">
      <c r="A221" s="5" t="s">
        <v>399</v>
      </c>
      <c r="B221" s="5" t="s">
        <v>400</v>
      </c>
      <c r="C221" s="5">
        <v>2015</v>
      </c>
      <c r="D221" s="106">
        <v>113.721985</v>
      </c>
      <c r="E221" s="106">
        <v>28.234472</v>
      </c>
      <c r="F221" s="29">
        <v>2014</v>
      </c>
      <c r="G221" s="29">
        <v>1068</v>
      </c>
      <c r="H221" s="29">
        <v>516</v>
      </c>
      <c r="I221" s="29">
        <v>25.5</v>
      </c>
      <c r="J221" s="29">
        <v>1.35591836</v>
      </c>
      <c r="K221" s="29">
        <v>36.6122449</v>
      </c>
      <c r="L221" s="29">
        <v>31.673469390000001</v>
      </c>
      <c r="M221" s="29">
        <v>31.714285709999999</v>
      </c>
      <c r="N221" s="29">
        <v>5.7</v>
      </c>
      <c r="O221" s="29">
        <v>8.1032482598607896</v>
      </c>
      <c r="P221" s="29">
        <v>3.21</v>
      </c>
      <c r="Q221" s="29">
        <f t="shared" si="3"/>
        <v>2.524376404941056</v>
      </c>
      <c r="R221" s="29">
        <v>0</v>
      </c>
      <c r="S221" s="5">
        <v>6.51</v>
      </c>
      <c r="T221" s="5">
        <f>AVERAGE(S221:S222)</f>
        <v>5.9949999999999992</v>
      </c>
      <c r="U221" s="5">
        <v>0</v>
      </c>
    </row>
    <row r="222" spans="1:21" x14ac:dyDescent="0.3">
      <c r="A222" s="81" t="s">
        <v>399</v>
      </c>
      <c r="B222" s="81" t="s">
        <v>400</v>
      </c>
      <c r="C222" s="81">
        <v>2015</v>
      </c>
      <c r="D222" s="107">
        <v>113.721985</v>
      </c>
      <c r="E222" s="107">
        <v>28.234472</v>
      </c>
      <c r="F222" s="34">
        <v>2014</v>
      </c>
      <c r="G222" s="34">
        <v>1068</v>
      </c>
      <c r="H222" s="34">
        <v>516</v>
      </c>
      <c r="I222" s="34">
        <v>25.5</v>
      </c>
      <c r="J222" s="34">
        <v>1.35591836</v>
      </c>
      <c r="K222" s="34">
        <v>36.6122449</v>
      </c>
      <c r="L222" s="34">
        <v>31.673469390000001</v>
      </c>
      <c r="M222" s="34">
        <v>31.714285709999999</v>
      </c>
      <c r="N222" s="34">
        <v>5.7</v>
      </c>
      <c r="O222" s="34">
        <v>8.1032482598607896</v>
      </c>
      <c r="P222" s="34">
        <v>3.21</v>
      </c>
      <c r="Q222" s="34">
        <f t="shared" si="3"/>
        <v>2.524376404941056</v>
      </c>
      <c r="R222" s="34">
        <v>0</v>
      </c>
      <c r="S222" s="81">
        <v>5.4799999999999995</v>
      </c>
      <c r="T222" s="81"/>
      <c r="U222" s="81">
        <v>0</v>
      </c>
    </row>
    <row r="223" spans="1:21" x14ac:dyDescent="0.3">
      <c r="A223" s="5" t="s">
        <v>401</v>
      </c>
      <c r="B223" s="5" t="s">
        <v>402</v>
      </c>
      <c r="C223" s="5">
        <v>2007</v>
      </c>
      <c r="D223" s="106">
        <v>113.125027</v>
      </c>
      <c r="E223" s="106">
        <v>28.801957999999999</v>
      </c>
      <c r="F223" s="29" t="s">
        <v>234</v>
      </c>
      <c r="G223" s="29">
        <v>588</v>
      </c>
      <c r="H223" s="29">
        <v>744</v>
      </c>
      <c r="I223" s="29">
        <v>27.6</v>
      </c>
      <c r="J223" s="29">
        <v>1.3546666599999999</v>
      </c>
      <c r="K223" s="29">
        <v>53</v>
      </c>
      <c r="L223" s="29">
        <v>28</v>
      </c>
      <c r="M223" s="29">
        <v>19</v>
      </c>
      <c r="N223" s="29">
        <v>5.3</v>
      </c>
      <c r="O223" s="29">
        <v>19.941995359628773</v>
      </c>
      <c r="P223" s="29">
        <v>1.8859999999999999</v>
      </c>
      <c r="Q223" s="29">
        <f t="shared" si="3"/>
        <v>10.573698493970719</v>
      </c>
      <c r="R223" s="29">
        <v>0</v>
      </c>
      <c r="S223" s="5">
        <v>5.76</v>
      </c>
      <c r="T223" s="5">
        <f>AVERAGE(S223,S225,,S227)</f>
        <v>2.5074999999999998</v>
      </c>
      <c r="U223" s="5">
        <v>0</v>
      </c>
    </row>
    <row r="224" spans="1:21" x14ac:dyDescent="0.3">
      <c r="A224" s="5" t="s">
        <v>401</v>
      </c>
      <c r="B224" s="5" t="s">
        <v>402</v>
      </c>
      <c r="C224" s="5">
        <v>2007</v>
      </c>
      <c r="D224" s="106">
        <v>113.125027</v>
      </c>
      <c r="E224" s="106">
        <v>28.801957999999999</v>
      </c>
      <c r="F224" s="29" t="s">
        <v>234</v>
      </c>
      <c r="G224" s="29">
        <v>588</v>
      </c>
      <c r="H224" s="29">
        <v>744</v>
      </c>
      <c r="I224" s="29">
        <v>27.6</v>
      </c>
      <c r="J224" s="29">
        <v>1.3546666599999999</v>
      </c>
      <c r="K224" s="29">
        <v>53</v>
      </c>
      <c r="L224" s="29">
        <v>28</v>
      </c>
      <c r="M224" s="29">
        <v>19</v>
      </c>
      <c r="N224" s="29">
        <v>5.3</v>
      </c>
      <c r="O224" s="29">
        <v>19.941995359628773</v>
      </c>
      <c r="P224" s="29">
        <v>1.8859999999999999</v>
      </c>
      <c r="Q224" s="29">
        <f t="shared" si="3"/>
        <v>10.573698493970719</v>
      </c>
      <c r="R224" s="29">
        <v>300</v>
      </c>
      <c r="S224" s="5">
        <v>6.83</v>
      </c>
      <c r="U224" s="5">
        <f>100*(S224-S223)/R224</f>
        <v>0.35666666666666674</v>
      </c>
    </row>
    <row r="225" spans="1:21" x14ac:dyDescent="0.3">
      <c r="A225" s="5" t="s">
        <v>401</v>
      </c>
      <c r="B225" s="5" t="s">
        <v>402</v>
      </c>
      <c r="C225" s="5">
        <v>2007</v>
      </c>
      <c r="D225" s="106">
        <v>112.651009</v>
      </c>
      <c r="E225" s="106">
        <v>29.493396000000001</v>
      </c>
      <c r="F225" s="29" t="s">
        <v>234</v>
      </c>
      <c r="G225" s="29">
        <v>540</v>
      </c>
      <c r="H225" s="29">
        <v>720</v>
      </c>
      <c r="I225" s="29">
        <v>27.7</v>
      </c>
      <c r="J225" s="29">
        <v>1.2941176400000001</v>
      </c>
      <c r="K225" s="29">
        <v>38</v>
      </c>
      <c r="L225" s="29">
        <v>37</v>
      </c>
      <c r="M225" s="29">
        <v>25</v>
      </c>
      <c r="N225" s="29">
        <v>6.5</v>
      </c>
      <c r="O225" s="29">
        <v>19.779582366589327</v>
      </c>
      <c r="P225" s="29">
        <v>1.86</v>
      </c>
      <c r="Q225" s="29">
        <f t="shared" si="3"/>
        <v>10.634184068058778</v>
      </c>
      <c r="R225" s="29">
        <v>0</v>
      </c>
      <c r="S225" s="5">
        <v>2.1800000000000002</v>
      </c>
      <c r="U225" s="5">
        <v>0</v>
      </c>
    </row>
    <row r="226" spans="1:21" x14ac:dyDescent="0.3">
      <c r="A226" s="5" t="s">
        <v>401</v>
      </c>
      <c r="B226" s="5" t="s">
        <v>402</v>
      </c>
      <c r="C226" s="5">
        <v>2007</v>
      </c>
      <c r="D226" s="106">
        <v>112.651009</v>
      </c>
      <c r="E226" s="106">
        <v>29.493396000000001</v>
      </c>
      <c r="F226" s="29" t="s">
        <v>234</v>
      </c>
      <c r="G226" s="29">
        <v>540</v>
      </c>
      <c r="H226" s="29">
        <v>720</v>
      </c>
      <c r="I226" s="29">
        <v>27.7</v>
      </c>
      <c r="J226" s="29">
        <v>1.2941176400000001</v>
      </c>
      <c r="K226" s="29">
        <v>38</v>
      </c>
      <c r="L226" s="29">
        <v>37</v>
      </c>
      <c r="M226" s="29">
        <v>25</v>
      </c>
      <c r="N226" s="29">
        <v>6.5</v>
      </c>
      <c r="O226" s="29">
        <v>19.779582366589327</v>
      </c>
      <c r="P226" s="29">
        <v>1.86</v>
      </c>
      <c r="Q226" s="29">
        <f t="shared" si="3"/>
        <v>10.634184068058778</v>
      </c>
      <c r="R226" s="29">
        <v>300</v>
      </c>
      <c r="S226" s="5">
        <v>6.85</v>
      </c>
      <c r="U226" s="5">
        <f>100*(S226-S225)/R226</f>
        <v>1.5566666666666666</v>
      </c>
    </row>
    <row r="227" spans="1:21" x14ac:dyDescent="0.3">
      <c r="A227" s="5" t="s">
        <v>401</v>
      </c>
      <c r="B227" s="5" t="s">
        <v>402</v>
      </c>
      <c r="C227" s="5">
        <v>2007</v>
      </c>
      <c r="D227" s="106">
        <v>112.564942</v>
      </c>
      <c r="E227" s="106">
        <v>28.977186</v>
      </c>
      <c r="F227" s="29" t="s">
        <v>234</v>
      </c>
      <c r="G227" s="29">
        <v>517.19999999999993</v>
      </c>
      <c r="H227" s="29">
        <v>717.6</v>
      </c>
      <c r="I227" s="29">
        <v>27.8</v>
      </c>
      <c r="J227" s="29">
        <v>1.14866665</v>
      </c>
      <c r="K227" s="29">
        <v>37</v>
      </c>
      <c r="L227" s="29">
        <v>42</v>
      </c>
      <c r="M227" s="29">
        <v>21</v>
      </c>
      <c r="N227" s="29">
        <v>7.3</v>
      </c>
      <c r="O227" s="29">
        <v>19.669373549883989</v>
      </c>
      <c r="P227" s="29">
        <v>1.6779999999999999</v>
      </c>
      <c r="Q227" s="29">
        <f t="shared" si="3"/>
        <v>11.721915107201424</v>
      </c>
      <c r="R227" s="29">
        <v>0</v>
      </c>
      <c r="S227" s="5">
        <v>2.09</v>
      </c>
      <c r="U227" s="5">
        <v>0</v>
      </c>
    </row>
    <row r="228" spans="1:21" x14ac:dyDescent="0.3">
      <c r="A228" s="5" t="s">
        <v>401</v>
      </c>
      <c r="B228" s="5" t="s">
        <v>402</v>
      </c>
      <c r="C228" s="5">
        <v>2007</v>
      </c>
      <c r="D228" s="106">
        <v>112.564942</v>
      </c>
      <c r="E228" s="106">
        <v>28.977186</v>
      </c>
      <c r="F228" s="29" t="s">
        <v>234</v>
      </c>
      <c r="G228" s="29">
        <v>517.19999999999993</v>
      </c>
      <c r="H228" s="29">
        <v>717.6</v>
      </c>
      <c r="I228" s="29">
        <v>27.8</v>
      </c>
      <c r="J228" s="29">
        <v>1.14866665</v>
      </c>
      <c r="K228" s="29">
        <v>37</v>
      </c>
      <c r="L228" s="29">
        <v>42</v>
      </c>
      <c r="M228" s="29">
        <v>21</v>
      </c>
      <c r="N228" s="29">
        <v>7.3</v>
      </c>
      <c r="O228" s="29">
        <v>19.669373549883989</v>
      </c>
      <c r="P228" s="29">
        <v>1.6779999999999999</v>
      </c>
      <c r="Q228" s="29">
        <f t="shared" si="3"/>
        <v>11.721915107201424</v>
      </c>
      <c r="R228" s="29">
        <v>300</v>
      </c>
      <c r="S228" s="5">
        <v>8.6199999999999992</v>
      </c>
      <c r="U228" s="5">
        <f>100*(S228-S227)/R228</f>
        <v>2.1766666666666663</v>
      </c>
    </row>
  </sheetData>
  <mergeCells count="5">
    <mergeCell ref="G1:I1"/>
    <mergeCell ref="A1:C1"/>
    <mergeCell ref="D1:E1"/>
    <mergeCell ref="J1:Q1"/>
    <mergeCell ref="S1:U1"/>
  </mergeCells>
  <phoneticPr fontId="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EA4D6-535D-4608-BD4B-F2CC7408924D}">
  <dimension ref="A1:W127"/>
  <sheetViews>
    <sheetView workbookViewId="0">
      <selection activeCell="T1" sqref="T1:W1"/>
    </sheetView>
  </sheetViews>
  <sheetFormatPr defaultRowHeight="14" x14ac:dyDescent="0.3"/>
  <cols>
    <col min="1" max="3" width="8.6640625" style="5"/>
    <col min="4" max="6" width="8.1640625" style="5" customWidth="1"/>
    <col min="7" max="9" width="8.1640625" style="29" customWidth="1"/>
    <col min="10" max="10" width="10" style="100" customWidth="1"/>
    <col min="11" max="17" width="8.1640625" style="29" customWidth="1"/>
    <col min="18" max="18" width="8.1640625" style="5" customWidth="1"/>
    <col min="19" max="19" width="8.6640625" style="29"/>
    <col min="20" max="21" width="8.6640625" style="5"/>
    <col min="22" max="22" width="0" style="99" hidden="1" customWidth="1"/>
    <col min="23" max="23" width="8.6640625" style="99" bestFit="1"/>
  </cols>
  <sheetData>
    <row r="1" spans="1:23" x14ac:dyDescent="0.3">
      <c r="A1" s="76" t="s">
        <v>0</v>
      </c>
      <c r="B1" s="76"/>
      <c r="C1" s="76"/>
      <c r="D1" s="71" t="s">
        <v>1</v>
      </c>
      <c r="E1" s="77"/>
      <c r="F1" s="70" t="s">
        <v>251</v>
      </c>
      <c r="G1" s="76" t="s">
        <v>3</v>
      </c>
      <c r="H1" s="76"/>
      <c r="I1" s="76"/>
      <c r="J1" s="104" t="s">
        <v>253</v>
      </c>
      <c r="K1" s="78" t="s">
        <v>4</v>
      </c>
      <c r="L1" s="78"/>
      <c r="M1" s="78"/>
      <c r="N1" s="78"/>
      <c r="O1" s="78"/>
      <c r="P1" s="78"/>
      <c r="Q1" s="78"/>
      <c r="R1" s="78"/>
      <c r="S1" s="70" t="s">
        <v>256</v>
      </c>
      <c r="T1" s="71" t="s">
        <v>252</v>
      </c>
      <c r="U1" s="72"/>
      <c r="V1" s="72"/>
      <c r="W1" s="72"/>
    </row>
    <row r="2" spans="1:23" ht="14.5" x14ac:dyDescent="0.3">
      <c r="A2" s="1" t="s">
        <v>5</v>
      </c>
      <c r="B2" s="1" t="s">
        <v>6</v>
      </c>
      <c r="C2" s="1" t="s">
        <v>7</v>
      </c>
      <c r="D2" s="1" t="s">
        <v>10</v>
      </c>
      <c r="E2" s="5" t="s">
        <v>243</v>
      </c>
      <c r="F2" s="1" t="s">
        <v>7</v>
      </c>
      <c r="G2" s="61" t="s">
        <v>11</v>
      </c>
      <c r="H2" s="61" t="s">
        <v>12</v>
      </c>
      <c r="I2" s="61" t="s">
        <v>13</v>
      </c>
      <c r="J2" s="105" t="s">
        <v>235</v>
      </c>
      <c r="K2" s="61" t="s">
        <v>14</v>
      </c>
      <c r="L2" s="61" t="s">
        <v>15</v>
      </c>
      <c r="M2" s="61" t="s">
        <v>16</v>
      </c>
      <c r="N2" s="61" t="s">
        <v>17</v>
      </c>
      <c r="O2" s="61" t="s">
        <v>18</v>
      </c>
      <c r="P2" s="61" t="s">
        <v>255</v>
      </c>
      <c r="Q2" s="61" t="s">
        <v>254</v>
      </c>
      <c r="R2" s="61" t="s">
        <v>20</v>
      </c>
      <c r="S2" s="1" t="s">
        <v>249</v>
      </c>
      <c r="T2" s="1" t="s">
        <v>236</v>
      </c>
      <c r="U2" s="1" t="s">
        <v>247</v>
      </c>
      <c r="W2" s="8" t="s">
        <v>321</v>
      </c>
    </row>
    <row r="3" spans="1:23" ht="14.5" thickBot="1" x14ac:dyDescent="0.35">
      <c r="A3" s="3"/>
      <c r="B3" s="3"/>
      <c r="C3" s="4"/>
      <c r="D3" s="3"/>
      <c r="E3" s="3"/>
      <c r="F3" s="2"/>
      <c r="G3" s="62" t="s">
        <v>24</v>
      </c>
      <c r="H3" s="62" t="s">
        <v>22</v>
      </c>
      <c r="I3" s="62" t="s">
        <v>23</v>
      </c>
      <c r="J3" s="20" t="s">
        <v>237</v>
      </c>
      <c r="K3" s="63" t="s">
        <v>25</v>
      </c>
      <c r="L3" s="62" t="s">
        <v>26</v>
      </c>
      <c r="M3" s="62" t="s">
        <v>27</v>
      </c>
      <c r="N3" s="62" t="s">
        <v>28</v>
      </c>
      <c r="O3" s="62" t="s">
        <v>29</v>
      </c>
      <c r="P3" s="62" t="s">
        <v>19</v>
      </c>
      <c r="Q3" s="62" t="s">
        <v>30</v>
      </c>
      <c r="R3" s="64" t="s">
        <v>31</v>
      </c>
      <c r="S3" s="64" t="s">
        <v>331</v>
      </c>
      <c r="T3" s="64" t="s">
        <v>331</v>
      </c>
      <c r="U3" s="64" t="s">
        <v>331</v>
      </c>
      <c r="W3" s="9" t="s">
        <v>320</v>
      </c>
    </row>
    <row r="4" spans="1:23" x14ac:dyDescent="0.3">
      <c r="A4" s="5" t="s">
        <v>271</v>
      </c>
      <c r="B4" s="5" t="s">
        <v>332</v>
      </c>
      <c r="C4" s="5">
        <v>2011</v>
      </c>
      <c r="D4" s="5">
        <v>120.12</v>
      </c>
      <c r="E4" s="5">
        <v>31.54</v>
      </c>
      <c r="F4" s="5">
        <v>2010</v>
      </c>
      <c r="G4" s="29">
        <v>26.236900000000002</v>
      </c>
      <c r="H4" s="29">
        <v>654.80939999999998</v>
      </c>
      <c r="I4" s="29">
        <v>832.86900000000003</v>
      </c>
      <c r="J4" s="100">
        <v>6.7000000000000004E-2</v>
      </c>
      <c r="K4" s="29">
        <v>1.4</v>
      </c>
      <c r="L4" s="29">
        <v>38</v>
      </c>
      <c r="M4" s="29">
        <v>37</v>
      </c>
      <c r="N4" s="29">
        <v>25</v>
      </c>
      <c r="O4" s="29">
        <v>6.3</v>
      </c>
      <c r="P4" s="29">
        <v>14.36</v>
      </c>
      <c r="Q4" s="29">
        <v>1.81</v>
      </c>
      <c r="R4" s="5">
        <v>7.9337016574585633</v>
      </c>
      <c r="S4" s="29">
        <v>270</v>
      </c>
      <c r="T4" s="5">
        <v>9.1999999999999993</v>
      </c>
      <c r="U4" s="5">
        <f>T9</f>
        <v>5.0999999999999996</v>
      </c>
      <c r="V4" s="99">
        <f>(T4-5.1)/S4</f>
        <v>1.5185185185185184E-2</v>
      </c>
    </row>
    <row r="5" spans="1:23" x14ac:dyDescent="0.3">
      <c r="A5" s="5" t="s">
        <v>271</v>
      </c>
      <c r="B5" s="5" t="s">
        <v>332</v>
      </c>
      <c r="C5" s="5">
        <v>2011</v>
      </c>
      <c r="D5" s="5">
        <v>120.12</v>
      </c>
      <c r="E5" s="5">
        <v>31.54</v>
      </c>
      <c r="F5" s="5">
        <v>2010</v>
      </c>
      <c r="G5" s="29">
        <v>26.236900000000002</v>
      </c>
      <c r="H5" s="29">
        <v>654.80939999999998</v>
      </c>
      <c r="I5" s="29">
        <v>832.86900000000003</v>
      </c>
      <c r="J5" s="100">
        <v>6.7000000000000004E-2</v>
      </c>
      <c r="K5" s="29">
        <v>1.4</v>
      </c>
      <c r="L5" s="29">
        <v>38</v>
      </c>
      <c r="M5" s="29">
        <v>37</v>
      </c>
      <c r="N5" s="29">
        <v>25</v>
      </c>
      <c r="O5" s="29">
        <v>6.3</v>
      </c>
      <c r="P5" s="29">
        <v>14.36</v>
      </c>
      <c r="Q5" s="29">
        <v>1.81</v>
      </c>
      <c r="R5" s="5">
        <v>7.9337016574585633</v>
      </c>
      <c r="S5" s="29">
        <v>210</v>
      </c>
      <c r="T5" s="5">
        <v>7.5</v>
      </c>
      <c r="V5" s="99">
        <f t="shared" ref="V5:V7" si="0">(T5-5.1)/S5</f>
        <v>1.142857142857143E-2</v>
      </c>
      <c r="W5" s="99">
        <f t="shared" ref="W5:W40" si="1">V5*100</f>
        <v>1.142857142857143</v>
      </c>
    </row>
    <row r="6" spans="1:23" x14ac:dyDescent="0.3">
      <c r="A6" s="5" t="s">
        <v>271</v>
      </c>
      <c r="B6" s="5" t="s">
        <v>332</v>
      </c>
      <c r="C6" s="5">
        <v>2011</v>
      </c>
      <c r="D6" s="5">
        <v>120.12</v>
      </c>
      <c r="E6" s="5">
        <v>31.54</v>
      </c>
      <c r="F6" s="5">
        <v>2010</v>
      </c>
      <c r="G6" s="29">
        <v>26.236900000000002</v>
      </c>
      <c r="H6" s="29">
        <v>654.80939999999998</v>
      </c>
      <c r="I6" s="29">
        <v>832.86900000000003</v>
      </c>
      <c r="J6" s="100">
        <v>6.7000000000000004E-2</v>
      </c>
      <c r="K6" s="29">
        <v>1.4</v>
      </c>
      <c r="L6" s="29">
        <v>38</v>
      </c>
      <c r="M6" s="29">
        <v>37</v>
      </c>
      <c r="N6" s="29">
        <v>25</v>
      </c>
      <c r="O6" s="29">
        <v>6.3</v>
      </c>
      <c r="P6" s="29">
        <v>14.36</v>
      </c>
      <c r="Q6" s="29">
        <v>1.81</v>
      </c>
      <c r="R6" s="5">
        <v>7.9337016574585633</v>
      </c>
      <c r="S6" s="29">
        <v>153</v>
      </c>
      <c r="T6" s="5">
        <v>6.8</v>
      </c>
      <c r="V6" s="99">
        <f t="shared" si="0"/>
        <v>1.1111111111111112E-2</v>
      </c>
      <c r="W6" s="99">
        <f t="shared" si="1"/>
        <v>1.1111111111111112</v>
      </c>
    </row>
    <row r="7" spans="1:23" x14ac:dyDescent="0.3">
      <c r="A7" s="5" t="s">
        <v>271</v>
      </c>
      <c r="B7" s="5" t="s">
        <v>332</v>
      </c>
      <c r="C7" s="5">
        <v>2011</v>
      </c>
      <c r="D7" s="5">
        <v>120.12</v>
      </c>
      <c r="E7" s="5">
        <v>31.54</v>
      </c>
      <c r="F7" s="5">
        <v>2010</v>
      </c>
      <c r="G7" s="29">
        <v>26.236900000000002</v>
      </c>
      <c r="H7" s="29">
        <v>654.80939999999998</v>
      </c>
      <c r="I7" s="29">
        <v>832.86900000000003</v>
      </c>
      <c r="J7" s="100">
        <v>6.7000000000000004E-2</v>
      </c>
      <c r="K7" s="29">
        <v>1.4</v>
      </c>
      <c r="L7" s="29">
        <v>38</v>
      </c>
      <c r="M7" s="29">
        <v>37</v>
      </c>
      <c r="N7" s="29">
        <v>25</v>
      </c>
      <c r="O7" s="29">
        <v>6.3</v>
      </c>
      <c r="P7" s="29">
        <v>14.36</v>
      </c>
      <c r="Q7" s="29">
        <v>1.81</v>
      </c>
      <c r="R7" s="5">
        <v>7.9337016574585633</v>
      </c>
      <c r="S7" s="29">
        <v>210</v>
      </c>
      <c r="T7" s="5">
        <v>8.5</v>
      </c>
      <c r="V7" s="99">
        <f t="shared" si="0"/>
        <v>1.6190476190476193E-2</v>
      </c>
      <c r="W7" s="99">
        <f t="shared" si="1"/>
        <v>1.6190476190476193</v>
      </c>
    </row>
    <row r="8" spans="1:23" x14ac:dyDescent="0.3">
      <c r="A8" s="5" t="s">
        <v>271</v>
      </c>
      <c r="B8" s="5" t="s">
        <v>332</v>
      </c>
      <c r="C8" s="5">
        <v>2011</v>
      </c>
      <c r="D8" s="5">
        <v>120.12</v>
      </c>
      <c r="E8" s="5">
        <v>31.54</v>
      </c>
      <c r="F8" s="5">
        <v>2010</v>
      </c>
      <c r="G8" s="29">
        <v>26.236900000000002</v>
      </c>
      <c r="H8" s="29">
        <v>654.80939999999998</v>
      </c>
      <c r="I8" s="29">
        <v>832.86900000000003</v>
      </c>
      <c r="J8" s="100">
        <v>6.7000000000000004E-2</v>
      </c>
      <c r="K8" s="29">
        <v>1.4</v>
      </c>
      <c r="L8" s="29">
        <v>38</v>
      </c>
      <c r="M8" s="29">
        <v>37</v>
      </c>
      <c r="N8" s="29">
        <v>25</v>
      </c>
      <c r="O8" s="29">
        <v>6.3</v>
      </c>
      <c r="P8" s="29">
        <v>14.36</v>
      </c>
      <c r="Q8" s="29">
        <v>1.81</v>
      </c>
      <c r="R8" s="5">
        <v>7.9337016574585633</v>
      </c>
      <c r="S8" s="29">
        <v>180</v>
      </c>
      <c r="T8" s="5">
        <v>9.3000000000000007</v>
      </c>
      <c r="V8" s="99">
        <f>(T8-5.1)/S8</f>
        <v>2.3333333333333338E-2</v>
      </c>
      <c r="W8" s="99">
        <f t="shared" si="1"/>
        <v>2.3333333333333339</v>
      </c>
    </row>
    <row r="9" spans="1:23" x14ac:dyDescent="0.3">
      <c r="A9" s="81" t="s">
        <v>271</v>
      </c>
      <c r="B9" s="81" t="s">
        <v>332</v>
      </c>
      <c r="C9" s="81">
        <v>2011</v>
      </c>
      <c r="D9" s="81">
        <v>120.12</v>
      </c>
      <c r="E9" s="81">
        <v>31.54</v>
      </c>
      <c r="F9" s="81">
        <v>2010</v>
      </c>
      <c r="G9" s="34">
        <v>26.236900000000002</v>
      </c>
      <c r="H9" s="34">
        <v>654.80939999999998</v>
      </c>
      <c r="I9" s="34">
        <v>832.86900000000003</v>
      </c>
      <c r="J9" s="101">
        <v>6.7000000000000004E-2</v>
      </c>
      <c r="K9" s="34">
        <v>1.4</v>
      </c>
      <c r="L9" s="34">
        <v>38</v>
      </c>
      <c r="M9" s="34">
        <v>37</v>
      </c>
      <c r="N9" s="34">
        <v>25</v>
      </c>
      <c r="O9" s="34">
        <v>6.3</v>
      </c>
      <c r="P9" s="34">
        <v>14.36</v>
      </c>
      <c r="Q9" s="34">
        <v>1.81</v>
      </c>
      <c r="R9" s="81">
        <v>7.9337016574585633</v>
      </c>
      <c r="S9" s="34">
        <v>0</v>
      </c>
      <c r="T9" s="81">
        <v>5.0999999999999996</v>
      </c>
      <c r="U9" s="81"/>
      <c r="V9" s="102">
        <v>0</v>
      </c>
      <c r="W9" s="99">
        <f t="shared" si="1"/>
        <v>0</v>
      </c>
    </row>
    <row r="10" spans="1:23" x14ac:dyDescent="0.3">
      <c r="A10" s="5" t="s">
        <v>333</v>
      </c>
      <c r="B10" s="5" t="s">
        <v>334</v>
      </c>
      <c r="C10" s="5">
        <v>2012</v>
      </c>
      <c r="D10" s="5">
        <v>119.9</v>
      </c>
      <c r="E10" s="5">
        <v>31.3</v>
      </c>
      <c r="F10" s="5">
        <v>2011</v>
      </c>
      <c r="G10" s="29">
        <v>25.516099999999998</v>
      </c>
      <c r="H10" s="29">
        <v>987.8823000000001</v>
      </c>
      <c r="I10" s="29">
        <v>847.08999999999992</v>
      </c>
      <c r="J10" s="100">
        <v>0.02</v>
      </c>
      <c r="K10" s="29">
        <v>1.4</v>
      </c>
      <c r="L10" s="29">
        <v>38</v>
      </c>
      <c r="M10" s="29">
        <v>37</v>
      </c>
      <c r="N10" s="29">
        <v>25</v>
      </c>
      <c r="O10" s="29">
        <v>6.2</v>
      </c>
      <c r="P10" s="29">
        <v>7.3085846867749416</v>
      </c>
      <c r="Q10" s="29">
        <v>0.6</v>
      </c>
      <c r="R10" s="5">
        <v>12.180974477958236</v>
      </c>
      <c r="S10" s="29">
        <v>0</v>
      </c>
      <c r="T10" s="5">
        <v>2.23</v>
      </c>
      <c r="U10" s="5">
        <f>T10</f>
        <v>2.23</v>
      </c>
      <c r="V10" s="99">
        <v>0</v>
      </c>
      <c r="W10" s="99">
        <f t="shared" si="1"/>
        <v>0</v>
      </c>
    </row>
    <row r="11" spans="1:23" x14ac:dyDescent="0.3">
      <c r="A11" s="5" t="s">
        <v>333</v>
      </c>
      <c r="B11" s="5" t="s">
        <v>334</v>
      </c>
      <c r="C11" s="5">
        <v>2012</v>
      </c>
      <c r="D11" s="5">
        <v>119.9</v>
      </c>
      <c r="E11" s="5">
        <v>31.3</v>
      </c>
      <c r="F11" s="5">
        <v>2011</v>
      </c>
      <c r="G11" s="29">
        <v>25.516099999999998</v>
      </c>
      <c r="H11" s="29">
        <v>987.8823000000001</v>
      </c>
      <c r="I11" s="29">
        <v>847.08999999999992</v>
      </c>
      <c r="J11" s="100">
        <v>0.02</v>
      </c>
      <c r="K11" s="29">
        <v>1.4</v>
      </c>
      <c r="L11" s="29">
        <v>38</v>
      </c>
      <c r="M11" s="29">
        <v>37</v>
      </c>
      <c r="N11" s="29">
        <v>25</v>
      </c>
      <c r="O11" s="29">
        <v>6.2</v>
      </c>
      <c r="P11" s="29">
        <v>7.3085846867749416</v>
      </c>
      <c r="Q11" s="29">
        <v>0.6</v>
      </c>
      <c r="R11" s="5">
        <v>12.180974477958236</v>
      </c>
      <c r="S11" s="29">
        <v>81</v>
      </c>
      <c r="T11" s="5">
        <v>4.7300000000000004</v>
      </c>
      <c r="V11" s="99">
        <f>(T11-2.23)/S11</f>
        <v>3.0864197530864203E-2</v>
      </c>
      <c r="W11" s="99">
        <f t="shared" si="1"/>
        <v>3.0864197530864201</v>
      </c>
    </row>
    <row r="12" spans="1:23" x14ac:dyDescent="0.3">
      <c r="A12" s="5" t="s">
        <v>333</v>
      </c>
      <c r="B12" s="5" t="s">
        <v>334</v>
      </c>
      <c r="C12" s="5">
        <v>2012</v>
      </c>
      <c r="D12" s="5">
        <v>119.9</v>
      </c>
      <c r="E12" s="5">
        <v>31.3</v>
      </c>
      <c r="F12" s="5">
        <v>2011</v>
      </c>
      <c r="G12" s="29">
        <v>25.516099999999998</v>
      </c>
      <c r="H12" s="29">
        <v>987.8823000000001</v>
      </c>
      <c r="I12" s="29">
        <v>847.08999999999992</v>
      </c>
      <c r="J12" s="100">
        <v>0.02</v>
      </c>
      <c r="K12" s="29">
        <v>1.4</v>
      </c>
      <c r="L12" s="29">
        <v>38</v>
      </c>
      <c r="M12" s="29">
        <v>37</v>
      </c>
      <c r="N12" s="29">
        <v>25</v>
      </c>
      <c r="O12" s="29">
        <v>6.2</v>
      </c>
      <c r="P12" s="29">
        <v>7.3085846867749416</v>
      </c>
      <c r="Q12" s="29">
        <v>0.6</v>
      </c>
      <c r="R12" s="5">
        <v>12.180974477958236</v>
      </c>
      <c r="S12" s="29">
        <v>135</v>
      </c>
      <c r="T12" s="5">
        <v>8.4700000000000006</v>
      </c>
      <c r="V12" s="99">
        <f t="shared" ref="V12:V16" si="2">(T12-2.23)/S12</f>
        <v>4.6222222222222227E-2</v>
      </c>
      <c r="W12" s="99">
        <f t="shared" si="1"/>
        <v>4.6222222222222227</v>
      </c>
    </row>
    <row r="13" spans="1:23" x14ac:dyDescent="0.3">
      <c r="A13" s="5" t="s">
        <v>333</v>
      </c>
      <c r="B13" s="5" t="s">
        <v>334</v>
      </c>
      <c r="C13" s="5">
        <v>2012</v>
      </c>
      <c r="D13" s="5">
        <v>119.9</v>
      </c>
      <c r="E13" s="5">
        <v>31.3</v>
      </c>
      <c r="F13" s="5">
        <v>2011</v>
      </c>
      <c r="G13" s="29">
        <v>25.516099999999998</v>
      </c>
      <c r="H13" s="29">
        <v>987.8823000000001</v>
      </c>
      <c r="I13" s="29">
        <v>847.08999999999992</v>
      </c>
      <c r="J13" s="100">
        <v>0.02</v>
      </c>
      <c r="K13" s="29">
        <v>1.4</v>
      </c>
      <c r="L13" s="29">
        <v>38</v>
      </c>
      <c r="M13" s="29">
        <v>37</v>
      </c>
      <c r="N13" s="29">
        <v>25</v>
      </c>
      <c r="O13" s="29">
        <v>6.2</v>
      </c>
      <c r="P13" s="29">
        <v>7.3085846867749416</v>
      </c>
      <c r="Q13" s="29">
        <v>0.6</v>
      </c>
      <c r="R13" s="5">
        <v>12.180974477958236</v>
      </c>
      <c r="S13" s="29">
        <v>189</v>
      </c>
      <c r="T13" s="5">
        <v>9.5500000000000007</v>
      </c>
      <c r="V13" s="99">
        <f t="shared" si="2"/>
        <v>3.8730158730158733E-2</v>
      </c>
      <c r="W13" s="99">
        <f t="shared" si="1"/>
        <v>3.8730158730158735</v>
      </c>
    </row>
    <row r="14" spans="1:23" x14ac:dyDescent="0.3">
      <c r="A14" s="5" t="s">
        <v>333</v>
      </c>
      <c r="B14" s="5" t="s">
        <v>334</v>
      </c>
      <c r="C14" s="5">
        <v>2012</v>
      </c>
      <c r="D14" s="5">
        <v>119.9</v>
      </c>
      <c r="E14" s="5">
        <v>31.3</v>
      </c>
      <c r="F14" s="5">
        <v>2011</v>
      </c>
      <c r="G14" s="29">
        <v>25.516099999999998</v>
      </c>
      <c r="H14" s="29">
        <v>987.8823000000001</v>
      </c>
      <c r="I14" s="29">
        <v>847.08999999999992</v>
      </c>
      <c r="J14" s="100">
        <v>0.02</v>
      </c>
      <c r="K14" s="29">
        <v>1.4</v>
      </c>
      <c r="L14" s="29">
        <v>38</v>
      </c>
      <c r="M14" s="29">
        <v>37</v>
      </c>
      <c r="N14" s="29">
        <v>25</v>
      </c>
      <c r="O14" s="29">
        <v>6.2</v>
      </c>
      <c r="P14" s="29">
        <v>7.3085846867749416</v>
      </c>
      <c r="Q14" s="29">
        <v>0.6</v>
      </c>
      <c r="R14" s="5">
        <v>12.180974477958236</v>
      </c>
      <c r="S14" s="29">
        <v>216</v>
      </c>
      <c r="T14" s="5">
        <v>10.07</v>
      </c>
      <c r="V14" s="99">
        <f t="shared" si="2"/>
        <v>3.6296296296296299E-2</v>
      </c>
      <c r="W14" s="99">
        <f t="shared" si="1"/>
        <v>3.6296296296296298</v>
      </c>
    </row>
    <row r="15" spans="1:23" x14ac:dyDescent="0.3">
      <c r="A15" s="5" t="s">
        <v>333</v>
      </c>
      <c r="B15" s="5" t="s">
        <v>334</v>
      </c>
      <c r="C15" s="5">
        <v>2012</v>
      </c>
      <c r="D15" s="5">
        <v>119.9</v>
      </c>
      <c r="E15" s="5">
        <v>31.3</v>
      </c>
      <c r="F15" s="5">
        <v>2011</v>
      </c>
      <c r="G15" s="29">
        <v>25.516099999999998</v>
      </c>
      <c r="H15" s="29">
        <v>987.8823000000001</v>
      </c>
      <c r="I15" s="29">
        <v>847.08999999999992</v>
      </c>
      <c r="J15" s="100">
        <v>0.02</v>
      </c>
      <c r="K15" s="29">
        <v>1.4</v>
      </c>
      <c r="L15" s="29">
        <v>38</v>
      </c>
      <c r="M15" s="29">
        <v>37</v>
      </c>
      <c r="N15" s="29">
        <v>25</v>
      </c>
      <c r="O15" s="29">
        <v>6.2</v>
      </c>
      <c r="P15" s="29">
        <v>7.3085846867749416</v>
      </c>
      <c r="Q15" s="29">
        <v>0.6</v>
      </c>
      <c r="R15" s="5">
        <v>12.180974477958236</v>
      </c>
      <c r="S15" s="29">
        <v>243</v>
      </c>
      <c r="T15" s="5">
        <v>11.57</v>
      </c>
      <c r="V15" s="99">
        <f t="shared" si="2"/>
        <v>3.8436213991769545E-2</v>
      </c>
      <c r="W15" s="99">
        <f t="shared" si="1"/>
        <v>3.8436213991769543</v>
      </c>
    </row>
    <row r="16" spans="1:23" x14ac:dyDescent="0.3">
      <c r="A16" s="81" t="s">
        <v>333</v>
      </c>
      <c r="B16" s="81" t="s">
        <v>334</v>
      </c>
      <c r="C16" s="81">
        <v>2012</v>
      </c>
      <c r="D16" s="81">
        <v>119.9</v>
      </c>
      <c r="E16" s="81">
        <v>31.3</v>
      </c>
      <c r="F16" s="81">
        <v>2011</v>
      </c>
      <c r="G16" s="34">
        <v>25.516099999999998</v>
      </c>
      <c r="H16" s="34">
        <v>987.8823000000001</v>
      </c>
      <c r="I16" s="34">
        <v>847.08999999999992</v>
      </c>
      <c r="J16" s="101">
        <v>0.02</v>
      </c>
      <c r="K16" s="34">
        <v>1.4</v>
      </c>
      <c r="L16" s="34">
        <v>38</v>
      </c>
      <c r="M16" s="34">
        <v>37</v>
      </c>
      <c r="N16" s="34">
        <v>25</v>
      </c>
      <c r="O16" s="34">
        <v>6.2</v>
      </c>
      <c r="P16" s="34">
        <v>7.3085846867749416</v>
      </c>
      <c r="Q16" s="34">
        <v>0.6</v>
      </c>
      <c r="R16" s="81">
        <v>12.180974477958236</v>
      </c>
      <c r="S16" s="34">
        <v>270</v>
      </c>
      <c r="T16" s="81">
        <v>13.25</v>
      </c>
      <c r="U16" s="81"/>
      <c r="V16" s="102">
        <f t="shared" si="2"/>
        <v>4.0814814814814811E-2</v>
      </c>
      <c r="W16" s="99">
        <f t="shared" si="1"/>
        <v>4.0814814814814815</v>
      </c>
    </row>
    <row r="17" spans="1:23" x14ac:dyDescent="0.3">
      <c r="A17" s="5" t="s">
        <v>335</v>
      </c>
      <c r="B17" s="5" t="s">
        <v>336</v>
      </c>
      <c r="C17" s="5">
        <v>2007</v>
      </c>
      <c r="D17" s="5">
        <v>120.7</v>
      </c>
      <c r="E17" s="5">
        <v>31.55</v>
      </c>
      <c r="F17" s="5">
        <v>2002</v>
      </c>
      <c r="G17" s="29">
        <v>25.972500000000004</v>
      </c>
      <c r="H17" s="29">
        <v>636.9215999999999</v>
      </c>
      <c r="I17" s="29">
        <v>965.3171000000001</v>
      </c>
      <c r="J17" s="100">
        <v>0.08</v>
      </c>
      <c r="K17" s="29">
        <v>1.48</v>
      </c>
      <c r="L17" s="29">
        <v>38</v>
      </c>
      <c r="M17" s="29">
        <v>20</v>
      </c>
      <c r="N17" s="29">
        <v>12</v>
      </c>
      <c r="O17" s="29">
        <v>7.36</v>
      </c>
      <c r="P17" s="29">
        <v>20.301624129930396</v>
      </c>
      <c r="Q17" s="29">
        <v>2.09</v>
      </c>
      <c r="R17" s="5">
        <v>9.7136957559475583</v>
      </c>
      <c r="S17" s="29">
        <v>0</v>
      </c>
      <c r="T17" s="5">
        <v>1.34</v>
      </c>
      <c r="U17" s="5">
        <f>AVERAGE(T17,T23,T29)</f>
        <v>2.6166666666666667</v>
      </c>
      <c r="V17" s="99">
        <v>0</v>
      </c>
      <c r="W17" s="99">
        <f t="shared" si="1"/>
        <v>0</v>
      </c>
    </row>
    <row r="18" spans="1:23" x14ac:dyDescent="0.3">
      <c r="A18" s="5" t="s">
        <v>335</v>
      </c>
      <c r="B18" s="5" t="s">
        <v>336</v>
      </c>
      <c r="C18" s="5">
        <v>2007</v>
      </c>
      <c r="D18" s="5">
        <v>120.7</v>
      </c>
      <c r="E18" s="5">
        <v>31.55</v>
      </c>
      <c r="F18" s="5">
        <v>2002</v>
      </c>
      <c r="G18" s="29">
        <v>25.972500000000004</v>
      </c>
      <c r="H18" s="29">
        <v>636.9215999999999</v>
      </c>
      <c r="I18" s="29">
        <v>965.3171000000001</v>
      </c>
      <c r="J18" s="100">
        <v>0.08</v>
      </c>
      <c r="K18" s="29">
        <v>1.48</v>
      </c>
      <c r="L18" s="29">
        <v>38</v>
      </c>
      <c r="M18" s="29">
        <v>20</v>
      </c>
      <c r="N18" s="29">
        <v>12</v>
      </c>
      <c r="O18" s="29">
        <v>7.36</v>
      </c>
      <c r="P18" s="29">
        <v>20.301624129930396</v>
      </c>
      <c r="Q18" s="29">
        <v>2.09</v>
      </c>
      <c r="R18" s="5">
        <v>9.7136957559475583</v>
      </c>
      <c r="S18" s="29">
        <v>180</v>
      </c>
      <c r="T18" s="5">
        <v>1.91</v>
      </c>
      <c r="V18" s="99">
        <f>(T18-1.34)/S18</f>
        <v>3.1666666666666657E-3</v>
      </c>
      <c r="W18" s="99">
        <f t="shared" si="1"/>
        <v>0.3166666666666666</v>
      </c>
    </row>
    <row r="19" spans="1:23" x14ac:dyDescent="0.3">
      <c r="A19" s="5" t="s">
        <v>335</v>
      </c>
      <c r="B19" s="5" t="s">
        <v>336</v>
      </c>
      <c r="C19" s="5">
        <v>2007</v>
      </c>
      <c r="D19" s="5">
        <v>120.7</v>
      </c>
      <c r="E19" s="5">
        <v>31.55</v>
      </c>
      <c r="F19" s="5">
        <v>2002</v>
      </c>
      <c r="G19" s="29">
        <v>25.972500000000004</v>
      </c>
      <c r="H19" s="29">
        <v>636.9215999999999</v>
      </c>
      <c r="I19" s="29">
        <v>965.3171000000001</v>
      </c>
      <c r="J19" s="100">
        <v>0.08</v>
      </c>
      <c r="K19" s="29">
        <v>1.48</v>
      </c>
      <c r="L19" s="29">
        <v>38</v>
      </c>
      <c r="M19" s="29">
        <v>20</v>
      </c>
      <c r="N19" s="29">
        <v>12</v>
      </c>
      <c r="O19" s="29">
        <v>7.36</v>
      </c>
      <c r="P19" s="29">
        <v>20.301624129930396</v>
      </c>
      <c r="Q19" s="29">
        <v>2.09</v>
      </c>
      <c r="R19" s="5">
        <v>9.7136957559475583</v>
      </c>
      <c r="S19" s="29">
        <v>255</v>
      </c>
      <c r="T19" s="5">
        <v>1.02</v>
      </c>
      <c r="V19" s="99">
        <f t="shared" ref="V19:V22" si="3">(T19-1.34)/S19</f>
        <v>-1.254901960784314E-3</v>
      </c>
      <c r="W19" s="99">
        <f t="shared" si="1"/>
        <v>-0.1254901960784314</v>
      </c>
    </row>
    <row r="20" spans="1:23" x14ac:dyDescent="0.3">
      <c r="A20" s="5" t="s">
        <v>335</v>
      </c>
      <c r="B20" s="5" t="s">
        <v>336</v>
      </c>
      <c r="C20" s="5">
        <v>2007</v>
      </c>
      <c r="D20" s="5">
        <v>120.7</v>
      </c>
      <c r="E20" s="5">
        <v>31.55</v>
      </c>
      <c r="F20" s="5">
        <v>2002</v>
      </c>
      <c r="G20" s="29">
        <v>25.972500000000004</v>
      </c>
      <c r="H20" s="29">
        <v>636.9215999999999</v>
      </c>
      <c r="I20" s="29">
        <v>965.3171000000001</v>
      </c>
      <c r="J20" s="100">
        <v>0.08</v>
      </c>
      <c r="K20" s="29">
        <v>1.48</v>
      </c>
      <c r="L20" s="29">
        <v>38</v>
      </c>
      <c r="M20" s="29">
        <v>20</v>
      </c>
      <c r="N20" s="29">
        <v>12</v>
      </c>
      <c r="O20" s="29">
        <v>7.36</v>
      </c>
      <c r="P20" s="29">
        <v>20.301624129930396</v>
      </c>
      <c r="Q20" s="29">
        <v>2.09</v>
      </c>
      <c r="R20" s="5">
        <v>9.7136957559475583</v>
      </c>
      <c r="S20" s="29">
        <v>255</v>
      </c>
      <c r="T20" s="5">
        <v>1.56</v>
      </c>
      <c r="V20" s="99">
        <f t="shared" si="3"/>
        <v>8.6274509803921557E-4</v>
      </c>
      <c r="W20" s="99">
        <f t="shared" si="1"/>
        <v>8.6274509803921554E-2</v>
      </c>
    </row>
    <row r="21" spans="1:23" x14ac:dyDescent="0.3">
      <c r="A21" s="5" t="s">
        <v>335</v>
      </c>
      <c r="B21" s="5" t="s">
        <v>336</v>
      </c>
      <c r="C21" s="5">
        <v>2007</v>
      </c>
      <c r="D21" s="5">
        <v>120.7</v>
      </c>
      <c r="E21" s="5">
        <v>31.55</v>
      </c>
      <c r="F21" s="5">
        <v>2002</v>
      </c>
      <c r="G21" s="29">
        <v>25.972500000000004</v>
      </c>
      <c r="H21" s="29">
        <v>636.9215999999999</v>
      </c>
      <c r="I21" s="29">
        <v>965.3171000000001</v>
      </c>
      <c r="J21" s="100">
        <v>0.08</v>
      </c>
      <c r="K21" s="29">
        <v>1.48</v>
      </c>
      <c r="L21" s="29">
        <v>38</v>
      </c>
      <c r="M21" s="29">
        <v>20</v>
      </c>
      <c r="N21" s="29">
        <v>12</v>
      </c>
      <c r="O21" s="29">
        <v>7.36</v>
      </c>
      <c r="P21" s="29">
        <v>20.301624129930396</v>
      </c>
      <c r="Q21" s="29">
        <v>2.09</v>
      </c>
      <c r="R21" s="5">
        <v>9.7136957559475583</v>
      </c>
      <c r="S21" s="29">
        <v>255</v>
      </c>
      <c r="T21" s="5">
        <v>1.22</v>
      </c>
      <c r="V21" s="99">
        <f t="shared" si="3"/>
        <v>-4.7058823529411804E-4</v>
      </c>
      <c r="W21" s="99">
        <f t="shared" si="1"/>
        <v>-4.7058823529411806E-2</v>
      </c>
    </row>
    <row r="22" spans="1:23" x14ac:dyDescent="0.3">
      <c r="A22" s="5" t="s">
        <v>335</v>
      </c>
      <c r="B22" s="5" t="s">
        <v>336</v>
      </c>
      <c r="C22" s="5">
        <v>2007</v>
      </c>
      <c r="D22" s="5">
        <v>120.7</v>
      </c>
      <c r="E22" s="5">
        <v>31.55</v>
      </c>
      <c r="F22" s="5">
        <v>2002</v>
      </c>
      <c r="G22" s="29">
        <v>25.972500000000004</v>
      </c>
      <c r="H22" s="29">
        <v>636.9215999999999</v>
      </c>
      <c r="I22" s="29">
        <v>965.3171000000001</v>
      </c>
      <c r="J22" s="100">
        <v>0.08</v>
      </c>
      <c r="K22" s="29">
        <v>1.48</v>
      </c>
      <c r="L22" s="29">
        <v>38</v>
      </c>
      <c r="M22" s="29">
        <v>20</v>
      </c>
      <c r="N22" s="29">
        <v>12</v>
      </c>
      <c r="O22" s="29">
        <v>7.36</v>
      </c>
      <c r="P22" s="29">
        <v>20.301624129930396</v>
      </c>
      <c r="Q22" s="29">
        <v>2.09</v>
      </c>
      <c r="R22" s="5">
        <v>9.7136957559475583</v>
      </c>
      <c r="S22" s="29">
        <v>330</v>
      </c>
      <c r="T22" s="5">
        <v>2.57</v>
      </c>
      <c r="V22" s="99">
        <f t="shared" si="3"/>
        <v>3.7272727272727266E-3</v>
      </c>
      <c r="W22" s="99">
        <f t="shared" si="1"/>
        <v>0.37272727272727268</v>
      </c>
    </row>
    <row r="23" spans="1:23" x14ac:dyDescent="0.3">
      <c r="A23" s="5" t="s">
        <v>335</v>
      </c>
      <c r="B23" s="5" t="s">
        <v>336</v>
      </c>
      <c r="C23" s="5">
        <v>2007</v>
      </c>
      <c r="D23" s="5">
        <v>120.7</v>
      </c>
      <c r="E23" s="5">
        <v>31.55</v>
      </c>
      <c r="F23" s="5">
        <v>2003</v>
      </c>
      <c r="G23" s="29">
        <v>25.972500000000004</v>
      </c>
      <c r="H23" s="29">
        <v>636.9215999999999</v>
      </c>
      <c r="I23" s="29">
        <v>965.3171000000001</v>
      </c>
      <c r="J23" s="100">
        <v>0.08</v>
      </c>
      <c r="K23" s="29">
        <v>1.48</v>
      </c>
      <c r="L23" s="29">
        <v>38</v>
      </c>
      <c r="M23" s="29">
        <v>20</v>
      </c>
      <c r="N23" s="29">
        <v>12</v>
      </c>
      <c r="O23" s="29">
        <v>7.36</v>
      </c>
      <c r="P23" s="29">
        <v>20.301624129930396</v>
      </c>
      <c r="Q23" s="29">
        <v>2.09</v>
      </c>
      <c r="R23" s="5">
        <v>9.7136957559475583</v>
      </c>
      <c r="S23" s="29">
        <v>0</v>
      </c>
      <c r="T23" s="5">
        <v>4.8099999999999996</v>
      </c>
      <c r="V23" s="99">
        <v>0</v>
      </c>
      <c r="W23" s="99">
        <f t="shared" si="1"/>
        <v>0</v>
      </c>
    </row>
    <row r="24" spans="1:23" x14ac:dyDescent="0.3">
      <c r="A24" s="5" t="s">
        <v>335</v>
      </c>
      <c r="B24" s="5" t="s">
        <v>336</v>
      </c>
      <c r="C24" s="5">
        <v>2007</v>
      </c>
      <c r="D24" s="5">
        <v>120.7</v>
      </c>
      <c r="E24" s="5">
        <v>31.55</v>
      </c>
      <c r="F24" s="5">
        <v>2003</v>
      </c>
      <c r="G24" s="29">
        <v>25.972500000000004</v>
      </c>
      <c r="H24" s="29">
        <v>636.9215999999999</v>
      </c>
      <c r="I24" s="29">
        <v>965.3171000000001</v>
      </c>
      <c r="J24" s="100">
        <v>0.08</v>
      </c>
      <c r="K24" s="29">
        <v>1.48</v>
      </c>
      <c r="L24" s="29">
        <v>38</v>
      </c>
      <c r="M24" s="29">
        <v>20</v>
      </c>
      <c r="N24" s="29">
        <v>12</v>
      </c>
      <c r="O24" s="29">
        <v>7.36</v>
      </c>
      <c r="P24" s="29">
        <v>20.301624129930396</v>
      </c>
      <c r="Q24" s="29">
        <v>2.09</v>
      </c>
      <c r="R24" s="5">
        <v>9.7136957559475583</v>
      </c>
      <c r="S24" s="29">
        <v>180</v>
      </c>
      <c r="T24" s="5">
        <v>10.4</v>
      </c>
      <c r="V24" s="99">
        <f>(T24-4.81)/S24</f>
        <v>3.1055555555555558E-2</v>
      </c>
      <c r="W24" s="99">
        <f t="shared" si="1"/>
        <v>3.1055555555555561</v>
      </c>
    </row>
    <row r="25" spans="1:23" x14ac:dyDescent="0.3">
      <c r="A25" s="5" t="s">
        <v>335</v>
      </c>
      <c r="B25" s="5" t="s">
        <v>336</v>
      </c>
      <c r="C25" s="5">
        <v>2007</v>
      </c>
      <c r="D25" s="5">
        <v>120.7</v>
      </c>
      <c r="E25" s="5">
        <v>31.55</v>
      </c>
      <c r="F25" s="5">
        <v>2003</v>
      </c>
      <c r="G25" s="29">
        <v>25.972500000000004</v>
      </c>
      <c r="H25" s="29">
        <v>636.9215999999999</v>
      </c>
      <c r="I25" s="29">
        <v>965.3171000000001</v>
      </c>
      <c r="J25" s="100">
        <v>0.08</v>
      </c>
      <c r="K25" s="29">
        <v>1.48</v>
      </c>
      <c r="L25" s="29">
        <v>38</v>
      </c>
      <c r="M25" s="29">
        <v>20</v>
      </c>
      <c r="N25" s="29">
        <v>12</v>
      </c>
      <c r="O25" s="29">
        <v>7.36</v>
      </c>
      <c r="P25" s="29">
        <v>20.301624129930396</v>
      </c>
      <c r="Q25" s="29">
        <v>2.09</v>
      </c>
      <c r="R25" s="5">
        <v>9.7136957559475583</v>
      </c>
      <c r="S25" s="29">
        <v>255</v>
      </c>
      <c r="T25" s="5">
        <v>6.49</v>
      </c>
      <c r="V25" s="99">
        <f t="shared" ref="V25:V28" si="4">(T25-4.81)/S25</f>
        <v>6.5882352941176491E-3</v>
      </c>
      <c r="W25" s="99">
        <f t="shared" si="1"/>
        <v>0.65882352941176492</v>
      </c>
    </row>
    <row r="26" spans="1:23" x14ac:dyDescent="0.3">
      <c r="A26" s="5" t="s">
        <v>335</v>
      </c>
      <c r="B26" s="5" t="s">
        <v>336</v>
      </c>
      <c r="C26" s="5">
        <v>2007</v>
      </c>
      <c r="D26" s="5">
        <v>120.7</v>
      </c>
      <c r="E26" s="5">
        <v>31.55</v>
      </c>
      <c r="F26" s="5">
        <v>2003</v>
      </c>
      <c r="G26" s="29">
        <v>25.972500000000004</v>
      </c>
      <c r="H26" s="29">
        <v>636.9215999999999</v>
      </c>
      <c r="I26" s="29">
        <v>965.3171000000001</v>
      </c>
      <c r="J26" s="100">
        <v>0.08</v>
      </c>
      <c r="K26" s="29">
        <v>1.48</v>
      </c>
      <c r="L26" s="29">
        <v>38</v>
      </c>
      <c r="M26" s="29">
        <v>20</v>
      </c>
      <c r="N26" s="29">
        <v>12</v>
      </c>
      <c r="O26" s="29">
        <v>7.36</v>
      </c>
      <c r="P26" s="29">
        <v>20.301624129930396</v>
      </c>
      <c r="Q26" s="29">
        <v>2.09</v>
      </c>
      <c r="R26" s="5">
        <v>9.7136957559475583</v>
      </c>
      <c r="S26" s="29">
        <v>255</v>
      </c>
      <c r="T26" s="5">
        <v>7.93</v>
      </c>
      <c r="V26" s="99">
        <f t="shared" si="4"/>
        <v>1.2235294117647059E-2</v>
      </c>
      <c r="W26" s="99">
        <f t="shared" si="1"/>
        <v>1.223529411764706</v>
      </c>
    </row>
    <row r="27" spans="1:23" x14ac:dyDescent="0.3">
      <c r="A27" s="5" t="s">
        <v>335</v>
      </c>
      <c r="B27" s="5" t="s">
        <v>336</v>
      </c>
      <c r="C27" s="5">
        <v>2007</v>
      </c>
      <c r="D27" s="5">
        <v>120.7</v>
      </c>
      <c r="E27" s="5">
        <v>31.55</v>
      </c>
      <c r="F27" s="5">
        <v>2003</v>
      </c>
      <c r="G27" s="29">
        <v>25.972500000000004</v>
      </c>
      <c r="H27" s="29">
        <v>636.9215999999999</v>
      </c>
      <c r="I27" s="29">
        <v>965.3171000000001</v>
      </c>
      <c r="J27" s="100">
        <v>0.08</v>
      </c>
      <c r="K27" s="29">
        <v>1.48</v>
      </c>
      <c r="L27" s="29">
        <v>38</v>
      </c>
      <c r="M27" s="29">
        <v>20</v>
      </c>
      <c r="N27" s="29">
        <v>12</v>
      </c>
      <c r="O27" s="29">
        <v>7.36</v>
      </c>
      <c r="P27" s="29">
        <v>20.301624129930396</v>
      </c>
      <c r="Q27" s="29">
        <v>2.09</v>
      </c>
      <c r="R27" s="5">
        <v>9.7136957559475583</v>
      </c>
      <c r="S27" s="29">
        <v>255</v>
      </c>
      <c r="T27" s="5">
        <v>8.56</v>
      </c>
      <c r="V27" s="99">
        <f t="shared" si="4"/>
        <v>1.470588235294118E-2</v>
      </c>
      <c r="W27" s="99">
        <f t="shared" si="1"/>
        <v>1.470588235294118</v>
      </c>
    </row>
    <row r="28" spans="1:23" x14ac:dyDescent="0.3">
      <c r="A28" s="5" t="s">
        <v>335</v>
      </c>
      <c r="B28" s="5" t="s">
        <v>336</v>
      </c>
      <c r="C28" s="5">
        <v>2007</v>
      </c>
      <c r="D28" s="5">
        <v>120.7</v>
      </c>
      <c r="E28" s="5">
        <v>31.55</v>
      </c>
      <c r="F28" s="5">
        <v>2003</v>
      </c>
      <c r="G28" s="29">
        <v>25.972500000000004</v>
      </c>
      <c r="H28" s="29">
        <v>636.9215999999999</v>
      </c>
      <c r="I28" s="29">
        <v>965.3171000000001</v>
      </c>
      <c r="J28" s="100">
        <v>0.08</v>
      </c>
      <c r="K28" s="29">
        <v>1.48</v>
      </c>
      <c r="L28" s="29">
        <v>38</v>
      </c>
      <c r="M28" s="29">
        <v>20</v>
      </c>
      <c r="N28" s="29">
        <v>12</v>
      </c>
      <c r="O28" s="29">
        <v>7.36</v>
      </c>
      <c r="P28" s="29">
        <v>20.301624129930396</v>
      </c>
      <c r="Q28" s="29">
        <v>2.09</v>
      </c>
      <c r="R28" s="5">
        <v>9.7136957559475583</v>
      </c>
      <c r="S28" s="29">
        <v>330</v>
      </c>
      <c r="T28" s="5">
        <v>17.899999999999999</v>
      </c>
      <c r="V28" s="99">
        <f t="shared" si="4"/>
        <v>3.966666666666667E-2</v>
      </c>
      <c r="W28" s="99">
        <f t="shared" si="1"/>
        <v>3.9666666666666668</v>
      </c>
    </row>
    <row r="29" spans="1:23" x14ac:dyDescent="0.3">
      <c r="A29" s="5" t="s">
        <v>335</v>
      </c>
      <c r="B29" s="5" t="s">
        <v>336</v>
      </c>
      <c r="C29" s="5">
        <v>2007</v>
      </c>
      <c r="D29" s="5">
        <v>120.7</v>
      </c>
      <c r="E29" s="5">
        <v>31.55</v>
      </c>
      <c r="F29" s="5">
        <v>2004</v>
      </c>
      <c r="G29" s="29">
        <v>25.972500000000004</v>
      </c>
      <c r="H29" s="29">
        <v>636.9215999999999</v>
      </c>
      <c r="I29" s="29">
        <v>965.3171000000001</v>
      </c>
      <c r="J29" s="100">
        <v>0.08</v>
      </c>
      <c r="K29" s="29">
        <v>1.48</v>
      </c>
      <c r="L29" s="29">
        <v>38</v>
      </c>
      <c r="M29" s="29">
        <v>20</v>
      </c>
      <c r="N29" s="29">
        <v>12</v>
      </c>
      <c r="O29" s="29">
        <v>7.36</v>
      </c>
      <c r="P29" s="29">
        <v>20.301624129930396</v>
      </c>
      <c r="Q29" s="29">
        <v>2.09</v>
      </c>
      <c r="R29" s="5">
        <v>9.7136957559475583</v>
      </c>
      <c r="S29" s="29">
        <v>0</v>
      </c>
      <c r="T29" s="5">
        <v>1.7</v>
      </c>
      <c r="V29" s="99">
        <v>0</v>
      </c>
      <c r="W29" s="99">
        <f t="shared" si="1"/>
        <v>0</v>
      </c>
    </row>
    <row r="30" spans="1:23" x14ac:dyDescent="0.3">
      <c r="A30" s="5" t="s">
        <v>335</v>
      </c>
      <c r="B30" s="5" t="s">
        <v>336</v>
      </c>
      <c r="C30" s="5">
        <v>2007</v>
      </c>
      <c r="D30" s="5">
        <v>120.7</v>
      </c>
      <c r="E30" s="5">
        <v>31.55</v>
      </c>
      <c r="F30" s="5">
        <v>2004</v>
      </c>
      <c r="G30" s="29">
        <v>25.972500000000004</v>
      </c>
      <c r="H30" s="29">
        <v>636.9215999999999</v>
      </c>
      <c r="I30" s="29">
        <v>965.3171000000001</v>
      </c>
      <c r="J30" s="100">
        <v>0.08</v>
      </c>
      <c r="K30" s="29">
        <v>1.48</v>
      </c>
      <c r="L30" s="29">
        <v>38</v>
      </c>
      <c r="M30" s="29">
        <v>20</v>
      </c>
      <c r="N30" s="29">
        <v>12</v>
      </c>
      <c r="O30" s="29">
        <v>7.36</v>
      </c>
      <c r="P30" s="29">
        <v>20.301624129930396</v>
      </c>
      <c r="Q30" s="29">
        <v>2.09</v>
      </c>
      <c r="R30" s="5">
        <v>9.7136957559475583</v>
      </c>
      <c r="S30" s="29">
        <v>180</v>
      </c>
      <c r="T30" s="5">
        <v>2.81</v>
      </c>
      <c r="V30" s="99">
        <f>(T30-1.7)/S30</f>
        <v>6.1666666666666675E-3</v>
      </c>
      <c r="W30" s="99">
        <f t="shared" si="1"/>
        <v>0.6166666666666667</v>
      </c>
    </row>
    <row r="31" spans="1:23" x14ac:dyDescent="0.3">
      <c r="A31" s="5" t="s">
        <v>335</v>
      </c>
      <c r="B31" s="5" t="s">
        <v>336</v>
      </c>
      <c r="C31" s="5">
        <v>2007</v>
      </c>
      <c r="D31" s="5">
        <v>120.7</v>
      </c>
      <c r="E31" s="5">
        <v>31.55</v>
      </c>
      <c r="F31" s="5">
        <v>2004</v>
      </c>
      <c r="G31" s="29">
        <v>25.972500000000004</v>
      </c>
      <c r="H31" s="29">
        <v>636.9215999999999</v>
      </c>
      <c r="I31" s="29">
        <v>965.3171000000001</v>
      </c>
      <c r="J31" s="100">
        <v>0.08</v>
      </c>
      <c r="K31" s="29">
        <v>1.48</v>
      </c>
      <c r="L31" s="29">
        <v>38</v>
      </c>
      <c r="M31" s="29">
        <v>20</v>
      </c>
      <c r="N31" s="29">
        <v>12</v>
      </c>
      <c r="O31" s="29">
        <v>7.36</v>
      </c>
      <c r="P31" s="29">
        <v>20.301624129930396</v>
      </c>
      <c r="Q31" s="29">
        <v>2.09</v>
      </c>
      <c r="R31" s="5">
        <v>9.7136957559475583</v>
      </c>
      <c r="S31" s="29">
        <v>255</v>
      </c>
      <c r="T31" s="5">
        <v>2.75</v>
      </c>
      <c r="V31" s="99">
        <f t="shared" ref="V31:V34" si="5">(T31-1.7)/S31</f>
        <v>4.1176470588235297E-3</v>
      </c>
      <c r="W31" s="99">
        <f t="shared" si="1"/>
        <v>0.41176470588235298</v>
      </c>
    </row>
    <row r="32" spans="1:23" x14ac:dyDescent="0.3">
      <c r="A32" s="5" t="s">
        <v>335</v>
      </c>
      <c r="B32" s="5" t="s">
        <v>336</v>
      </c>
      <c r="C32" s="5">
        <v>2007</v>
      </c>
      <c r="D32" s="5">
        <v>120.7</v>
      </c>
      <c r="E32" s="5">
        <v>31.55</v>
      </c>
      <c r="F32" s="5">
        <v>2004</v>
      </c>
      <c r="G32" s="29">
        <v>25.972500000000004</v>
      </c>
      <c r="H32" s="29">
        <v>636.9215999999999</v>
      </c>
      <c r="I32" s="29">
        <v>965.3171000000001</v>
      </c>
      <c r="J32" s="100">
        <v>0.08</v>
      </c>
      <c r="K32" s="29">
        <v>1.48</v>
      </c>
      <c r="L32" s="29">
        <v>38</v>
      </c>
      <c r="M32" s="29">
        <v>20</v>
      </c>
      <c r="N32" s="29">
        <v>12</v>
      </c>
      <c r="O32" s="29">
        <v>7.36</v>
      </c>
      <c r="P32" s="29">
        <v>20.301624129930396</v>
      </c>
      <c r="Q32" s="29">
        <v>2.09</v>
      </c>
      <c r="R32" s="5">
        <v>9.7136957559475583</v>
      </c>
      <c r="S32" s="29">
        <v>255</v>
      </c>
      <c r="T32" s="5">
        <v>3.83</v>
      </c>
      <c r="V32" s="99">
        <f t="shared" si="5"/>
        <v>8.3529411764705873E-3</v>
      </c>
      <c r="W32" s="99">
        <f t="shared" si="1"/>
        <v>0.83529411764705874</v>
      </c>
    </row>
    <row r="33" spans="1:23" x14ac:dyDescent="0.3">
      <c r="A33" s="5" t="s">
        <v>335</v>
      </c>
      <c r="B33" s="5" t="s">
        <v>336</v>
      </c>
      <c r="C33" s="5">
        <v>2007</v>
      </c>
      <c r="D33" s="5">
        <v>120.7</v>
      </c>
      <c r="E33" s="5">
        <v>31.55</v>
      </c>
      <c r="F33" s="5">
        <v>2004</v>
      </c>
      <c r="G33" s="29">
        <v>25.972500000000004</v>
      </c>
      <c r="H33" s="29">
        <v>636.9215999999999</v>
      </c>
      <c r="I33" s="29">
        <v>965.3171000000001</v>
      </c>
      <c r="J33" s="100">
        <v>0.08</v>
      </c>
      <c r="K33" s="29">
        <v>1.48</v>
      </c>
      <c r="L33" s="29">
        <v>38</v>
      </c>
      <c r="M33" s="29">
        <v>20</v>
      </c>
      <c r="N33" s="29">
        <v>12</v>
      </c>
      <c r="O33" s="29">
        <v>7.36</v>
      </c>
      <c r="P33" s="29">
        <v>20.301624129930396</v>
      </c>
      <c r="Q33" s="29">
        <v>2.09</v>
      </c>
      <c r="R33" s="5">
        <v>9.7136957559475583</v>
      </c>
      <c r="S33" s="29">
        <v>255</v>
      </c>
      <c r="T33" s="5">
        <v>3.68</v>
      </c>
      <c r="V33" s="99">
        <f t="shared" si="5"/>
        <v>7.7647058823529418E-3</v>
      </c>
      <c r="W33" s="99">
        <f t="shared" si="1"/>
        <v>0.77647058823529413</v>
      </c>
    </row>
    <row r="34" spans="1:23" x14ac:dyDescent="0.3">
      <c r="A34" s="81" t="s">
        <v>335</v>
      </c>
      <c r="B34" s="81" t="s">
        <v>336</v>
      </c>
      <c r="C34" s="81">
        <v>2007</v>
      </c>
      <c r="D34" s="81">
        <v>120.7</v>
      </c>
      <c r="E34" s="81">
        <v>31.55</v>
      </c>
      <c r="F34" s="81">
        <v>2004</v>
      </c>
      <c r="G34" s="34">
        <v>25.972500000000004</v>
      </c>
      <c r="H34" s="34">
        <v>636.9215999999999</v>
      </c>
      <c r="I34" s="34">
        <v>965.3171000000001</v>
      </c>
      <c r="J34" s="101">
        <v>0.08</v>
      </c>
      <c r="K34" s="34">
        <v>1.48</v>
      </c>
      <c r="L34" s="34">
        <v>38</v>
      </c>
      <c r="M34" s="34">
        <v>20</v>
      </c>
      <c r="N34" s="34">
        <v>12</v>
      </c>
      <c r="O34" s="34">
        <v>7.36</v>
      </c>
      <c r="P34" s="34">
        <v>20.301624129930396</v>
      </c>
      <c r="Q34" s="34">
        <v>2.09</v>
      </c>
      <c r="R34" s="81">
        <v>9.7136957559475583</v>
      </c>
      <c r="S34" s="34">
        <v>330</v>
      </c>
      <c r="T34" s="81">
        <v>4.8</v>
      </c>
      <c r="U34" s="81"/>
      <c r="V34" s="102">
        <f t="shared" si="5"/>
        <v>9.3939393939393937E-3</v>
      </c>
      <c r="W34" s="99">
        <f t="shared" si="1"/>
        <v>0.93939393939393934</v>
      </c>
    </row>
    <row r="35" spans="1:23" x14ac:dyDescent="0.3">
      <c r="A35" s="5" t="s">
        <v>337</v>
      </c>
      <c r="B35" s="5" t="s">
        <v>338</v>
      </c>
      <c r="C35" s="5">
        <v>2007</v>
      </c>
      <c r="D35" s="5">
        <v>121.3</v>
      </c>
      <c r="E35" s="5">
        <v>31.3</v>
      </c>
      <c r="F35" s="5">
        <v>2004</v>
      </c>
      <c r="G35" s="29">
        <v>25.840499999999999</v>
      </c>
      <c r="H35" s="29">
        <v>547.65638999999999</v>
      </c>
      <c r="I35" s="29">
        <v>818.80899999999997</v>
      </c>
      <c r="J35" s="100">
        <v>8.6999999999999994E-2</v>
      </c>
      <c r="K35" s="29">
        <v>1.42</v>
      </c>
      <c r="L35" s="29">
        <v>37</v>
      </c>
      <c r="M35" s="29">
        <v>42</v>
      </c>
      <c r="N35" s="29">
        <v>21</v>
      </c>
      <c r="O35" s="29">
        <v>7</v>
      </c>
      <c r="P35" s="29">
        <v>15.429234338747101</v>
      </c>
      <c r="Q35" s="29">
        <v>1.38</v>
      </c>
      <c r="R35" s="5">
        <v>11.180604593295001</v>
      </c>
      <c r="S35" s="29">
        <v>250</v>
      </c>
      <c r="T35" s="5">
        <v>1.93</v>
      </c>
      <c r="U35" s="5">
        <f>AVERAGE(T37,T40)</f>
        <v>1.88</v>
      </c>
      <c r="V35" s="99">
        <f>(T35-1.23)/S35</f>
        <v>2.8E-3</v>
      </c>
      <c r="W35" s="99">
        <f t="shared" si="1"/>
        <v>0.27999999999999997</v>
      </c>
    </row>
    <row r="36" spans="1:23" x14ac:dyDescent="0.3">
      <c r="A36" s="5" t="s">
        <v>337</v>
      </c>
      <c r="B36" s="5" t="s">
        <v>338</v>
      </c>
      <c r="C36" s="5">
        <v>2007</v>
      </c>
      <c r="D36" s="5">
        <v>121.3</v>
      </c>
      <c r="E36" s="5">
        <v>31.3</v>
      </c>
      <c r="F36" s="5">
        <v>2004</v>
      </c>
      <c r="G36" s="29">
        <v>25.840499999999999</v>
      </c>
      <c r="H36" s="29">
        <v>547.65638999999999</v>
      </c>
      <c r="I36" s="29">
        <v>818.80899999999997</v>
      </c>
      <c r="J36" s="100">
        <v>8.6999999999999994E-2</v>
      </c>
      <c r="K36" s="29">
        <v>1.42</v>
      </c>
      <c r="L36" s="29">
        <v>37</v>
      </c>
      <c r="M36" s="29">
        <v>42</v>
      </c>
      <c r="N36" s="29">
        <v>21</v>
      </c>
      <c r="O36" s="29">
        <v>7</v>
      </c>
      <c r="P36" s="29">
        <v>15.429234338747101</v>
      </c>
      <c r="Q36" s="29">
        <v>1.38</v>
      </c>
      <c r="R36" s="5">
        <v>11.180604593295001</v>
      </c>
      <c r="S36" s="29">
        <v>232</v>
      </c>
      <c r="T36" s="5">
        <v>1.73</v>
      </c>
      <c r="V36" s="99">
        <f>(T36-1.23)/S36</f>
        <v>2.1551724137931034E-3</v>
      </c>
      <c r="W36" s="99">
        <f t="shared" si="1"/>
        <v>0.21551724137931033</v>
      </c>
    </row>
    <row r="37" spans="1:23" x14ac:dyDescent="0.3">
      <c r="A37" s="5" t="s">
        <v>337</v>
      </c>
      <c r="B37" s="5" t="s">
        <v>338</v>
      </c>
      <c r="C37" s="5">
        <v>2007</v>
      </c>
      <c r="D37" s="5">
        <v>121.3</v>
      </c>
      <c r="E37" s="5">
        <v>31.3</v>
      </c>
      <c r="F37" s="5">
        <v>2004</v>
      </c>
      <c r="G37" s="29">
        <v>25.840499999999999</v>
      </c>
      <c r="H37" s="29">
        <v>547.65638999999999</v>
      </c>
      <c r="I37" s="29">
        <v>818.80899999999997</v>
      </c>
      <c r="J37" s="100">
        <v>8.6999999999999994E-2</v>
      </c>
      <c r="K37" s="29">
        <v>1.42</v>
      </c>
      <c r="L37" s="29">
        <v>37</v>
      </c>
      <c r="M37" s="29">
        <v>42</v>
      </c>
      <c r="N37" s="29">
        <v>21</v>
      </c>
      <c r="O37" s="29">
        <v>7</v>
      </c>
      <c r="P37" s="29">
        <v>15.429234338747101</v>
      </c>
      <c r="Q37" s="29">
        <v>1.38</v>
      </c>
      <c r="R37" s="5">
        <v>11.180604593295001</v>
      </c>
      <c r="S37" s="29">
        <v>0</v>
      </c>
      <c r="T37" s="5">
        <v>1.23</v>
      </c>
      <c r="V37" s="99">
        <v>0</v>
      </c>
      <c r="W37" s="99">
        <f t="shared" si="1"/>
        <v>0</v>
      </c>
    </row>
    <row r="38" spans="1:23" x14ac:dyDescent="0.3">
      <c r="A38" s="5" t="s">
        <v>337</v>
      </c>
      <c r="B38" s="5" t="s">
        <v>338</v>
      </c>
      <c r="C38" s="5">
        <v>2007</v>
      </c>
      <c r="D38" s="5">
        <v>121.3</v>
      </c>
      <c r="E38" s="5">
        <v>31.3</v>
      </c>
      <c r="F38" s="5">
        <v>2005</v>
      </c>
      <c r="G38" s="29">
        <v>25.840499999999999</v>
      </c>
      <c r="H38" s="29">
        <v>547.65638999999999</v>
      </c>
      <c r="I38" s="29">
        <v>818.80899999999997</v>
      </c>
      <c r="J38" s="100">
        <v>8.6999999999999994E-2</v>
      </c>
      <c r="K38" s="29">
        <v>1.42</v>
      </c>
      <c r="L38" s="29">
        <v>37</v>
      </c>
      <c r="M38" s="29">
        <v>42</v>
      </c>
      <c r="N38" s="29">
        <v>21</v>
      </c>
      <c r="O38" s="29">
        <v>7</v>
      </c>
      <c r="P38" s="29">
        <v>15.429234338747101</v>
      </c>
      <c r="Q38" s="29">
        <v>1.38</v>
      </c>
      <c r="R38" s="5">
        <v>11.180604593295001</v>
      </c>
      <c r="S38" s="29">
        <v>275</v>
      </c>
      <c r="T38" s="5">
        <v>4.01</v>
      </c>
      <c r="V38" s="99">
        <f>(T38-2.53)/S38</f>
        <v>5.3818181818181821E-3</v>
      </c>
      <c r="W38" s="99">
        <f t="shared" si="1"/>
        <v>0.53818181818181821</v>
      </c>
    </row>
    <row r="39" spans="1:23" x14ac:dyDescent="0.3">
      <c r="A39" s="5" t="s">
        <v>337</v>
      </c>
      <c r="B39" s="5" t="s">
        <v>338</v>
      </c>
      <c r="C39" s="5">
        <v>2007</v>
      </c>
      <c r="D39" s="5">
        <v>121.3</v>
      </c>
      <c r="E39" s="5">
        <v>31.3</v>
      </c>
      <c r="F39" s="5">
        <v>2005</v>
      </c>
      <c r="G39" s="29">
        <v>25.840499999999999</v>
      </c>
      <c r="H39" s="29">
        <v>547.65638999999999</v>
      </c>
      <c r="I39" s="29">
        <v>818.80899999999997</v>
      </c>
      <c r="J39" s="100">
        <v>8.6999999999999994E-2</v>
      </c>
      <c r="K39" s="29">
        <v>1.42</v>
      </c>
      <c r="L39" s="29">
        <v>37</v>
      </c>
      <c r="M39" s="29">
        <v>42</v>
      </c>
      <c r="N39" s="29">
        <v>21</v>
      </c>
      <c r="O39" s="29">
        <v>7</v>
      </c>
      <c r="P39" s="29">
        <v>15.429234338747101</v>
      </c>
      <c r="Q39" s="29">
        <v>1.38</v>
      </c>
      <c r="R39" s="5">
        <v>11.180604593295001</v>
      </c>
      <c r="S39" s="29">
        <v>234</v>
      </c>
      <c r="T39" s="5">
        <v>2.99</v>
      </c>
      <c r="V39" s="99">
        <f>(T39-2.53)/S39</f>
        <v>1.9658119658119678E-3</v>
      </c>
      <c r="W39" s="99">
        <f t="shared" si="1"/>
        <v>0.19658119658119677</v>
      </c>
    </row>
    <row r="40" spans="1:23" x14ac:dyDescent="0.3">
      <c r="A40" s="81" t="s">
        <v>337</v>
      </c>
      <c r="B40" s="81" t="s">
        <v>338</v>
      </c>
      <c r="C40" s="81">
        <v>2007</v>
      </c>
      <c r="D40" s="81">
        <v>121.3</v>
      </c>
      <c r="E40" s="81">
        <v>31.3</v>
      </c>
      <c r="F40" s="81">
        <v>2005</v>
      </c>
      <c r="G40" s="34">
        <v>25.840499999999999</v>
      </c>
      <c r="H40" s="34">
        <v>547.65638999999999</v>
      </c>
      <c r="I40" s="34">
        <v>818.80899999999997</v>
      </c>
      <c r="J40" s="101">
        <v>8.6999999999999994E-2</v>
      </c>
      <c r="K40" s="34">
        <v>1.42</v>
      </c>
      <c r="L40" s="34">
        <v>37</v>
      </c>
      <c r="M40" s="34">
        <v>42</v>
      </c>
      <c r="N40" s="34">
        <v>21</v>
      </c>
      <c r="O40" s="34">
        <v>7</v>
      </c>
      <c r="P40" s="34">
        <v>15.429234338747101</v>
      </c>
      <c r="Q40" s="34">
        <v>1.38</v>
      </c>
      <c r="R40" s="81">
        <v>11.180604593295001</v>
      </c>
      <c r="S40" s="34">
        <v>0</v>
      </c>
      <c r="T40" s="81">
        <v>2.5299999999999998</v>
      </c>
      <c r="U40" s="81"/>
      <c r="V40" s="102">
        <v>0</v>
      </c>
      <c r="W40" s="99">
        <f t="shared" si="1"/>
        <v>0</v>
      </c>
    </row>
    <row r="41" spans="1:23" x14ac:dyDescent="0.3">
      <c r="A41" s="5" t="s">
        <v>340</v>
      </c>
      <c r="B41" s="5" t="s">
        <v>341</v>
      </c>
      <c r="C41" s="5">
        <v>2010</v>
      </c>
      <c r="D41" s="5">
        <v>113.2</v>
      </c>
      <c r="E41" s="5">
        <v>28.2</v>
      </c>
      <c r="F41" s="5">
        <v>2008</v>
      </c>
      <c r="G41" s="29">
        <v>27.094799999999999</v>
      </c>
      <c r="H41" s="29">
        <v>651.85089999999991</v>
      </c>
      <c r="I41" s="29">
        <v>810.49990000000003</v>
      </c>
      <c r="J41" s="103">
        <v>0.35899999999999999</v>
      </c>
      <c r="K41" s="29">
        <v>1.07</v>
      </c>
      <c r="L41" s="29">
        <v>53</v>
      </c>
      <c r="M41" s="29">
        <v>28</v>
      </c>
      <c r="N41" s="29">
        <v>19</v>
      </c>
      <c r="O41" s="29">
        <v>5.88</v>
      </c>
      <c r="P41" s="29">
        <v>21.85034802784223</v>
      </c>
      <c r="Q41" s="29">
        <v>1.92</v>
      </c>
      <c r="R41" s="5">
        <v>11.380389597834496</v>
      </c>
      <c r="S41" s="29">
        <v>0</v>
      </c>
      <c r="T41" s="5">
        <v>3.69</v>
      </c>
      <c r="U41" s="5">
        <f>T41</f>
        <v>3.69</v>
      </c>
      <c r="V41" s="99">
        <v>0</v>
      </c>
      <c r="W41" s="99">
        <f t="shared" ref="W41:W78" si="6">V41*100</f>
        <v>0</v>
      </c>
    </row>
    <row r="42" spans="1:23" x14ac:dyDescent="0.3">
      <c r="A42" s="5" t="s">
        <v>340</v>
      </c>
      <c r="B42" s="5" t="s">
        <v>341</v>
      </c>
      <c r="C42" s="5">
        <v>2010</v>
      </c>
      <c r="D42" s="5">
        <v>113.2</v>
      </c>
      <c r="E42" s="5">
        <v>28.2</v>
      </c>
      <c r="F42" s="5">
        <v>2008</v>
      </c>
      <c r="G42" s="29">
        <v>27.094799999999999</v>
      </c>
      <c r="H42" s="29">
        <v>651.85089999999991</v>
      </c>
      <c r="I42" s="29">
        <v>810.49990000000003</v>
      </c>
      <c r="J42" s="100">
        <v>0.35899999999999999</v>
      </c>
      <c r="K42" s="29">
        <v>1.07</v>
      </c>
      <c r="L42" s="29">
        <v>53</v>
      </c>
      <c r="M42" s="29">
        <v>28</v>
      </c>
      <c r="N42" s="29">
        <v>19</v>
      </c>
      <c r="O42" s="29">
        <v>5.88</v>
      </c>
      <c r="P42" s="29">
        <v>21.85034802784223</v>
      </c>
      <c r="Q42" s="29">
        <v>1.92</v>
      </c>
      <c r="R42" s="5">
        <v>11.380389597834496</v>
      </c>
      <c r="S42" s="29">
        <v>120</v>
      </c>
      <c r="T42" s="5">
        <v>4.5251999999999999</v>
      </c>
      <c r="V42" s="99">
        <f>(T42-3.69)/S42</f>
        <v>6.9599999999999992E-3</v>
      </c>
      <c r="W42" s="99">
        <f t="shared" si="6"/>
        <v>0.69599999999999995</v>
      </c>
    </row>
    <row r="43" spans="1:23" x14ac:dyDescent="0.3">
      <c r="A43" s="5" t="s">
        <v>340</v>
      </c>
      <c r="B43" s="5" t="s">
        <v>341</v>
      </c>
      <c r="C43" s="5">
        <v>2010</v>
      </c>
      <c r="D43" s="5">
        <v>113.2</v>
      </c>
      <c r="E43" s="5">
        <v>28.2</v>
      </c>
      <c r="F43" s="5">
        <v>2008</v>
      </c>
      <c r="G43" s="29">
        <v>27.094799999999999</v>
      </c>
      <c r="H43" s="29">
        <v>651.85089999999991</v>
      </c>
      <c r="I43" s="29">
        <v>810.49990000000003</v>
      </c>
      <c r="J43" s="100">
        <v>0.35899999999999999</v>
      </c>
      <c r="K43" s="29">
        <v>1.07</v>
      </c>
      <c r="L43" s="29">
        <v>53</v>
      </c>
      <c r="M43" s="29">
        <v>28</v>
      </c>
      <c r="N43" s="29">
        <v>19</v>
      </c>
      <c r="O43" s="29">
        <v>5.88</v>
      </c>
      <c r="P43" s="29">
        <v>21.85034802784223</v>
      </c>
      <c r="Q43" s="29">
        <v>1.92</v>
      </c>
      <c r="R43" s="5">
        <v>11.380389597834496</v>
      </c>
      <c r="S43" s="29">
        <v>240</v>
      </c>
      <c r="T43" s="5">
        <v>5.2656000000000001</v>
      </c>
      <c r="V43" s="99">
        <f t="shared" ref="V43:V45" si="7">(T43-3.69)/S43</f>
        <v>6.5650000000000005E-3</v>
      </c>
      <c r="W43" s="99">
        <f t="shared" si="6"/>
        <v>0.65650000000000008</v>
      </c>
    </row>
    <row r="44" spans="1:23" x14ac:dyDescent="0.3">
      <c r="A44" s="5" t="s">
        <v>340</v>
      </c>
      <c r="B44" s="5" t="s">
        <v>341</v>
      </c>
      <c r="C44" s="5">
        <v>2010</v>
      </c>
      <c r="D44" s="5">
        <v>113.2</v>
      </c>
      <c r="E44" s="5">
        <v>28.2</v>
      </c>
      <c r="F44" s="5">
        <v>2008</v>
      </c>
      <c r="G44" s="29">
        <v>27.094799999999999</v>
      </c>
      <c r="H44" s="29">
        <v>651.85089999999991</v>
      </c>
      <c r="I44" s="29">
        <v>810.49990000000003</v>
      </c>
      <c r="J44" s="100">
        <v>0.35899999999999999</v>
      </c>
      <c r="K44" s="29">
        <v>1.07</v>
      </c>
      <c r="L44" s="29">
        <v>53</v>
      </c>
      <c r="M44" s="29">
        <v>28</v>
      </c>
      <c r="N44" s="29">
        <v>19</v>
      </c>
      <c r="O44" s="29">
        <v>5.88</v>
      </c>
      <c r="P44" s="29">
        <v>21.85034802784223</v>
      </c>
      <c r="Q44" s="29">
        <v>1.92</v>
      </c>
      <c r="R44" s="5">
        <v>11.380389597834496</v>
      </c>
      <c r="S44" s="29">
        <v>330</v>
      </c>
      <c r="T44" s="5">
        <v>6.2039999999999988</v>
      </c>
      <c r="V44" s="99">
        <f t="shared" si="7"/>
        <v>7.6181818181818147E-3</v>
      </c>
      <c r="W44" s="99">
        <f t="shared" si="6"/>
        <v>0.76181818181818151</v>
      </c>
    </row>
    <row r="45" spans="1:23" x14ac:dyDescent="0.3">
      <c r="A45" s="81" t="s">
        <v>340</v>
      </c>
      <c r="B45" s="81" t="s">
        <v>341</v>
      </c>
      <c r="C45" s="81">
        <v>2010</v>
      </c>
      <c r="D45" s="81">
        <v>113.2</v>
      </c>
      <c r="E45" s="81">
        <v>28.2</v>
      </c>
      <c r="F45" s="81">
        <v>2008</v>
      </c>
      <c r="G45" s="34">
        <v>27.094799999999999</v>
      </c>
      <c r="H45" s="34">
        <v>651.85089999999991</v>
      </c>
      <c r="I45" s="34">
        <v>810.49990000000003</v>
      </c>
      <c r="J45" s="101">
        <v>0.35899999999999999</v>
      </c>
      <c r="K45" s="34">
        <v>1.07</v>
      </c>
      <c r="L45" s="34">
        <v>53</v>
      </c>
      <c r="M45" s="34">
        <v>28</v>
      </c>
      <c r="N45" s="34">
        <v>19</v>
      </c>
      <c r="O45" s="34">
        <v>5.88</v>
      </c>
      <c r="P45" s="34">
        <v>21.85034802784223</v>
      </c>
      <c r="Q45" s="34">
        <v>1.92</v>
      </c>
      <c r="R45" s="81">
        <v>11.380389597834496</v>
      </c>
      <c r="S45" s="34">
        <v>390</v>
      </c>
      <c r="T45" s="81">
        <v>7.2930000000000001</v>
      </c>
      <c r="U45" s="81"/>
      <c r="V45" s="102">
        <f t="shared" si="7"/>
        <v>9.2384615384615391E-3</v>
      </c>
      <c r="W45" s="99">
        <f t="shared" si="6"/>
        <v>0.92384615384615387</v>
      </c>
    </row>
    <row r="46" spans="1:23" x14ac:dyDescent="0.3">
      <c r="A46" s="5" t="s">
        <v>342</v>
      </c>
      <c r="B46" s="5" t="s">
        <v>343</v>
      </c>
      <c r="C46" s="5">
        <v>2011</v>
      </c>
      <c r="D46" s="5">
        <v>113.17</v>
      </c>
      <c r="E46" s="5">
        <v>28.15</v>
      </c>
      <c r="F46" s="5">
        <v>2008</v>
      </c>
      <c r="G46" s="29">
        <v>27.232600000000001</v>
      </c>
      <c r="H46" s="29">
        <v>651.78329999999994</v>
      </c>
      <c r="I46" s="29">
        <v>805.90949999999998</v>
      </c>
      <c r="J46" s="100">
        <v>0.45</v>
      </c>
      <c r="K46" s="29">
        <v>1.07</v>
      </c>
      <c r="L46" s="29">
        <v>53</v>
      </c>
      <c r="M46" s="29">
        <v>28</v>
      </c>
      <c r="N46" s="29">
        <v>19</v>
      </c>
      <c r="O46" s="29">
        <v>6.5</v>
      </c>
      <c r="P46" s="29">
        <v>13.28</v>
      </c>
      <c r="Q46" s="29">
        <v>2.6</v>
      </c>
      <c r="R46" s="5">
        <v>5.1076923076923073</v>
      </c>
      <c r="S46" s="29">
        <v>0</v>
      </c>
      <c r="T46" s="5">
        <v>2.0499999999999998</v>
      </c>
      <c r="U46" s="5">
        <f>T46</f>
        <v>2.0499999999999998</v>
      </c>
      <c r="V46" s="99">
        <v>0</v>
      </c>
      <c r="W46" s="99">
        <f t="shared" si="6"/>
        <v>0</v>
      </c>
    </row>
    <row r="47" spans="1:23" x14ac:dyDescent="0.3">
      <c r="A47" s="5" t="s">
        <v>342</v>
      </c>
      <c r="B47" s="5" t="s">
        <v>343</v>
      </c>
      <c r="C47" s="5">
        <v>2011</v>
      </c>
      <c r="D47" s="5">
        <v>113.17</v>
      </c>
      <c r="E47" s="5">
        <v>28.15</v>
      </c>
      <c r="F47" s="5">
        <v>2008</v>
      </c>
      <c r="G47" s="29">
        <v>27.232600000000001</v>
      </c>
      <c r="H47" s="29">
        <v>651.78329999999994</v>
      </c>
      <c r="I47" s="29">
        <v>805.90949999999998</v>
      </c>
      <c r="J47" s="100">
        <v>0.45</v>
      </c>
      <c r="K47" s="29">
        <v>1.07</v>
      </c>
      <c r="L47" s="29">
        <v>53</v>
      </c>
      <c r="M47" s="29">
        <v>28</v>
      </c>
      <c r="N47" s="29">
        <v>19</v>
      </c>
      <c r="O47" s="29">
        <v>6.5</v>
      </c>
      <c r="P47" s="29">
        <v>13.28</v>
      </c>
      <c r="Q47" s="29">
        <v>2.6</v>
      </c>
      <c r="R47" s="5">
        <v>5.1076923076923073</v>
      </c>
      <c r="S47" s="29">
        <v>75</v>
      </c>
      <c r="T47" s="5">
        <v>5.89</v>
      </c>
      <c r="V47" s="99">
        <f>(T47-2.05)/S47</f>
        <v>5.1199999999999996E-2</v>
      </c>
      <c r="W47" s="99">
        <f t="shared" si="6"/>
        <v>5.1199999999999992</v>
      </c>
    </row>
    <row r="48" spans="1:23" x14ac:dyDescent="0.3">
      <c r="A48" s="5" t="s">
        <v>342</v>
      </c>
      <c r="B48" s="5" t="s">
        <v>343</v>
      </c>
      <c r="C48" s="5">
        <v>2011</v>
      </c>
      <c r="D48" s="5">
        <v>113.17</v>
      </c>
      <c r="E48" s="5">
        <v>28.15</v>
      </c>
      <c r="F48" s="5">
        <v>2008</v>
      </c>
      <c r="G48" s="29">
        <v>27.232600000000001</v>
      </c>
      <c r="H48" s="29">
        <v>651.78329999999994</v>
      </c>
      <c r="I48" s="29">
        <v>805.90949999999998</v>
      </c>
      <c r="J48" s="100">
        <v>0.45</v>
      </c>
      <c r="K48" s="29">
        <v>1.07</v>
      </c>
      <c r="L48" s="29">
        <v>53</v>
      </c>
      <c r="M48" s="29">
        <v>28</v>
      </c>
      <c r="N48" s="29">
        <v>19</v>
      </c>
      <c r="O48" s="29">
        <v>6.5</v>
      </c>
      <c r="P48" s="29">
        <v>13.28</v>
      </c>
      <c r="Q48" s="29">
        <v>2.6</v>
      </c>
      <c r="R48" s="5">
        <v>5.1076923076923073</v>
      </c>
      <c r="S48" s="29">
        <v>112.5</v>
      </c>
      <c r="T48" s="5">
        <v>7.1</v>
      </c>
      <c r="V48" s="99">
        <f t="shared" ref="V48:V51" si="8">(T48-2.05)/S48</f>
        <v>4.4888888888888888E-2</v>
      </c>
      <c r="W48" s="99">
        <f t="shared" si="6"/>
        <v>4.4888888888888889</v>
      </c>
    </row>
    <row r="49" spans="1:23" x14ac:dyDescent="0.3">
      <c r="A49" s="5" t="s">
        <v>342</v>
      </c>
      <c r="B49" s="5" t="s">
        <v>343</v>
      </c>
      <c r="C49" s="5">
        <v>2011</v>
      </c>
      <c r="D49" s="5">
        <v>113.17</v>
      </c>
      <c r="E49" s="5">
        <v>28.15</v>
      </c>
      <c r="F49" s="5">
        <v>2008</v>
      </c>
      <c r="G49" s="29">
        <v>27.232600000000001</v>
      </c>
      <c r="H49" s="29">
        <v>651.78329999999994</v>
      </c>
      <c r="I49" s="29">
        <v>805.90949999999998</v>
      </c>
      <c r="J49" s="100">
        <v>0.45</v>
      </c>
      <c r="K49" s="29">
        <v>1.07</v>
      </c>
      <c r="L49" s="29">
        <v>53</v>
      </c>
      <c r="M49" s="29">
        <v>28</v>
      </c>
      <c r="N49" s="29">
        <v>19</v>
      </c>
      <c r="O49" s="29">
        <v>6.5</v>
      </c>
      <c r="P49" s="29">
        <v>13.28</v>
      </c>
      <c r="Q49" s="29">
        <v>2.6</v>
      </c>
      <c r="R49" s="5">
        <v>5.1076923076923073</v>
      </c>
      <c r="S49" s="29">
        <v>150</v>
      </c>
      <c r="T49" s="5">
        <v>10.87</v>
      </c>
      <c r="V49" s="99">
        <f t="shared" si="8"/>
        <v>5.8800000000000005E-2</v>
      </c>
      <c r="W49" s="99">
        <f t="shared" si="6"/>
        <v>5.8800000000000008</v>
      </c>
    </row>
    <row r="50" spans="1:23" x14ac:dyDescent="0.3">
      <c r="A50" s="5" t="s">
        <v>342</v>
      </c>
      <c r="B50" s="5" t="s">
        <v>343</v>
      </c>
      <c r="C50" s="5">
        <v>2011</v>
      </c>
      <c r="D50" s="5">
        <v>113.17</v>
      </c>
      <c r="E50" s="5">
        <v>28.15</v>
      </c>
      <c r="F50" s="5">
        <v>2008</v>
      </c>
      <c r="G50" s="29">
        <v>27.232600000000001</v>
      </c>
      <c r="H50" s="29">
        <v>651.78329999999994</v>
      </c>
      <c r="I50" s="29">
        <v>805.90949999999998</v>
      </c>
      <c r="J50" s="100">
        <v>0.45</v>
      </c>
      <c r="K50" s="29">
        <v>1.07</v>
      </c>
      <c r="L50" s="29">
        <v>53</v>
      </c>
      <c r="M50" s="29">
        <v>28</v>
      </c>
      <c r="N50" s="29">
        <v>19</v>
      </c>
      <c r="O50" s="29">
        <v>6.5</v>
      </c>
      <c r="P50" s="29">
        <v>13.28</v>
      </c>
      <c r="Q50" s="29">
        <v>2.6</v>
      </c>
      <c r="R50" s="5">
        <v>5.1076923076923073</v>
      </c>
      <c r="S50" s="29">
        <v>225</v>
      </c>
      <c r="T50" s="5">
        <v>11.91</v>
      </c>
      <c r="V50" s="99">
        <f t="shared" si="8"/>
        <v>4.3822222222222221E-2</v>
      </c>
      <c r="W50" s="99">
        <f t="shared" si="6"/>
        <v>4.3822222222222225</v>
      </c>
    </row>
    <row r="51" spans="1:23" x14ac:dyDescent="0.3">
      <c r="A51" s="81" t="s">
        <v>342</v>
      </c>
      <c r="B51" s="81" t="s">
        <v>343</v>
      </c>
      <c r="C51" s="81">
        <v>2011</v>
      </c>
      <c r="D51" s="81">
        <v>113.17</v>
      </c>
      <c r="E51" s="81">
        <v>28.15</v>
      </c>
      <c r="F51" s="81">
        <v>2008</v>
      </c>
      <c r="G51" s="34">
        <v>27.232600000000001</v>
      </c>
      <c r="H51" s="34">
        <v>651.78329999999994</v>
      </c>
      <c r="I51" s="34">
        <v>805.90949999999998</v>
      </c>
      <c r="J51" s="101">
        <v>0.45</v>
      </c>
      <c r="K51" s="34">
        <v>1.07</v>
      </c>
      <c r="L51" s="34">
        <v>53</v>
      </c>
      <c r="M51" s="34">
        <v>28</v>
      </c>
      <c r="N51" s="34">
        <v>19</v>
      </c>
      <c r="O51" s="34">
        <v>6.5</v>
      </c>
      <c r="P51" s="34">
        <v>13.28</v>
      </c>
      <c r="Q51" s="34">
        <v>2.6</v>
      </c>
      <c r="R51" s="81">
        <v>5.1076923076923073</v>
      </c>
      <c r="S51" s="34">
        <v>300</v>
      </c>
      <c r="T51" s="81">
        <v>14.8</v>
      </c>
      <c r="U51" s="81"/>
      <c r="V51" s="102">
        <f t="shared" si="8"/>
        <v>4.2500000000000003E-2</v>
      </c>
      <c r="W51" s="99">
        <f t="shared" si="6"/>
        <v>4.25</v>
      </c>
    </row>
    <row r="52" spans="1:23" x14ac:dyDescent="0.3">
      <c r="A52" s="5" t="s">
        <v>344</v>
      </c>
      <c r="B52" s="5" t="s">
        <v>345</v>
      </c>
      <c r="C52" s="5">
        <v>2012</v>
      </c>
      <c r="D52" s="5">
        <v>132.83000000000001</v>
      </c>
      <c r="E52" s="5">
        <v>45.37</v>
      </c>
      <c r="F52" s="5">
        <v>2009</v>
      </c>
      <c r="G52" s="29">
        <v>15.588669166666667</v>
      </c>
      <c r="H52" s="29">
        <v>483.84481</v>
      </c>
      <c r="I52" s="29">
        <v>1023.9512000000001</v>
      </c>
      <c r="J52" s="100">
        <v>0.06</v>
      </c>
      <c r="K52" s="29">
        <v>1.1100000000000001</v>
      </c>
      <c r="L52" s="29">
        <v>31</v>
      </c>
      <c r="M52" s="29">
        <v>41</v>
      </c>
      <c r="N52" s="29">
        <v>28</v>
      </c>
      <c r="O52" s="29">
        <v>6.92</v>
      </c>
      <c r="P52" s="29">
        <v>35.498839907192576</v>
      </c>
      <c r="Q52" s="29">
        <v>4.5999999999999996</v>
      </c>
      <c r="R52" s="5">
        <v>7.7171391102592564</v>
      </c>
      <c r="S52" s="29">
        <v>0</v>
      </c>
      <c r="T52" s="5">
        <v>1.224</v>
      </c>
      <c r="U52" s="5">
        <f>T52</f>
        <v>1.224</v>
      </c>
      <c r="V52" s="99">
        <v>0</v>
      </c>
      <c r="W52" s="99">
        <f t="shared" si="6"/>
        <v>0</v>
      </c>
    </row>
    <row r="53" spans="1:23" x14ac:dyDescent="0.3">
      <c r="A53" s="5" t="s">
        <v>344</v>
      </c>
      <c r="B53" s="5" t="s">
        <v>345</v>
      </c>
      <c r="C53" s="5">
        <v>2012</v>
      </c>
      <c r="D53" s="5">
        <v>132.83000000000001</v>
      </c>
      <c r="E53" s="5">
        <v>45.37</v>
      </c>
      <c r="F53" s="5">
        <v>2009</v>
      </c>
      <c r="G53" s="29">
        <v>15.588669166666667</v>
      </c>
      <c r="H53" s="29">
        <v>483.84481</v>
      </c>
      <c r="I53" s="29">
        <v>1023.9512000000001</v>
      </c>
      <c r="J53" s="100">
        <v>0.06</v>
      </c>
      <c r="K53" s="29">
        <v>1.1100000000000001</v>
      </c>
      <c r="L53" s="29">
        <v>31</v>
      </c>
      <c r="M53" s="29">
        <v>41</v>
      </c>
      <c r="N53" s="29">
        <v>28</v>
      </c>
      <c r="O53" s="29">
        <v>6.92</v>
      </c>
      <c r="P53" s="29">
        <v>35.498839907192576</v>
      </c>
      <c r="Q53" s="29">
        <v>4.5999999999999996</v>
      </c>
      <c r="R53" s="5">
        <v>7.7171391102592564</v>
      </c>
      <c r="S53" s="29">
        <v>224.55</v>
      </c>
      <c r="T53" s="5">
        <v>1.9390000000000001</v>
      </c>
      <c r="V53" s="99">
        <f>(T53-1.224)/S53</f>
        <v>3.184146069917613E-3</v>
      </c>
      <c r="W53" s="99">
        <f t="shared" si="6"/>
        <v>0.31841460699176133</v>
      </c>
    </row>
    <row r="54" spans="1:23" x14ac:dyDescent="0.3">
      <c r="A54" s="5" t="s">
        <v>344</v>
      </c>
      <c r="B54" s="5" t="s">
        <v>345</v>
      </c>
      <c r="C54" s="5">
        <v>2012</v>
      </c>
      <c r="D54" s="5">
        <v>132.83000000000001</v>
      </c>
      <c r="E54" s="5">
        <v>45.37</v>
      </c>
      <c r="F54" s="5">
        <v>2009</v>
      </c>
      <c r="G54" s="29">
        <v>15.588669166666667</v>
      </c>
      <c r="H54" s="29">
        <v>483.84481</v>
      </c>
      <c r="I54" s="29">
        <v>1023.9512000000001</v>
      </c>
      <c r="J54" s="100">
        <v>0.06</v>
      </c>
      <c r="K54" s="29">
        <v>1.1100000000000001</v>
      </c>
      <c r="L54" s="29">
        <v>31</v>
      </c>
      <c r="M54" s="29">
        <v>41</v>
      </c>
      <c r="N54" s="29">
        <v>28</v>
      </c>
      <c r="O54" s="29">
        <v>6.92</v>
      </c>
      <c r="P54" s="29">
        <v>35.498839907192576</v>
      </c>
      <c r="Q54" s="29">
        <v>4.5999999999999996</v>
      </c>
      <c r="R54" s="5">
        <v>7.7171391102592564</v>
      </c>
      <c r="S54" s="29">
        <v>224.55</v>
      </c>
      <c r="T54" s="5">
        <v>2.2629999999999999</v>
      </c>
      <c r="V54" s="99">
        <f t="shared" ref="V54:V57" si="9">(T54-1.224)/S54</f>
        <v>4.6270318414606982E-3</v>
      </c>
      <c r="W54" s="99">
        <f t="shared" si="6"/>
        <v>0.46270318414606981</v>
      </c>
    </row>
    <row r="55" spans="1:23" x14ac:dyDescent="0.3">
      <c r="A55" s="5" t="s">
        <v>344</v>
      </c>
      <c r="B55" s="5" t="s">
        <v>345</v>
      </c>
      <c r="C55" s="5">
        <v>2012</v>
      </c>
      <c r="D55" s="5">
        <v>132.83000000000001</v>
      </c>
      <c r="E55" s="5">
        <v>45.37</v>
      </c>
      <c r="F55" s="5">
        <v>2009</v>
      </c>
      <c r="G55" s="29">
        <v>15.588669166666667</v>
      </c>
      <c r="H55" s="29">
        <v>483.84481</v>
      </c>
      <c r="I55" s="29">
        <v>1023.9512000000001</v>
      </c>
      <c r="J55" s="100">
        <v>0.06</v>
      </c>
      <c r="K55" s="29">
        <v>1.1100000000000001</v>
      </c>
      <c r="L55" s="29">
        <v>31</v>
      </c>
      <c r="M55" s="29">
        <v>41</v>
      </c>
      <c r="N55" s="29">
        <v>28</v>
      </c>
      <c r="O55" s="29">
        <v>6.92</v>
      </c>
      <c r="P55" s="29">
        <v>35.498839907192576</v>
      </c>
      <c r="Q55" s="29">
        <v>4.5999999999999996</v>
      </c>
      <c r="R55" s="5">
        <v>7.7171391102592564</v>
      </c>
      <c r="S55" s="29">
        <v>179.7</v>
      </c>
      <c r="T55" s="5">
        <v>1.3620000000000001</v>
      </c>
      <c r="V55" s="99">
        <f t="shared" si="9"/>
        <v>7.6794657762938306E-4</v>
      </c>
      <c r="W55" s="99">
        <f t="shared" si="6"/>
        <v>7.6794657762938312E-2</v>
      </c>
    </row>
    <row r="56" spans="1:23" x14ac:dyDescent="0.3">
      <c r="A56" s="5" t="s">
        <v>344</v>
      </c>
      <c r="B56" s="5" t="s">
        <v>345</v>
      </c>
      <c r="C56" s="5">
        <v>2012</v>
      </c>
      <c r="D56" s="5">
        <v>132.83000000000001</v>
      </c>
      <c r="E56" s="5">
        <v>45.37</v>
      </c>
      <c r="F56" s="5">
        <v>2009</v>
      </c>
      <c r="G56" s="29">
        <v>15.588669166666667</v>
      </c>
      <c r="H56" s="29">
        <v>483.84481</v>
      </c>
      <c r="I56" s="29">
        <v>1023.9512000000001</v>
      </c>
      <c r="J56" s="100">
        <v>0.06</v>
      </c>
      <c r="K56" s="29">
        <v>1.1100000000000001</v>
      </c>
      <c r="L56" s="29">
        <v>31</v>
      </c>
      <c r="M56" s="29">
        <v>41</v>
      </c>
      <c r="N56" s="29">
        <v>28</v>
      </c>
      <c r="O56" s="29">
        <v>6.92</v>
      </c>
      <c r="P56" s="29">
        <v>35.498839907192576</v>
      </c>
      <c r="Q56" s="29">
        <v>4.5999999999999996</v>
      </c>
      <c r="R56" s="5">
        <v>7.7171391102592564</v>
      </c>
      <c r="S56" s="29">
        <v>224.55</v>
      </c>
      <c r="T56" s="5">
        <v>1.49</v>
      </c>
      <c r="V56" s="99">
        <f t="shared" si="9"/>
        <v>1.1845914050322868E-3</v>
      </c>
      <c r="W56" s="99">
        <f t="shared" si="6"/>
        <v>0.11845914050322869</v>
      </c>
    </row>
    <row r="57" spans="1:23" x14ac:dyDescent="0.3">
      <c r="A57" s="81" t="s">
        <v>344</v>
      </c>
      <c r="B57" s="81" t="s">
        <v>345</v>
      </c>
      <c r="C57" s="81">
        <v>2012</v>
      </c>
      <c r="D57" s="81">
        <v>132.83000000000001</v>
      </c>
      <c r="E57" s="81">
        <v>45.37</v>
      </c>
      <c r="F57" s="81">
        <v>2009</v>
      </c>
      <c r="G57" s="34">
        <v>15.588669166666667</v>
      </c>
      <c r="H57" s="34">
        <v>483.84481</v>
      </c>
      <c r="I57" s="34">
        <v>1023.9512000000001</v>
      </c>
      <c r="J57" s="101">
        <v>0.06</v>
      </c>
      <c r="K57" s="34">
        <v>1.1100000000000001</v>
      </c>
      <c r="L57" s="34">
        <v>31</v>
      </c>
      <c r="M57" s="34">
        <v>41</v>
      </c>
      <c r="N57" s="34">
        <v>28</v>
      </c>
      <c r="O57" s="34">
        <v>6.92</v>
      </c>
      <c r="P57" s="34">
        <v>35.498839907192576</v>
      </c>
      <c r="Q57" s="34">
        <v>4.5999999999999996</v>
      </c>
      <c r="R57" s="81">
        <v>7.7171391102592564</v>
      </c>
      <c r="S57" s="34">
        <v>179.7</v>
      </c>
      <c r="T57" s="81">
        <v>1.1499999999999999</v>
      </c>
      <c r="U57" s="81"/>
      <c r="V57" s="102">
        <f t="shared" si="9"/>
        <v>-4.1179744017807497E-4</v>
      </c>
      <c r="W57" s="99">
        <f t="shared" si="6"/>
        <v>-4.1179744017807496E-2</v>
      </c>
    </row>
    <row r="58" spans="1:23" x14ac:dyDescent="0.3">
      <c r="A58" s="5" t="s">
        <v>346</v>
      </c>
      <c r="B58" s="5" t="s">
        <v>339</v>
      </c>
      <c r="C58" s="5">
        <v>2004</v>
      </c>
      <c r="D58" s="5">
        <v>120.7</v>
      </c>
      <c r="E58" s="5">
        <v>31.6</v>
      </c>
      <c r="F58" s="5">
        <v>2001</v>
      </c>
      <c r="G58" s="29">
        <v>25.972500000000004</v>
      </c>
      <c r="H58" s="29">
        <v>636.9215999999999</v>
      </c>
      <c r="I58" s="29">
        <v>965.3171000000001</v>
      </c>
      <c r="J58" s="100">
        <v>3.6499999999999998E-2</v>
      </c>
      <c r="K58" s="29">
        <v>1.52</v>
      </c>
      <c r="L58" s="29">
        <v>36</v>
      </c>
      <c r="M58" s="29">
        <v>43</v>
      </c>
      <c r="N58" s="29">
        <v>21</v>
      </c>
      <c r="O58" s="29">
        <v>7.36</v>
      </c>
      <c r="P58" s="29">
        <v>20</v>
      </c>
      <c r="Q58" s="29">
        <v>1.79</v>
      </c>
      <c r="R58" s="5">
        <v>11.173184357541899</v>
      </c>
      <c r="S58" s="29">
        <v>0</v>
      </c>
      <c r="T58" s="5">
        <v>1.87</v>
      </c>
      <c r="U58" s="5">
        <f>T58</f>
        <v>1.87</v>
      </c>
      <c r="V58" s="99">
        <v>0</v>
      </c>
      <c r="W58" s="99">
        <f t="shared" si="6"/>
        <v>0</v>
      </c>
    </row>
    <row r="59" spans="1:23" x14ac:dyDescent="0.3">
      <c r="A59" s="5" t="s">
        <v>346</v>
      </c>
      <c r="B59" s="5" t="s">
        <v>339</v>
      </c>
      <c r="C59" s="5">
        <v>2004</v>
      </c>
      <c r="D59" s="5">
        <v>120.7</v>
      </c>
      <c r="E59" s="5">
        <v>31.6</v>
      </c>
      <c r="F59" s="5">
        <v>2001</v>
      </c>
      <c r="G59" s="29">
        <v>25.972500000000004</v>
      </c>
      <c r="H59" s="29">
        <v>636.9215999999999</v>
      </c>
      <c r="I59" s="29">
        <v>965.3171000000001</v>
      </c>
      <c r="J59" s="100">
        <v>3.6499999999999998E-2</v>
      </c>
      <c r="K59" s="29">
        <v>1.52</v>
      </c>
      <c r="L59" s="29">
        <v>36</v>
      </c>
      <c r="M59" s="29">
        <v>43</v>
      </c>
      <c r="N59" s="29">
        <v>21</v>
      </c>
      <c r="O59" s="29">
        <v>7.36</v>
      </c>
      <c r="P59" s="29">
        <v>20</v>
      </c>
      <c r="Q59" s="29">
        <v>1.79</v>
      </c>
      <c r="R59" s="5">
        <v>11.173184357541899</v>
      </c>
      <c r="S59" s="29">
        <v>100</v>
      </c>
      <c r="T59" s="5">
        <v>2.56</v>
      </c>
      <c r="V59" s="99">
        <f>(T59-1.87)/S59</f>
        <v>6.8999999999999999E-3</v>
      </c>
      <c r="W59" s="99">
        <f t="shared" si="6"/>
        <v>0.69</v>
      </c>
    </row>
    <row r="60" spans="1:23" x14ac:dyDescent="0.3">
      <c r="A60" s="5" t="s">
        <v>346</v>
      </c>
      <c r="B60" s="5" t="s">
        <v>339</v>
      </c>
      <c r="C60" s="5">
        <v>2004</v>
      </c>
      <c r="D60" s="5">
        <v>120.7</v>
      </c>
      <c r="E60" s="5">
        <v>31.6</v>
      </c>
      <c r="F60" s="5">
        <v>2001</v>
      </c>
      <c r="G60" s="29">
        <v>25.972500000000004</v>
      </c>
      <c r="H60" s="29">
        <v>636.9215999999999</v>
      </c>
      <c r="I60" s="29">
        <v>965.3171000000001</v>
      </c>
      <c r="J60" s="100">
        <v>3.6499999999999998E-2</v>
      </c>
      <c r="K60" s="29">
        <v>1.52</v>
      </c>
      <c r="L60" s="29">
        <v>36</v>
      </c>
      <c r="M60" s="29">
        <v>43</v>
      </c>
      <c r="N60" s="29">
        <v>21</v>
      </c>
      <c r="O60" s="29">
        <v>7.36</v>
      </c>
      <c r="P60" s="29">
        <v>20</v>
      </c>
      <c r="Q60" s="29">
        <v>1.79</v>
      </c>
      <c r="R60" s="5">
        <v>11.173184357541899</v>
      </c>
      <c r="S60" s="29">
        <v>150</v>
      </c>
      <c r="T60" s="5">
        <v>3.43</v>
      </c>
      <c r="V60" s="99">
        <f t="shared" ref="V60:V62" si="10">(T60-1.87)/S60</f>
        <v>1.04E-2</v>
      </c>
      <c r="W60" s="99">
        <f t="shared" si="6"/>
        <v>1.04</v>
      </c>
    </row>
    <row r="61" spans="1:23" x14ac:dyDescent="0.3">
      <c r="A61" s="5" t="s">
        <v>346</v>
      </c>
      <c r="B61" s="5" t="s">
        <v>339</v>
      </c>
      <c r="C61" s="5">
        <v>2004</v>
      </c>
      <c r="D61" s="5">
        <v>120.7</v>
      </c>
      <c r="E61" s="5">
        <v>31.6</v>
      </c>
      <c r="F61" s="5">
        <v>2001</v>
      </c>
      <c r="G61" s="29">
        <v>25.972500000000004</v>
      </c>
      <c r="H61" s="29">
        <v>636.9215999999999</v>
      </c>
      <c r="I61" s="29">
        <v>965.3171000000001</v>
      </c>
      <c r="J61" s="100">
        <v>3.6499999999999998E-2</v>
      </c>
      <c r="K61" s="29">
        <v>1.52</v>
      </c>
      <c r="L61" s="29">
        <v>36</v>
      </c>
      <c r="M61" s="29">
        <v>43</v>
      </c>
      <c r="N61" s="29">
        <v>21</v>
      </c>
      <c r="O61" s="29">
        <v>7.36</v>
      </c>
      <c r="P61" s="29">
        <v>20</v>
      </c>
      <c r="Q61" s="29">
        <v>1.79</v>
      </c>
      <c r="R61" s="5">
        <v>11.173184357541899</v>
      </c>
      <c r="S61" s="29">
        <v>150</v>
      </c>
      <c r="T61" s="5">
        <v>12.01</v>
      </c>
      <c r="V61" s="99">
        <f t="shared" si="10"/>
        <v>6.7600000000000007E-2</v>
      </c>
      <c r="W61" s="99">
        <f t="shared" si="6"/>
        <v>6.7600000000000007</v>
      </c>
    </row>
    <row r="62" spans="1:23" x14ac:dyDescent="0.3">
      <c r="A62" s="81" t="s">
        <v>346</v>
      </c>
      <c r="B62" s="81" t="s">
        <v>339</v>
      </c>
      <c r="C62" s="81">
        <v>2004</v>
      </c>
      <c r="D62" s="81">
        <v>120.7</v>
      </c>
      <c r="E62" s="81">
        <v>31.6</v>
      </c>
      <c r="F62" s="81">
        <v>2001</v>
      </c>
      <c r="G62" s="34">
        <v>25.972500000000004</v>
      </c>
      <c r="H62" s="34">
        <v>636.9215999999999</v>
      </c>
      <c r="I62" s="34">
        <v>965.3171000000001</v>
      </c>
      <c r="J62" s="101">
        <v>3.6499999999999998E-2</v>
      </c>
      <c r="K62" s="34">
        <v>1.52</v>
      </c>
      <c r="L62" s="34">
        <v>36</v>
      </c>
      <c r="M62" s="34">
        <v>43</v>
      </c>
      <c r="N62" s="34">
        <v>21</v>
      </c>
      <c r="O62" s="34">
        <v>7.36</v>
      </c>
      <c r="P62" s="34">
        <v>20</v>
      </c>
      <c r="Q62" s="34">
        <v>1.79</v>
      </c>
      <c r="R62" s="81">
        <v>11.173184357541899</v>
      </c>
      <c r="S62" s="34">
        <v>300</v>
      </c>
      <c r="T62" s="81">
        <v>18.86</v>
      </c>
      <c r="U62" s="81"/>
      <c r="V62" s="102">
        <f t="shared" si="10"/>
        <v>5.6633333333333327E-2</v>
      </c>
      <c r="W62" s="99">
        <f t="shared" si="6"/>
        <v>5.6633333333333331</v>
      </c>
    </row>
    <row r="63" spans="1:23" x14ac:dyDescent="0.3">
      <c r="A63" s="5" t="s">
        <v>347</v>
      </c>
      <c r="B63" s="5" t="s">
        <v>348</v>
      </c>
      <c r="C63" s="5">
        <v>2011</v>
      </c>
      <c r="D63" s="5">
        <v>119.1</v>
      </c>
      <c r="E63" s="5">
        <v>26.2</v>
      </c>
      <c r="F63" s="5">
        <v>2010</v>
      </c>
      <c r="G63" s="29">
        <v>18.054200000000002</v>
      </c>
      <c r="H63" s="29">
        <v>418</v>
      </c>
      <c r="I63" s="29">
        <v>336.30020000000002</v>
      </c>
      <c r="J63" s="100">
        <v>8.6300000000000008</v>
      </c>
      <c r="K63" s="29">
        <v>1.4</v>
      </c>
      <c r="L63" s="29">
        <v>38</v>
      </c>
      <c r="M63" s="29">
        <v>37</v>
      </c>
      <c r="N63" s="29">
        <v>25</v>
      </c>
      <c r="O63" s="29">
        <v>6.19</v>
      </c>
      <c r="P63" s="29">
        <v>14.013921113689095</v>
      </c>
      <c r="Q63" s="29">
        <v>1.66</v>
      </c>
      <c r="R63" s="5">
        <v>8.4421211528247575</v>
      </c>
      <c r="S63" s="29">
        <v>0</v>
      </c>
      <c r="T63" s="5">
        <v>2.1378000000000004</v>
      </c>
      <c r="U63" s="5">
        <f>AVERAGE(T63,T69)</f>
        <v>1.9989000000000003</v>
      </c>
      <c r="V63" s="99">
        <v>0</v>
      </c>
      <c r="W63" s="99">
        <f t="shared" si="6"/>
        <v>0</v>
      </c>
    </row>
    <row r="64" spans="1:23" x14ac:dyDescent="0.3">
      <c r="A64" s="5" t="s">
        <v>347</v>
      </c>
      <c r="B64" s="5" t="s">
        <v>348</v>
      </c>
      <c r="C64" s="5">
        <v>2011</v>
      </c>
      <c r="D64" s="5">
        <v>119.1</v>
      </c>
      <c r="E64" s="5">
        <v>26.2</v>
      </c>
      <c r="F64" s="5">
        <v>2010</v>
      </c>
      <c r="G64" s="29">
        <v>21.805412500000003</v>
      </c>
      <c r="H64" s="29">
        <v>418</v>
      </c>
      <c r="I64" s="29">
        <v>336.30020000000002</v>
      </c>
      <c r="J64" s="100">
        <v>8.6300000000000008</v>
      </c>
      <c r="K64" s="29">
        <v>1.4</v>
      </c>
      <c r="L64" s="29">
        <v>38</v>
      </c>
      <c r="M64" s="29">
        <v>37</v>
      </c>
      <c r="N64" s="29">
        <v>25</v>
      </c>
      <c r="O64" s="29">
        <v>6.19</v>
      </c>
      <c r="P64" s="29">
        <v>14.013921113689095</v>
      </c>
      <c r="Q64" s="29">
        <v>1.66</v>
      </c>
      <c r="R64" s="5">
        <v>8.4421211528247575</v>
      </c>
      <c r="S64" s="29">
        <v>136.5</v>
      </c>
      <c r="T64" s="5">
        <v>2.9350499999999999</v>
      </c>
      <c r="V64" s="99">
        <f>(T64-2.1378)/S64</f>
        <v>5.8406593406593408E-3</v>
      </c>
      <c r="W64" s="99">
        <f t="shared" si="6"/>
        <v>0.5840659340659341</v>
      </c>
    </row>
    <row r="65" spans="1:23" x14ac:dyDescent="0.3">
      <c r="A65" s="5" t="s">
        <v>347</v>
      </c>
      <c r="B65" s="5" t="s">
        <v>348</v>
      </c>
      <c r="C65" s="5">
        <v>2011</v>
      </c>
      <c r="D65" s="5">
        <v>119.1</v>
      </c>
      <c r="E65" s="5">
        <v>26.2</v>
      </c>
      <c r="F65" s="5">
        <v>2010</v>
      </c>
      <c r="G65" s="29">
        <v>21.805412500000003</v>
      </c>
      <c r="H65" s="29">
        <v>418</v>
      </c>
      <c r="I65" s="29">
        <v>336.30020000000002</v>
      </c>
      <c r="J65" s="100">
        <v>8.6300000000000008</v>
      </c>
      <c r="K65" s="29">
        <v>1.4</v>
      </c>
      <c r="L65" s="29">
        <v>38</v>
      </c>
      <c r="M65" s="29">
        <v>37</v>
      </c>
      <c r="N65" s="29">
        <v>25</v>
      </c>
      <c r="O65" s="29">
        <v>6.19</v>
      </c>
      <c r="P65" s="29">
        <v>14.013921113689095</v>
      </c>
      <c r="Q65" s="29">
        <v>1.66</v>
      </c>
      <c r="R65" s="5">
        <v>8.4421211528247575</v>
      </c>
      <c r="S65" s="29">
        <v>120</v>
      </c>
      <c r="T65" s="5">
        <v>2.7100499999999998</v>
      </c>
      <c r="V65" s="99">
        <f t="shared" ref="V65:V68" si="11">(T65-2.1378)/S65</f>
        <v>4.7687499999999996E-3</v>
      </c>
      <c r="W65" s="99">
        <f t="shared" si="6"/>
        <v>0.47687499999999994</v>
      </c>
    </row>
    <row r="66" spans="1:23" x14ac:dyDescent="0.3">
      <c r="A66" s="5" t="s">
        <v>347</v>
      </c>
      <c r="B66" s="5" t="s">
        <v>348</v>
      </c>
      <c r="C66" s="5">
        <v>2011</v>
      </c>
      <c r="D66" s="5">
        <v>119.1</v>
      </c>
      <c r="E66" s="5">
        <v>26.2</v>
      </c>
      <c r="F66" s="5">
        <v>2010</v>
      </c>
      <c r="G66" s="29">
        <v>21.805412500000003</v>
      </c>
      <c r="H66" s="29">
        <v>418</v>
      </c>
      <c r="I66" s="29">
        <v>336.30020000000002</v>
      </c>
      <c r="J66" s="100">
        <v>8.6300000000000008</v>
      </c>
      <c r="K66" s="29">
        <v>1.4</v>
      </c>
      <c r="L66" s="29">
        <v>38</v>
      </c>
      <c r="M66" s="29">
        <v>37</v>
      </c>
      <c r="N66" s="29">
        <v>25</v>
      </c>
      <c r="O66" s="29">
        <v>6.19</v>
      </c>
      <c r="P66" s="29">
        <v>14.013921113689095</v>
      </c>
      <c r="Q66" s="29">
        <v>1.66</v>
      </c>
      <c r="R66" s="5">
        <v>8.4421211528247575</v>
      </c>
      <c r="S66" s="29">
        <v>180</v>
      </c>
      <c r="T66" s="5">
        <v>4.1008499999999994</v>
      </c>
      <c r="V66" s="99">
        <f t="shared" si="11"/>
        <v>1.090583333333333E-2</v>
      </c>
      <c r="W66" s="99">
        <f t="shared" si="6"/>
        <v>1.090583333333333</v>
      </c>
    </row>
    <row r="67" spans="1:23" x14ac:dyDescent="0.3">
      <c r="A67" s="5" t="s">
        <v>347</v>
      </c>
      <c r="B67" s="5" t="s">
        <v>348</v>
      </c>
      <c r="C67" s="5">
        <v>2011</v>
      </c>
      <c r="D67" s="5">
        <v>119.1</v>
      </c>
      <c r="E67" s="5">
        <v>26.2</v>
      </c>
      <c r="F67" s="5">
        <v>2010</v>
      </c>
      <c r="G67" s="29">
        <v>21.805412500000003</v>
      </c>
      <c r="H67" s="29">
        <v>418</v>
      </c>
      <c r="I67" s="29">
        <v>336.30020000000002</v>
      </c>
      <c r="J67" s="100">
        <v>8.6300000000000008</v>
      </c>
      <c r="K67" s="29">
        <v>1.4</v>
      </c>
      <c r="L67" s="29">
        <v>38</v>
      </c>
      <c r="M67" s="29">
        <v>37</v>
      </c>
      <c r="N67" s="29">
        <v>25</v>
      </c>
      <c r="O67" s="29">
        <v>6.19</v>
      </c>
      <c r="P67" s="29">
        <v>14.013921113689095</v>
      </c>
      <c r="Q67" s="29">
        <v>1.66</v>
      </c>
      <c r="R67" s="5">
        <v>8.4421211528247575</v>
      </c>
      <c r="S67" s="29">
        <v>120</v>
      </c>
      <c r="T67" s="5">
        <v>2.7600000000000002</v>
      </c>
      <c r="V67" s="99">
        <f t="shared" si="11"/>
        <v>5.185000000000003E-3</v>
      </c>
      <c r="W67" s="99">
        <f t="shared" si="6"/>
        <v>0.51850000000000029</v>
      </c>
    </row>
    <row r="68" spans="1:23" x14ac:dyDescent="0.3">
      <c r="A68" s="5" t="s">
        <v>347</v>
      </c>
      <c r="B68" s="5" t="s">
        <v>348</v>
      </c>
      <c r="C68" s="5">
        <v>2011</v>
      </c>
      <c r="D68" s="5">
        <v>119.1</v>
      </c>
      <c r="E68" s="5">
        <v>26.2</v>
      </c>
      <c r="F68" s="5">
        <v>2010</v>
      </c>
      <c r="G68" s="29">
        <v>21.805412500000003</v>
      </c>
      <c r="H68" s="29">
        <v>418</v>
      </c>
      <c r="I68" s="29">
        <v>336.30020000000002</v>
      </c>
      <c r="J68" s="100">
        <v>8.6300000000000008</v>
      </c>
      <c r="K68" s="29">
        <v>1.4</v>
      </c>
      <c r="L68" s="29">
        <v>38</v>
      </c>
      <c r="M68" s="29">
        <v>37</v>
      </c>
      <c r="N68" s="29">
        <v>25</v>
      </c>
      <c r="O68" s="29">
        <v>6.19</v>
      </c>
      <c r="P68" s="29">
        <v>14.013921113689095</v>
      </c>
      <c r="Q68" s="29">
        <v>1.66</v>
      </c>
      <c r="R68" s="5">
        <v>8.4421211528247575</v>
      </c>
      <c r="S68" s="29">
        <v>120</v>
      </c>
      <c r="T68" s="5">
        <v>2.7349500000000004</v>
      </c>
      <c r="V68" s="99">
        <f t="shared" si="11"/>
        <v>4.9762500000000041E-3</v>
      </c>
      <c r="W68" s="99">
        <f t="shared" si="6"/>
        <v>0.49762500000000043</v>
      </c>
    </row>
    <row r="69" spans="1:23" x14ac:dyDescent="0.3">
      <c r="A69" s="5" t="s">
        <v>347</v>
      </c>
      <c r="B69" s="5" t="s">
        <v>348</v>
      </c>
      <c r="C69" s="5">
        <v>2011</v>
      </c>
      <c r="D69" s="5">
        <v>119.1</v>
      </c>
      <c r="E69" s="5">
        <v>26.2</v>
      </c>
      <c r="F69" s="5">
        <v>2010</v>
      </c>
      <c r="G69" s="29">
        <v>25.556625000000004</v>
      </c>
      <c r="H69" s="29">
        <v>268.60000000000002</v>
      </c>
      <c r="I69" s="29">
        <v>572.26940000000002</v>
      </c>
      <c r="J69" s="100">
        <v>8.6300000000000008</v>
      </c>
      <c r="K69" s="29">
        <v>1.4</v>
      </c>
      <c r="L69" s="29">
        <v>38</v>
      </c>
      <c r="M69" s="29">
        <v>37</v>
      </c>
      <c r="N69" s="29">
        <v>25</v>
      </c>
      <c r="O69" s="29">
        <v>6.19</v>
      </c>
      <c r="P69" s="29">
        <v>14.013921113689095</v>
      </c>
      <c r="Q69" s="29">
        <v>1.66</v>
      </c>
      <c r="R69" s="5">
        <v>8.4421211528247575</v>
      </c>
      <c r="S69" s="29">
        <v>0</v>
      </c>
      <c r="T69" s="5">
        <v>1.86</v>
      </c>
      <c r="V69" s="99">
        <v>0</v>
      </c>
      <c r="W69" s="99">
        <f t="shared" si="6"/>
        <v>0</v>
      </c>
    </row>
    <row r="70" spans="1:23" x14ac:dyDescent="0.3">
      <c r="A70" s="5" t="s">
        <v>347</v>
      </c>
      <c r="B70" s="5" t="s">
        <v>348</v>
      </c>
      <c r="C70" s="5">
        <v>2011</v>
      </c>
      <c r="D70" s="5">
        <v>119.1</v>
      </c>
      <c r="E70" s="5">
        <v>26.2</v>
      </c>
      <c r="F70" s="5">
        <v>2010</v>
      </c>
      <c r="G70" s="29">
        <v>25.556625000000004</v>
      </c>
      <c r="H70" s="29">
        <v>268.60000000000002</v>
      </c>
      <c r="I70" s="29">
        <v>572.26940000000002</v>
      </c>
      <c r="J70" s="100">
        <v>8.6300000000000008</v>
      </c>
      <c r="K70" s="29">
        <v>1.4</v>
      </c>
      <c r="L70" s="29">
        <v>38</v>
      </c>
      <c r="M70" s="29">
        <v>37</v>
      </c>
      <c r="N70" s="29">
        <v>25</v>
      </c>
      <c r="O70" s="29">
        <v>6.19</v>
      </c>
      <c r="P70" s="29">
        <v>14.013921113689095</v>
      </c>
      <c r="Q70" s="29">
        <v>1.66</v>
      </c>
      <c r="R70" s="5">
        <v>8.4421211528247575</v>
      </c>
      <c r="S70" s="29">
        <v>136.5</v>
      </c>
      <c r="T70" s="5">
        <v>2.145</v>
      </c>
      <c r="V70" s="99">
        <f>(T70-1.86)/S70</f>
        <v>2.0879120879120873E-3</v>
      </c>
      <c r="W70" s="99">
        <f t="shared" si="6"/>
        <v>0.20879120879120872</v>
      </c>
    </row>
    <row r="71" spans="1:23" x14ac:dyDescent="0.3">
      <c r="A71" s="5" t="s">
        <v>347</v>
      </c>
      <c r="B71" s="5" t="s">
        <v>348</v>
      </c>
      <c r="C71" s="5">
        <v>2011</v>
      </c>
      <c r="D71" s="5">
        <v>119.1</v>
      </c>
      <c r="E71" s="5">
        <v>26.2</v>
      </c>
      <c r="F71" s="5">
        <v>2010</v>
      </c>
      <c r="G71" s="29">
        <v>25.556625000000004</v>
      </c>
      <c r="H71" s="29">
        <v>268.60000000000002</v>
      </c>
      <c r="I71" s="29">
        <v>572.26940000000002</v>
      </c>
      <c r="J71" s="100">
        <v>8.6300000000000008</v>
      </c>
      <c r="K71" s="29">
        <v>1.4</v>
      </c>
      <c r="L71" s="29">
        <v>38</v>
      </c>
      <c r="M71" s="29">
        <v>37</v>
      </c>
      <c r="N71" s="29">
        <v>25</v>
      </c>
      <c r="O71" s="29">
        <v>6.19</v>
      </c>
      <c r="P71" s="29">
        <v>14.013921113689095</v>
      </c>
      <c r="Q71" s="29">
        <v>1.66</v>
      </c>
      <c r="R71" s="5">
        <v>8.4421211528247575</v>
      </c>
      <c r="S71" s="29">
        <v>120</v>
      </c>
      <c r="T71" s="5">
        <v>1.9900499999999999</v>
      </c>
      <c r="V71" s="99">
        <f t="shared" ref="V71:V74" si="12">(T71-1.86)/S71</f>
        <v>1.0837499999999981E-3</v>
      </c>
      <c r="W71" s="99">
        <f t="shared" si="6"/>
        <v>0.10837499999999982</v>
      </c>
    </row>
    <row r="72" spans="1:23" x14ac:dyDescent="0.3">
      <c r="A72" s="5" t="s">
        <v>347</v>
      </c>
      <c r="B72" s="5" t="s">
        <v>348</v>
      </c>
      <c r="C72" s="5">
        <v>2011</v>
      </c>
      <c r="D72" s="5">
        <v>119.1</v>
      </c>
      <c r="E72" s="5">
        <v>26.2</v>
      </c>
      <c r="F72" s="5">
        <v>2010</v>
      </c>
      <c r="G72" s="29">
        <v>25.556625000000004</v>
      </c>
      <c r="H72" s="29">
        <v>268.60000000000002</v>
      </c>
      <c r="I72" s="29">
        <v>572.26940000000002</v>
      </c>
      <c r="J72" s="100">
        <v>8.6300000000000008</v>
      </c>
      <c r="K72" s="29">
        <v>1.4</v>
      </c>
      <c r="L72" s="29">
        <v>38</v>
      </c>
      <c r="M72" s="29">
        <v>37</v>
      </c>
      <c r="N72" s="29">
        <v>25</v>
      </c>
      <c r="O72" s="29">
        <v>6.19</v>
      </c>
      <c r="P72" s="29">
        <v>14.013921113689095</v>
      </c>
      <c r="Q72" s="29">
        <v>1.66</v>
      </c>
      <c r="R72" s="5">
        <v>8.4421211528247575</v>
      </c>
      <c r="S72" s="29">
        <v>180</v>
      </c>
      <c r="T72" s="5">
        <v>3.0569999999999999</v>
      </c>
      <c r="V72" s="99">
        <f t="shared" si="12"/>
        <v>6.6499999999999988E-3</v>
      </c>
      <c r="W72" s="99">
        <f t="shared" si="6"/>
        <v>0.66499999999999992</v>
      </c>
    </row>
    <row r="73" spans="1:23" x14ac:dyDescent="0.3">
      <c r="A73" s="5" t="s">
        <v>347</v>
      </c>
      <c r="B73" s="5" t="s">
        <v>348</v>
      </c>
      <c r="C73" s="5">
        <v>2011</v>
      </c>
      <c r="D73" s="5">
        <v>119.1</v>
      </c>
      <c r="E73" s="5">
        <v>26.2</v>
      </c>
      <c r="F73" s="5">
        <v>2010</v>
      </c>
      <c r="G73" s="29">
        <v>25.556625000000004</v>
      </c>
      <c r="H73" s="29">
        <v>268.60000000000002</v>
      </c>
      <c r="I73" s="29">
        <v>572.26940000000002</v>
      </c>
      <c r="J73" s="100">
        <v>8.6300000000000008</v>
      </c>
      <c r="K73" s="29">
        <v>1.4</v>
      </c>
      <c r="L73" s="29">
        <v>38</v>
      </c>
      <c r="M73" s="29">
        <v>37</v>
      </c>
      <c r="N73" s="29">
        <v>25</v>
      </c>
      <c r="O73" s="29">
        <v>6.19</v>
      </c>
      <c r="P73" s="29">
        <v>14.013921113689095</v>
      </c>
      <c r="Q73" s="29">
        <v>1.66</v>
      </c>
      <c r="R73" s="5">
        <v>8.4421211528247575</v>
      </c>
      <c r="S73" s="29">
        <v>120</v>
      </c>
      <c r="T73" s="5">
        <v>2.0979000000000001</v>
      </c>
      <c r="V73" s="99">
        <f t="shared" si="12"/>
        <v>1.9824999999999999E-3</v>
      </c>
      <c r="W73" s="99">
        <f t="shared" si="6"/>
        <v>0.19824999999999998</v>
      </c>
    </row>
    <row r="74" spans="1:23" x14ac:dyDescent="0.3">
      <c r="A74" s="81" t="s">
        <v>347</v>
      </c>
      <c r="B74" s="81" t="s">
        <v>348</v>
      </c>
      <c r="C74" s="81">
        <v>2011</v>
      </c>
      <c r="D74" s="81">
        <v>119.1</v>
      </c>
      <c r="E74" s="81">
        <v>26.2</v>
      </c>
      <c r="F74" s="81">
        <v>2010</v>
      </c>
      <c r="G74" s="34">
        <v>25.556625000000004</v>
      </c>
      <c r="H74" s="34">
        <v>268.60000000000002</v>
      </c>
      <c r="I74" s="34">
        <v>572.26940000000002</v>
      </c>
      <c r="J74" s="101">
        <v>8.6300000000000008</v>
      </c>
      <c r="K74" s="34">
        <v>1.4</v>
      </c>
      <c r="L74" s="34">
        <v>38</v>
      </c>
      <c r="M74" s="34">
        <v>37</v>
      </c>
      <c r="N74" s="34">
        <v>25</v>
      </c>
      <c r="O74" s="34">
        <v>6.19</v>
      </c>
      <c r="P74" s="34">
        <v>14.013921113689095</v>
      </c>
      <c r="Q74" s="34">
        <v>1.66</v>
      </c>
      <c r="R74" s="81">
        <v>8.4421211528247575</v>
      </c>
      <c r="S74" s="34">
        <v>120</v>
      </c>
      <c r="T74" s="81">
        <v>2.028</v>
      </c>
      <c r="U74" s="81"/>
      <c r="V74" s="102">
        <f t="shared" si="12"/>
        <v>1.3999999999999993E-3</v>
      </c>
      <c r="W74" s="99">
        <f t="shared" si="6"/>
        <v>0.13999999999999993</v>
      </c>
    </row>
    <row r="75" spans="1:23" x14ac:dyDescent="0.3">
      <c r="A75" s="5" t="s">
        <v>349</v>
      </c>
      <c r="B75" s="5" t="s">
        <v>350</v>
      </c>
      <c r="C75" s="5">
        <v>2011</v>
      </c>
      <c r="D75" s="5">
        <v>121.1</v>
      </c>
      <c r="E75" s="5">
        <v>31.2</v>
      </c>
      <c r="F75" s="5">
        <v>2009</v>
      </c>
      <c r="G75" s="29">
        <v>26.214700000000001</v>
      </c>
      <c r="H75" s="29">
        <v>810.84939999999995</v>
      </c>
      <c r="I75" s="29">
        <v>934.16270000000009</v>
      </c>
      <c r="J75" s="100">
        <v>5.8999999999999997E-2</v>
      </c>
      <c r="K75" s="29">
        <v>1.4</v>
      </c>
      <c r="L75" s="29">
        <v>38</v>
      </c>
      <c r="M75" s="29">
        <v>37</v>
      </c>
      <c r="N75" s="29">
        <v>25</v>
      </c>
      <c r="O75" s="29">
        <v>6.3</v>
      </c>
      <c r="P75" s="29">
        <v>14.36</v>
      </c>
      <c r="Q75" s="29">
        <v>1.4</v>
      </c>
      <c r="R75" s="5">
        <v>10.257142857142858</v>
      </c>
      <c r="S75" s="29">
        <v>0</v>
      </c>
      <c r="T75" s="5">
        <v>3.27</v>
      </c>
      <c r="U75" s="5">
        <f>T75</f>
        <v>3.27</v>
      </c>
      <c r="V75" s="99">
        <v>0</v>
      </c>
      <c r="W75" s="99">
        <f t="shared" si="6"/>
        <v>0</v>
      </c>
    </row>
    <row r="76" spans="1:23" x14ac:dyDescent="0.3">
      <c r="A76" s="5" t="s">
        <v>349</v>
      </c>
      <c r="B76" s="5" t="s">
        <v>350</v>
      </c>
      <c r="C76" s="5">
        <v>2011</v>
      </c>
      <c r="D76" s="5">
        <v>121.1</v>
      </c>
      <c r="E76" s="5">
        <v>31.2</v>
      </c>
      <c r="F76" s="5">
        <v>2009</v>
      </c>
      <c r="G76" s="29">
        <v>26.214700000000001</v>
      </c>
      <c r="H76" s="29">
        <v>810.84939999999995</v>
      </c>
      <c r="I76" s="29">
        <v>934.16270000000009</v>
      </c>
      <c r="J76" s="100">
        <v>5.8999999999999997E-2</v>
      </c>
      <c r="K76" s="29">
        <v>1.4</v>
      </c>
      <c r="L76" s="29">
        <v>38</v>
      </c>
      <c r="M76" s="29">
        <v>37</v>
      </c>
      <c r="N76" s="29">
        <v>25</v>
      </c>
      <c r="O76" s="29">
        <v>6.3</v>
      </c>
      <c r="P76" s="29">
        <v>14.36</v>
      </c>
      <c r="Q76" s="29">
        <v>1.4</v>
      </c>
      <c r="R76" s="5">
        <v>10.257142857142858</v>
      </c>
      <c r="S76" s="29">
        <v>382.5</v>
      </c>
      <c r="T76" s="5">
        <v>12.77</v>
      </c>
      <c r="V76" s="99">
        <f>(T76-3.27)/S76</f>
        <v>2.4836601307189541E-2</v>
      </c>
      <c r="W76" s="99">
        <f t="shared" si="6"/>
        <v>2.4836601307189543</v>
      </c>
    </row>
    <row r="77" spans="1:23" x14ac:dyDescent="0.3">
      <c r="A77" s="5" t="s">
        <v>349</v>
      </c>
      <c r="B77" s="5" t="s">
        <v>350</v>
      </c>
      <c r="C77" s="5">
        <v>2011</v>
      </c>
      <c r="D77" s="5">
        <v>121.1</v>
      </c>
      <c r="E77" s="5">
        <v>31.2</v>
      </c>
      <c r="F77" s="5">
        <v>2009</v>
      </c>
      <c r="G77" s="29">
        <v>26.214700000000001</v>
      </c>
      <c r="H77" s="29">
        <v>810.84939999999995</v>
      </c>
      <c r="I77" s="29">
        <v>934.16270000000009</v>
      </c>
      <c r="J77" s="100">
        <v>5.8999999999999997E-2</v>
      </c>
      <c r="K77" s="29">
        <v>1.4</v>
      </c>
      <c r="L77" s="29">
        <v>38</v>
      </c>
      <c r="M77" s="29">
        <v>37</v>
      </c>
      <c r="N77" s="29">
        <v>25</v>
      </c>
      <c r="O77" s="29">
        <v>6.3</v>
      </c>
      <c r="P77" s="29">
        <v>14.36</v>
      </c>
      <c r="Q77" s="29">
        <v>1.4</v>
      </c>
      <c r="R77" s="5">
        <v>10.257142857142858</v>
      </c>
      <c r="S77" s="29">
        <v>382.5</v>
      </c>
      <c r="T77" s="5">
        <v>13.04</v>
      </c>
      <c r="V77" s="99">
        <f t="shared" ref="V77:V78" si="13">(T77-3.27)/S77</f>
        <v>2.5542483660130719E-2</v>
      </c>
      <c r="W77" s="99">
        <f t="shared" si="6"/>
        <v>2.5542483660130717</v>
      </c>
    </row>
    <row r="78" spans="1:23" x14ac:dyDescent="0.3">
      <c r="A78" s="81" t="s">
        <v>349</v>
      </c>
      <c r="B78" s="81" t="s">
        <v>350</v>
      </c>
      <c r="C78" s="81">
        <v>2011</v>
      </c>
      <c r="D78" s="81">
        <v>121.1</v>
      </c>
      <c r="E78" s="81">
        <v>31.2</v>
      </c>
      <c r="F78" s="81">
        <v>2009</v>
      </c>
      <c r="G78" s="34">
        <v>26.214700000000001</v>
      </c>
      <c r="H78" s="34">
        <v>810.84939999999995</v>
      </c>
      <c r="I78" s="34">
        <v>934.16270000000009</v>
      </c>
      <c r="J78" s="101">
        <v>5.8999999999999997E-2</v>
      </c>
      <c r="K78" s="34">
        <v>1.4</v>
      </c>
      <c r="L78" s="34">
        <v>38</v>
      </c>
      <c r="M78" s="34">
        <v>37</v>
      </c>
      <c r="N78" s="34">
        <v>25</v>
      </c>
      <c r="O78" s="34">
        <v>6.3</v>
      </c>
      <c r="P78" s="34">
        <v>14.36</v>
      </c>
      <c r="Q78" s="34">
        <v>1.4</v>
      </c>
      <c r="R78" s="81">
        <v>10.257142857142858</v>
      </c>
      <c r="S78" s="34">
        <v>382.5</v>
      </c>
      <c r="T78" s="81">
        <v>7.7</v>
      </c>
      <c r="U78" s="81"/>
      <c r="V78" s="102">
        <f t="shared" si="13"/>
        <v>1.1581699346405228E-2</v>
      </c>
      <c r="W78" s="99">
        <f t="shared" si="6"/>
        <v>1.1581699346405228</v>
      </c>
    </row>
    <row r="79" spans="1:23" x14ac:dyDescent="0.3">
      <c r="A79" s="5" t="s">
        <v>238</v>
      </c>
      <c r="B79" s="5" t="s">
        <v>239</v>
      </c>
      <c r="C79" s="5">
        <v>2007</v>
      </c>
      <c r="D79" s="5">
        <v>120.7</v>
      </c>
      <c r="E79" s="5">
        <v>31.55</v>
      </c>
      <c r="F79" s="5">
        <v>2002</v>
      </c>
      <c r="G79" s="29">
        <v>25.972500000000004</v>
      </c>
      <c r="H79" s="29">
        <v>343</v>
      </c>
      <c r="I79" s="29">
        <v>965.3171000000001</v>
      </c>
      <c r="J79" s="100">
        <v>8.165E-2</v>
      </c>
      <c r="K79" s="29">
        <v>1.48</v>
      </c>
      <c r="L79" s="29">
        <v>68</v>
      </c>
      <c r="M79" s="29">
        <v>20</v>
      </c>
      <c r="N79" s="29">
        <v>12</v>
      </c>
      <c r="O79" s="29">
        <v>7.3</v>
      </c>
      <c r="P79" s="29">
        <v>20.301624129930396</v>
      </c>
      <c r="Q79" s="29">
        <v>2.09</v>
      </c>
      <c r="R79" s="5">
        <v>9.7136957559475583</v>
      </c>
      <c r="S79" s="29">
        <v>0</v>
      </c>
      <c r="T79" s="5">
        <v>1.34</v>
      </c>
      <c r="U79" s="5">
        <f>AVERAGE(T79,T85)</f>
        <v>3.0749999999999997</v>
      </c>
      <c r="V79" s="99">
        <v>0</v>
      </c>
      <c r="W79" s="99">
        <f t="shared" ref="W79:W119" si="14">V79*100</f>
        <v>0</v>
      </c>
    </row>
    <row r="80" spans="1:23" x14ac:dyDescent="0.3">
      <c r="A80" s="5" t="s">
        <v>238</v>
      </c>
      <c r="B80" s="5" t="s">
        <v>239</v>
      </c>
      <c r="C80" s="5">
        <v>2007</v>
      </c>
      <c r="D80" s="5">
        <v>120.7</v>
      </c>
      <c r="E80" s="5">
        <v>31.55</v>
      </c>
      <c r="F80" s="5">
        <v>2002</v>
      </c>
      <c r="G80" s="29">
        <v>25.972500000000004</v>
      </c>
      <c r="H80" s="29">
        <v>343</v>
      </c>
      <c r="I80" s="29">
        <v>965.3171000000001</v>
      </c>
      <c r="J80" s="100">
        <v>8.165E-2</v>
      </c>
      <c r="K80" s="29">
        <v>1.48</v>
      </c>
      <c r="L80" s="29">
        <v>68</v>
      </c>
      <c r="M80" s="29">
        <v>20</v>
      </c>
      <c r="N80" s="29">
        <v>12</v>
      </c>
      <c r="O80" s="29">
        <v>7.3</v>
      </c>
      <c r="P80" s="29">
        <v>20.301624129930396</v>
      </c>
      <c r="Q80" s="29">
        <v>2.09</v>
      </c>
      <c r="R80" s="5">
        <v>9.7136957559475583</v>
      </c>
      <c r="S80" s="29">
        <v>180</v>
      </c>
      <c r="T80" s="5">
        <v>1.91</v>
      </c>
      <c r="V80" s="99">
        <f>(T80-1.34)/S80</f>
        <v>3.1666666666666657E-3</v>
      </c>
      <c r="W80" s="99">
        <f t="shared" si="14"/>
        <v>0.3166666666666666</v>
      </c>
    </row>
    <row r="81" spans="1:23" x14ac:dyDescent="0.3">
      <c r="A81" s="5" t="s">
        <v>238</v>
      </c>
      <c r="B81" s="5" t="s">
        <v>239</v>
      </c>
      <c r="C81" s="5">
        <v>2007</v>
      </c>
      <c r="D81" s="5">
        <v>120.7</v>
      </c>
      <c r="E81" s="5">
        <v>31.55</v>
      </c>
      <c r="F81" s="5">
        <v>2002</v>
      </c>
      <c r="G81" s="29">
        <v>25.972500000000004</v>
      </c>
      <c r="H81" s="29">
        <v>343</v>
      </c>
      <c r="I81" s="29">
        <v>965.3171000000001</v>
      </c>
      <c r="J81" s="100">
        <v>8.165E-2</v>
      </c>
      <c r="K81" s="29">
        <v>1.48</v>
      </c>
      <c r="L81" s="29">
        <v>68</v>
      </c>
      <c r="M81" s="29">
        <v>20</v>
      </c>
      <c r="N81" s="29">
        <v>12</v>
      </c>
      <c r="O81" s="29">
        <v>7.3</v>
      </c>
      <c r="P81" s="29">
        <v>20.301624129930396</v>
      </c>
      <c r="Q81" s="29">
        <v>2.09</v>
      </c>
      <c r="R81" s="5">
        <v>9.7136957559475583</v>
      </c>
      <c r="S81" s="29">
        <v>255</v>
      </c>
      <c r="T81" s="5">
        <v>1.02</v>
      </c>
      <c r="V81" s="99">
        <f>(T81-1.34)/S81</f>
        <v>-1.254901960784314E-3</v>
      </c>
      <c r="W81" s="99">
        <f t="shared" si="14"/>
        <v>-0.1254901960784314</v>
      </c>
    </row>
    <row r="82" spans="1:23" x14ac:dyDescent="0.3">
      <c r="A82" s="5" t="s">
        <v>238</v>
      </c>
      <c r="B82" s="5" t="s">
        <v>239</v>
      </c>
      <c r="C82" s="5">
        <v>2007</v>
      </c>
      <c r="D82" s="5">
        <v>120.7</v>
      </c>
      <c r="E82" s="5">
        <v>31.55</v>
      </c>
      <c r="F82" s="5">
        <v>2002</v>
      </c>
      <c r="G82" s="29">
        <v>25.972500000000004</v>
      </c>
      <c r="H82" s="29">
        <v>343</v>
      </c>
      <c r="I82" s="29">
        <v>965.3171000000001</v>
      </c>
      <c r="J82" s="100">
        <v>8.165E-2</v>
      </c>
      <c r="K82" s="29">
        <v>1.48</v>
      </c>
      <c r="L82" s="29">
        <v>68</v>
      </c>
      <c r="M82" s="29">
        <v>20</v>
      </c>
      <c r="N82" s="29">
        <v>12</v>
      </c>
      <c r="O82" s="29">
        <v>7.3</v>
      </c>
      <c r="P82" s="29">
        <v>20.301624129930396</v>
      </c>
      <c r="Q82" s="29">
        <v>2.09</v>
      </c>
      <c r="R82" s="5">
        <v>9.7136957559475583</v>
      </c>
      <c r="S82" s="29">
        <v>255</v>
      </c>
      <c r="T82" s="5">
        <v>1.56</v>
      </c>
      <c r="V82" s="99">
        <f t="shared" ref="V82:V84" si="15">(T82-1.34)/S82</f>
        <v>8.6274509803921557E-4</v>
      </c>
      <c r="W82" s="99">
        <f t="shared" si="14"/>
        <v>8.6274509803921554E-2</v>
      </c>
    </row>
    <row r="83" spans="1:23" x14ac:dyDescent="0.3">
      <c r="A83" s="5" t="s">
        <v>238</v>
      </c>
      <c r="B83" s="5" t="s">
        <v>239</v>
      </c>
      <c r="C83" s="5">
        <v>2007</v>
      </c>
      <c r="D83" s="5">
        <v>120.7</v>
      </c>
      <c r="E83" s="5">
        <v>31.55</v>
      </c>
      <c r="F83" s="5">
        <v>2002</v>
      </c>
      <c r="G83" s="29">
        <v>25.972500000000004</v>
      </c>
      <c r="H83" s="29">
        <v>343</v>
      </c>
      <c r="I83" s="29">
        <v>965.3171000000001</v>
      </c>
      <c r="J83" s="100">
        <v>8.165E-2</v>
      </c>
      <c r="K83" s="29">
        <v>1.48</v>
      </c>
      <c r="L83" s="29">
        <v>68</v>
      </c>
      <c r="M83" s="29">
        <v>20</v>
      </c>
      <c r="N83" s="29">
        <v>12</v>
      </c>
      <c r="O83" s="29">
        <v>7.3</v>
      </c>
      <c r="P83" s="29">
        <v>20.301624129930396</v>
      </c>
      <c r="Q83" s="29">
        <v>2.09</v>
      </c>
      <c r="R83" s="5">
        <v>9.7136957559475583</v>
      </c>
      <c r="S83" s="29">
        <v>255</v>
      </c>
      <c r="T83" s="5">
        <v>1.22</v>
      </c>
      <c r="V83" s="99">
        <f t="shared" si="15"/>
        <v>-4.7058823529411804E-4</v>
      </c>
      <c r="W83" s="99">
        <f t="shared" si="14"/>
        <v>-4.7058823529411806E-2</v>
      </c>
    </row>
    <row r="84" spans="1:23" x14ac:dyDescent="0.3">
      <c r="A84" s="5" t="s">
        <v>238</v>
      </c>
      <c r="B84" s="5" t="s">
        <v>239</v>
      </c>
      <c r="C84" s="5">
        <v>2007</v>
      </c>
      <c r="D84" s="5">
        <v>120.7</v>
      </c>
      <c r="E84" s="5">
        <v>31.55</v>
      </c>
      <c r="F84" s="5">
        <v>2002</v>
      </c>
      <c r="G84" s="29">
        <v>25.972500000000004</v>
      </c>
      <c r="H84" s="29">
        <v>343</v>
      </c>
      <c r="I84" s="29">
        <v>965.3171000000001</v>
      </c>
      <c r="J84" s="100">
        <v>8.165E-2</v>
      </c>
      <c r="K84" s="29">
        <v>1.48</v>
      </c>
      <c r="L84" s="29">
        <v>68</v>
      </c>
      <c r="M84" s="29">
        <v>20</v>
      </c>
      <c r="N84" s="29">
        <v>12</v>
      </c>
      <c r="O84" s="29">
        <v>7.3</v>
      </c>
      <c r="P84" s="29">
        <v>20.301624129930396</v>
      </c>
      <c r="Q84" s="29">
        <v>2.09</v>
      </c>
      <c r="R84" s="5">
        <v>9.7136957559475583</v>
      </c>
      <c r="S84" s="29">
        <v>330</v>
      </c>
      <c r="T84" s="5">
        <v>2.57</v>
      </c>
      <c r="V84" s="99">
        <f t="shared" si="15"/>
        <v>3.7272727272727266E-3</v>
      </c>
      <c r="W84" s="99">
        <f t="shared" si="14"/>
        <v>0.37272727272727268</v>
      </c>
    </row>
    <row r="85" spans="1:23" x14ac:dyDescent="0.3">
      <c r="A85" s="5" t="s">
        <v>238</v>
      </c>
      <c r="B85" s="5" t="s">
        <v>239</v>
      </c>
      <c r="C85" s="5">
        <v>2007</v>
      </c>
      <c r="D85" s="5">
        <v>120.7</v>
      </c>
      <c r="E85" s="5">
        <v>31.55</v>
      </c>
      <c r="F85" s="5">
        <v>2003</v>
      </c>
      <c r="G85" s="29">
        <v>25.972500000000004</v>
      </c>
      <c r="H85" s="29">
        <v>379</v>
      </c>
      <c r="I85" s="29">
        <v>965.3171000000001</v>
      </c>
      <c r="J85" s="100">
        <v>8.165E-2</v>
      </c>
      <c r="K85" s="29">
        <v>1.48</v>
      </c>
      <c r="L85" s="29">
        <v>68</v>
      </c>
      <c r="M85" s="29">
        <v>20</v>
      </c>
      <c r="N85" s="29">
        <v>12</v>
      </c>
      <c r="O85" s="29">
        <v>7.3</v>
      </c>
      <c r="P85" s="29">
        <v>20.301624129930396</v>
      </c>
      <c r="Q85" s="29">
        <v>2.09</v>
      </c>
      <c r="R85" s="5">
        <v>9.7136957559475583</v>
      </c>
      <c r="S85" s="29">
        <v>0</v>
      </c>
      <c r="T85" s="5">
        <v>4.8099999999999996</v>
      </c>
      <c r="W85" s="99">
        <f t="shared" si="14"/>
        <v>0</v>
      </c>
    </row>
    <row r="86" spans="1:23" x14ac:dyDescent="0.3">
      <c r="A86" s="5" t="s">
        <v>238</v>
      </c>
      <c r="B86" s="5" t="s">
        <v>239</v>
      </c>
      <c r="C86" s="5">
        <v>2007</v>
      </c>
      <c r="D86" s="5">
        <v>120.7</v>
      </c>
      <c r="E86" s="5">
        <v>31.55</v>
      </c>
      <c r="F86" s="5">
        <v>2003</v>
      </c>
      <c r="G86" s="29">
        <v>25.972500000000004</v>
      </c>
      <c r="H86" s="29">
        <v>379</v>
      </c>
      <c r="I86" s="29">
        <v>965.3171000000001</v>
      </c>
      <c r="J86" s="100">
        <v>8.165E-2</v>
      </c>
      <c r="K86" s="29">
        <v>1.48</v>
      </c>
      <c r="L86" s="29">
        <v>68</v>
      </c>
      <c r="M86" s="29">
        <v>20</v>
      </c>
      <c r="N86" s="29">
        <v>12</v>
      </c>
      <c r="O86" s="29">
        <v>7.3</v>
      </c>
      <c r="P86" s="29">
        <v>20.301624129930396</v>
      </c>
      <c r="Q86" s="29">
        <v>2.09</v>
      </c>
      <c r="R86" s="5">
        <v>9.7136957559475583</v>
      </c>
      <c r="S86" s="29">
        <v>180</v>
      </c>
      <c r="T86" s="5">
        <v>10.4</v>
      </c>
      <c r="V86" s="99">
        <f>(T86-4.81)/S86</f>
        <v>3.1055555555555558E-2</v>
      </c>
      <c r="W86" s="99">
        <f t="shared" si="14"/>
        <v>3.1055555555555561</v>
      </c>
    </row>
    <row r="87" spans="1:23" x14ac:dyDescent="0.3">
      <c r="A87" s="5" t="s">
        <v>238</v>
      </c>
      <c r="B87" s="5" t="s">
        <v>239</v>
      </c>
      <c r="C87" s="5">
        <v>2007</v>
      </c>
      <c r="D87" s="5">
        <v>120.7</v>
      </c>
      <c r="E87" s="5">
        <v>31.55</v>
      </c>
      <c r="F87" s="5">
        <v>2003</v>
      </c>
      <c r="G87" s="29">
        <v>25.972500000000004</v>
      </c>
      <c r="H87" s="29">
        <v>379</v>
      </c>
      <c r="I87" s="29">
        <v>965.3171000000001</v>
      </c>
      <c r="J87" s="100">
        <v>8.165E-2</v>
      </c>
      <c r="K87" s="29">
        <v>1.48</v>
      </c>
      <c r="L87" s="29">
        <v>68</v>
      </c>
      <c r="M87" s="29">
        <v>20</v>
      </c>
      <c r="N87" s="29">
        <v>12</v>
      </c>
      <c r="O87" s="29">
        <v>7.3</v>
      </c>
      <c r="P87" s="29">
        <v>20.301624129930396</v>
      </c>
      <c r="Q87" s="29">
        <v>2.09</v>
      </c>
      <c r="R87" s="5">
        <v>9.7136957559475583</v>
      </c>
      <c r="S87" s="29">
        <v>255</v>
      </c>
      <c r="T87" s="5">
        <v>6.49</v>
      </c>
      <c r="V87" s="99">
        <f t="shared" ref="V87:V90" si="16">(T87-4.81)/S87</f>
        <v>6.5882352941176491E-3</v>
      </c>
      <c r="W87" s="99">
        <f t="shared" si="14"/>
        <v>0.65882352941176492</v>
      </c>
    </row>
    <row r="88" spans="1:23" x14ac:dyDescent="0.3">
      <c r="A88" s="5" t="s">
        <v>238</v>
      </c>
      <c r="B88" s="5" t="s">
        <v>239</v>
      </c>
      <c r="C88" s="5">
        <v>2007</v>
      </c>
      <c r="D88" s="5">
        <v>120.7</v>
      </c>
      <c r="E88" s="5">
        <v>31.55</v>
      </c>
      <c r="F88" s="5">
        <v>2003</v>
      </c>
      <c r="G88" s="29">
        <v>25.972500000000004</v>
      </c>
      <c r="H88" s="29">
        <v>379</v>
      </c>
      <c r="I88" s="29">
        <v>965.3171000000001</v>
      </c>
      <c r="J88" s="100">
        <v>8.165E-2</v>
      </c>
      <c r="K88" s="29">
        <v>1.48</v>
      </c>
      <c r="L88" s="29">
        <v>68</v>
      </c>
      <c r="M88" s="29">
        <v>20</v>
      </c>
      <c r="N88" s="29">
        <v>12</v>
      </c>
      <c r="O88" s="29">
        <v>7.3</v>
      </c>
      <c r="P88" s="29">
        <v>20.301624129930396</v>
      </c>
      <c r="Q88" s="29">
        <v>2.09</v>
      </c>
      <c r="R88" s="5">
        <v>9.7136957559475583</v>
      </c>
      <c r="S88" s="29">
        <v>255</v>
      </c>
      <c r="T88" s="5">
        <v>7.93</v>
      </c>
      <c r="V88" s="99">
        <f t="shared" si="16"/>
        <v>1.2235294117647059E-2</v>
      </c>
      <c r="W88" s="99">
        <f t="shared" si="14"/>
        <v>1.223529411764706</v>
      </c>
    </row>
    <row r="89" spans="1:23" x14ac:dyDescent="0.3">
      <c r="A89" s="5" t="s">
        <v>238</v>
      </c>
      <c r="B89" s="5" t="s">
        <v>239</v>
      </c>
      <c r="C89" s="5">
        <v>2007</v>
      </c>
      <c r="D89" s="5">
        <v>120.7</v>
      </c>
      <c r="E89" s="5">
        <v>31.55</v>
      </c>
      <c r="F89" s="5">
        <v>2003</v>
      </c>
      <c r="G89" s="29">
        <v>25.972500000000004</v>
      </c>
      <c r="H89" s="29">
        <v>379</v>
      </c>
      <c r="I89" s="29">
        <v>965.3171000000001</v>
      </c>
      <c r="J89" s="100">
        <v>8.165E-2</v>
      </c>
      <c r="K89" s="29">
        <v>1.48</v>
      </c>
      <c r="L89" s="29">
        <v>68</v>
      </c>
      <c r="M89" s="29">
        <v>20</v>
      </c>
      <c r="N89" s="29">
        <v>12</v>
      </c>
      <c r="O89" s="29">
        <v>7.3</v>
      </c>
      <c r="P89" s="29">
        <v>20.301624129930396</v>
      </c>
      <c r="Q89" s="29">
        <v>2.09</v>
      </c>
      <c r="R89" s="5">
        <v>9.7136957559475583</v>
      </c>
      <c r="S89" s="29">
        <v>255</v>
      </c>
      <c r="T89" s="5">
        <v>8.56</v>
      </c>
      <c r="V89" s="99">
        <f t="shared" si="16"/>
        <v>1.470588235294118E-2</v>
      </c>
      <c r="W89" s="99">
        <f t="shared" si="14"/>
        <v>1.470588235294118</v>
      </c>
    </row>
    <row r="90" spans="1:23" x14ac:dyDescent="0.3">
      <c r="A90" s="81" t="s">
        <v>238</v>
      </c>
      <c r="B90" s="81" t="s">
        <v>239</v>
      </c>
      <c r="C90" s="81">
        <v>2007</v>
      </c>
      <c r="D90" s="81">
        <v>120.7</v>
      </c>
      <c r="E90" s="81">
        <v>31.55</v>
      </c>
      <c r="F90" s="81">
        <v>2003</v>
      </c>
      <c r="G90" s="34">
        <v>25.972500000000004</v>
      </c>
      <c r="H90" s="34">
        <v>379</v>
      </c>
      <c r="I90" s="34">
        <v>965.3171000000001</v>
      </c>
      <c r="J90" s="101">
        <v>8.165E-2</v>
      </c>
      <c r="K90" s="34">
        <v>1.48</v>
      </c>
      <c r="L90" s="34">
        <v>68</v>
      </c>
      <c r="M90" s="34">
        <v>20</v>
      </c>
      <c r="N90" s="34">
        <v>12</v>
      </c>
      <c r="O90" s="34">
        <v>7.3</v>
      </c>
      <c r="P90" s="34">
        <v>20.301624129930396</v>
      </c>
      <c r="Q90" s="34">
        <v>2.09</v>
      </c>
      <c r="R90" s="81">
        <v>9.7136957559475583</v>
      </c>
      <c r="S90" s="34">
        <v>330</v>
      </c>
      <c r="T90" s="81">
        <v>17.899999999999999</v>
      </c>
      <c r="U90" s="81"/>
      <c r="V90" s="102">
        <f t="shared" si="16"/>
        <v>3.966666666666667E-2</v>
      </c>
      <c r="W90" s="99">
        <f t="shared" si="14"/>
        <v>3.9666666666666668</v>
      </c>
    </row>
    <row r="91" spans="1:23" x14ac:dyDescent="0.3">
      <c r="A91" s="5" t="s">
        <v>240</v>
      </c>
      <c r="B91" s="5" t="s">
        <v>241</v>
      </c>
      <c r="C91" s="5">
        <v>2012</v>
      </c>
      <c r="D91" s="5">
        <v>119.9</v>
      </c>
      <c r="E91" s="5">
        <v>31.3</v>
      </c>
      <c r="F91" s="5">
        <v>2008</v>
      </c>
      <c r="G91" s="29">
        <v>25.977300000000003</v>
      </c>
      <c r="H91" s="29">
        <v>797.9</v>
      </c>
      <c r="I91" s="29">
        <v>871.17060000000004</v>
      </c>
      <c r="J91" s="100">
        <v>0.02</v>
      </c>
      <c r="K91" s="29">
        <v>1.4</v>
      </c>
      <c r="L91" s="29">
        <v>38</v>
      </c>
      <c r="M91" s="29">
        <v>37</v>
      </c>
      <c r="N91" s="29">
        <v>25</v>
      </c>
      <c r="O91" s="29">
        <v>6.23</v>
      </c>
      <c r="P91" s="29">
        <v>7.3085846867749416</v>
      </c>
      <c r="Q91" s="29">
        <v>0.64</v>
      </c>
      <c r="R91" s="5">
        <v>11.419663573085845</v>
      </c>
      <c r="S91" s="29">
        <v>0</v>
      </c>
      <c r="T91" s="5">
        <v>7.3</v>
      </c>
      <c r="U91" s="5">
        <f>AVERAGE(T91,T98)</f>
        <v>9.65</v>
      </c>
      <c r="V91" s="99">
        <v>0</v>
      </c>
      <c r="W91" s="99">
        <f t="shared" si="14"/>
        <v>0</v>
      </c>
    </row>
    <row r="92" spans="1:23" x14ac:dyDescent="0.3">
      <c r="A92" s="5" t="s">
        <v>240</v>
      </c>
      <c r="B92" s="5" t="s">
        <v>241</v>
      </c>
      <c r="C92" s="5">
        <v>2012</v>
      </c>
      <c r="D92" s="5">
        <v>119.9</v>
      </c>
      <c r="E92" s="5">
        <v>31.3</v>
      </c>
      <c r="F92" s="5">
        <v>2008</v>
      </c>
      <c r="G92" s="29">
        <v>25.977300000000003</v>
      </c>
      <c r="H92" s="29">
        <v>797.9</v>
      </c>
      <c r="I92" s="29">
        <v>871.17060000000004</v>
      </c>
      <c r="J92" s="100">
        <v>0.02</v>
      </c>
      <c r="K92" s="29">
        <v>1.4</v>
      </c>
      <c r="L92" s="29">
        <v>38</v>
      </c>
      <c r="M92" s="29">
        <v>37</v>
      </c>
      <c r="N92" s="29">
        <v>25</v>
      </c>
      <c r="O92" s="29">
        <v>6.23</v>
      </c>
      <c r="P92" s="29">
        <v>7.3085846867749416</v>
      </c>
      <c r="Q92" s="29">
        <v>0.64</v>
      </c>
      <c r="R92" s="5">
        <v>11.419663573085845</v>
      </c>
      <c r="S92" s="29">
        <v>135</v>
      </c>
      <c r="T92" s="5">
        <v>8.9</v>
      </c>
      <c r="V92" s="99">
        <f>(T92-7.3)/S92</f>
        <v>1.1851851851851856E-2</v>
      </c>
      <c r="W92" s="99">
        <f t="shared" si="14"/>
        <v>1.1851851851851856</v>
      </c>
    </row>
    <row r="93" spans="1:23" x14ac:dyDescent="0.3">
      <c r="A93" s="5" t="s">
        <v>240</v>
      </c>
      <c r="B93" s="5" t="s">
        <v>241</v>
      </c>
      <c r="C93" s="5">
        <v>2012</v>
      </c>
      <c r="D93" s="5">
        <v>119.9</v>
      </c>
      <c r="E93" s="5">
        <v>31.3</v>
      </c>
      <c r="F93" s="5">
        <v>2008</v>
      </c>
      <c r="G93" s="29">
        <v>25.977300000000003</v>
      </c>
      <c r="H93" s="29">
        <v>797.9</v>
      </c>
      <c r="I93" s="29">
        <v>871.17060000000004</v>
      </c>
      <c r="J93" s="100">
        <v>0.02</v>
      </c>
      <c r="K93" s="29">
        <v>1.4</v>
      </c>
      <c r="L93" s="29">
        <v>38</v>
      </c>
      <c r="M93" s="29">
        <v>37</v>
      </c>
      <c r="N93" s="29">
        <v>25</v>
      </c>
      <c r="O93" s="29">
        <v>6.23</v>
      </c>
      <c r="P93" s="29">
        <v>7.3085846867749416</v>
      </c>
      <c r="Q93" s="29">
        <v>0.64</v>
      </c>
      <c r="R93" s="5">
        <v>11.419663573085845</v>
      </c>
      <c r="S93" s="29">
        <v>189</v>
      </c>
      <c r="T93" s="5">
        <v>10</v>
      </c>
      <c r="V93" s="99">
        <f t="shared" ref="V93:V97" si="17">(T93-7.3)/S93</f>
        <v>1.4285714285714287E-2</v>
      </c>
      <c r="W93" s="99">
        <f t="shared" si="14"/>
        <v>1.4285714285714286</v>
      </c>
    </row>
    <row r="94" spans="1:23" x14ac:dyDescent="0.3">
      <c r="A94" s="5" t="s">
        <v>240</v>
      </c>
      <c r="B94" s="5" t="s">
        <v>241</v>
      </c>
      <c r="C94" s="5">
        <v>2012</v>
      </c>
      <c r="D94" s="5">
        <v>119.9</v>
      </c>
      <c r="E94" s="5">
        <v>31.3</v>
      </c>
      <c r="F94" s="5">
        <v>2008</v>
      </c>
      <c r="G94" s="29">
        <v>25.977300000000003</v>
      </c>
      <c r="H94" s="29">
        <v>797.9</v>
      </c>
      <c r="I94" s="29">
        <v>871.17060000000004</v>
      </c>
      <c r="J94" s="100">
        <v>0.02</v>
      </c>
      <c r="K94" s="29">
        <v>1.4</v>
      </c>
      <c r="L94" s="29">
        <v>38</v>
      </c>
      <c r="M94" s="29">
        <v>37</v>
      </c>
      <c r="N94" s="29">
        <v>25</v>
      </c>
      <c r="O94" s="29">
        <v>6.23</v>
      </c>
      <c r="P94" s="29">
        <v>7.3085846867749416</v>
      </c>
      <c r="Q94" s="29">
        <v>0.64</v>
      </c>
      <c r="R94" s="5">
        <v>11.419663573085845</v>
      </c>
      <c r="S94" s="29">
        <v>216</v>
      </c>
      <c r="T94" s="5">
        <v>12</v>
      </c>
      <c r="V94" s="99">
        <f t="shared" si="17"/>
        <v>2.1759259259259259E-2</v>
      </c>
      <c r="W94" s="99">
        <f t="shared" si="14"/>
        <v>2.175925925925926</v>
      </c>
    </row>
    <row r="95" spans="1:23" x14ac:dyDescent="0.3">
      <c r="A95" s="5" t="s">
        <v>240</v>
      </c>
      <c r="B95" s="5" t="s">
        <v>241</v>
      </c>
      <c r="C95" s="5">
        <v>2012</v>
      </c>
      <c r="D95" s="5">
        <v>119.9</v>
      </c>
      <c r="E95" s="5">
        <v>31.3</v>
      </c>
      <c r="F95" s="5">
        <v>2008</v>
      </c>
      <c r="G95" s="29">
        <v>25.977300000000003</v>
      </c>
      <c r="H95" s="29">
        <v>797.9</v>
      </c>
      <c r="I95" s="29">
        <v>871.17060000000004</v>
      </c>
      <c r="J95" s="100">
        <v>0.02</v>
      </c>
      <c r="K95" s="29">
        <v>1.4</v>
      </c>
      <c r="L95" s="29">
        <v>38</v>
      </c>
      <c r="M95" s="29">
        <v>37</v>
      </c>
      <c r="N95" s="29">
        <v>25</v>
      </c>
      <c r="O95" s="29">
        <v>6.23</v>
      </c>
      <c r="P95" s="29">
        <v>7.3085846867749416</v>
      </c>
      <c r="Q95" s="29">
        <v>0.64</v>
      </c>
      <c r="R95" s="5">
        <v>11.419663573085845</v>
      </c>
      <c r="S95" s="29">
        <v>243</v>
      </c>
      <c r="T95" s="5">
        <v>13</v>
      </c>
      <c r="V95" s="99">
        <f t="shared" si="17"/>
        <v>2.3456790123456792E-2</v>
      </c>
      <c r="W95" s="99">
        <f t="shared" si="14"/>
        <v>2.3456790123456792</v>
      </c>
    </row>
    <row r="96" spans="1:23" x14ac:dyDescent="0.3">
      <c r="A96" s="5" t="s">
        <v>240</v>
      </c>
      <c r="B96" s="5" t="s">
        <v>241</v>
      </c>
      <c r="C96" s="5">
        <v>2012</v>
      </c>
      <c r="D96" s="5">
        <v>119.9</v>
      </c>
      <c r="E96" s="5">
        <v>31.3</v>
      </c>
      <c r="F96" s="5">
        <v>2008</v>
      </c>
      <c r="G96" s="29">
        <v>25.977300000000003</v>
      </c>
      <c r="H96" s="29">
        <v>797.9</v>
      </c>
      <c r="I96" s="29">
        <v>871.17060000000004</v>
      </c>
      <c r="J96" s="100">
        <v>0.02</v>
      </c>
      <c r="K96" s="29">
        <v>1.4</v>
      </c>
      <c r="L96" s="29">
        <v>38</v>
      </c>
      <c r="M96" s="29">
        <v>37</v>
      </c>
      <c r="N96" s="29">
        <v>25</v>
      </c>
      <c r="O96" s="29">
        <v>6.23</v>
      </c>
      <c r="P96" s="29">
        <v>7.3085846867749416</v>
      </c>
      <c r="Q96" s="29">
        <v>0.64</v>
      </c>
      <c r="R96" s="5">
        <v>11.419663573085845</v>
      </c>
      <c r="S96" s="29">
        <v>270</v>
      </c>
      <c r="T96" s="5">
        <v>15</v>
      </c>
      <c r="V96" s="99">
        <f t="shared" si="17"/>
        <v>2.8518518518518519E-2</v>
      </c>
      <c r="W96" s="99">
        <f t="shared" si="14"/>
        <v>2.8518518518518521</v>
      </c>
    </row>
    <row r="97" spans="1:23" x14ac:dyDescent="0.3">
      <c r="A97" s="5" t="s">
        <v>240</v>
      </c>
      <c r="B97" s="5" t="s">
        <v>241</v>
      </c>
      <c r="C97" s="5">
        <v>2012</v>
      </c>
      <c r="D97" s="5">
        <v>119.9</v>
      </c>
      <c r="E97" s="5">
        <v>31.3</v>
      </c>
      <c r="F97" s="5">
        <v>2008</v>
      </c>
      <c r="G97" s="29">
        <v>25.977300000000003</v>
      </c>
      <c r="H97" s="29">
        <v>797.9</v>
      </c>
      <c r="I97" s="29">
        <v>871.17060000000004</v>
      </c>
      <c r="J97" s="103">
        <v>0.02</v>
      </c>
      <c r="K97" s="29">
        <v>1.4</v>
      </c>
      <c r="L97" s="29">
        <v>38</v>
      </c>
      <c r="M97" s="29">
        <v>37</v>
      </c>
      <c r="N97" s="29">
        <v>25</v>
      </c>
      <c r="O97" s="29">
        <v>6.23</v>
      </c>
      <c r="P97" s="29">
        <v>7.3085846867749416</v>
      </c>
      <c r="Q97" s="29">
        <v>0.64</v>
      </c>
      <c r="R97" s="5">
        <v>11.419663573085845</v>
      </c>
      <c r="S97" s="29">
        <v>405</v>
      </c>
      <c r="T97" s="5">
        <v>21</v>
      </c>
      <c r="V97" s="99">
        <f t="shared" si="17"/>
        <v>3.3827160493827162E-2</v>
      </c>
      <c r="W97" s="99">
        <f t="shared" si="14"/>
        <v>3.382716049382716</v>
      </c>
    </row>
    <row r="98" spans="1:23" x14ac:dyDescent="0.3">
      <c r="A98" s="5" t="s">
        <v>240</v>
      </c>
      <c r="B98" s="5" t="s">
        <v>241</v>
      </c>
      <c r="C98" s="5">
        <v>2012</v>
      </c>
      <c r="D98" s="5">
        <v>119.9</v>
      </c>
      <c r="E98" s="5">
        <v>31.3</v>
      </c>
      <c r="F98" s="5">
        <v>2009</v>
      </c>
      <c r="G98" s="29">
        <v>26.148099999999999</v>
      </c>
      <c r="H98" s="29">
        <v>747.9</v>
      </c>
      <c r="I98" s="29">
        <v>915.35390000000007</v>
      </c>
      <c r="J98" s="100">
        <v>0.02</v>
      </c>
      <c r="K98" s="29">
        <v>1.4</v>
      </c>
      <c r="L98" s="29">
        <v>38</v>
      </c>
      <c r="M98" s="29">
        <v>37</v>
      </c>
      <c r="N98" s="29">
        <v>25</v>
      </c>
      <c r="O98" s="29">
        <v>6.23</v>
      </c>
      <c r="P98" s="29">
        <v>7.3085846867749416</v>
      </c>
      <c r="Q98" s="29">
        <v>0.64</v>
      </c>
      <c r="R98" s="5">
        <v>11.419663573085845</v>
      </c>
      <c r="S98" s="29">
        <v>0</v>
      </c>
      <c r="T98" s="5">
        <v>12</v>
      </c>
      <c r="V98" s="99">
        <v>0</v>
      </c>
      <c r="W98" s="99">
        <f t="shared" si="14"/>
        <v>0</v>
      </c>
    </row>
    <row r="99" spans="1:23" x14ac:dyDescent="0.3">
      <c r="A99" s="5" t="s">
        <v>240</v>
      </c>
      <c r="B99" s="5" t="s">
        <v>241</v>
      </c>
      <c r="C99" s="5">
        <v>2012</v>
      </c>
      <c r="D99" s="5">
        <v>119.9</v>
      </c>
      <c r="E99" s="5">
        <v>31.3</v>
      </c>
      <c r="F99" s="5">
        <v>2009</v>
      </c>
      <c r="G99" s="29">
        <v>26.148099999999999</v>
      </c>
      <c r="H99" s="29">
        <v>747.9</v>
      </c>
      <c r="I99" s="29">
        <v>915.35390000000007</v>
      </c>
      <c r="J99" s="100">
        <v>0.02</v>
      </c>
      <c r="K99" s="29">
        <v>1.4</v>
      </c>
      <c r="L99" s="29">
        <v>38</v>
      </c>
      <c r="M99" s="29">
        <v>37</v>
      </c>
      <c r="N99" s="29">
        <v>25</v>
      </c>
      <c r="O99" s="29">
        <v>6.23</v>
      </c>
      <c r="P99" s="29">
        <v>7.3085846867749416</v>
      </c>
      <c r="Q99" s="29">
        <v>0.64</v>
      </c>
      <c r="R99" s="5">
        <v>11.419663573085845</v>
      </c>
      <c r="S99" s="29">
        <v>135</v>
      </c>
      <c r="T99" s="5">
        <v>26</v>
      </c>
      <c r="V99" s="99">
        <f>(T99-12)/S99</f>
        <v>0.1037037037037037</v>
      </c>
      <c r="W99" s="99">
        <f t="shared" si="14"/>
        <v>10.37037037037037</v>
      </c>
    </row>
    <row r="100" spans="1:23" x14ac:dyDescent="0.3">
      <c r="A100" s="5" t="s">
        <v>240</v>
      </c>
      <c r="B100" s="5" t="s">
        <v>241</v>
      </c>
      <c r="C100" s="5">
        <v>2012</v>
      </c>
      <c r="D100" s="5">
        <v>119.9</v>
      </c>
      <c r="E100" s="5">
        <v>31.3</v>
      </c>
      <c r="F100" s="5">
        <v>2009</v>
      </c>
      <c r="G100" s="29">
        <v>26.148099999999999</v>
      </c>
      <c r="H100" s="29">
        <v>747.9</v>
      </c>
      <c r="I100" s="29">
        <v>915.35390000000007</v>
      </c>
      <c r="J100" s="100">
        <v>0.02</v>
      </c>
      <c r="K100" s="29">
        <v>1.4</v>
      </c>
      <c r="L100" s="29">
        <v>38</v>
      </c>
      <c r="M100" s="29">
        <v>37</v>
      </c>
      <c r="N100" s="29">
        <v>25</v>
      </c>
      <c r="O100" s="29">
        <v>6.23</v>
      </c>
      <c r="P100" s="29">
        <v>7.3085846867749416</v>
      </c>
      <c r="Q100" s="29">
        <v>0.64</v>
      </c>
      <c r="R100" s="5">
        <v>11.419663573085845</v>
      </c>
      <c r="S100" s="29">
        <v>189</v>
      </c>
      <c r="T100" s="5">
        <v>31</v>
      </c>
      <c r="V100" s="99">
        <f t="shared" ref="V100:V104" si="18">(T100-12)/S100</f>
        <v>0.10052910052910052</v>
      </c>
      <c r="W100" s="99">
        <f t="shared" si="14"/>
        <v>10.052910052910052</v>
      </c>
    </row>
    <row r="101" spans="1:23" x14ac:dyDescent="0.3">
      <c r="A101" s="5" t="s">
        <v>240</v>
      </c>
      <c r="B101" s="5" t="s">
        <v>241</v>
      </c>
      <c r="C101" s="5">
        <v>2012</v>
      </c>
      <c r="D101" s="5">
        <v>119.9</v>
      </c>
      <c r="E101" s="5">
        <v>31.3</v>
      </c>
      <c r="F101" s="5">
        <v>2009</v>
      </c>
      <c r="G101" s="29">
        <v>26.148099999999999</v>
      </c>
      <c r="H101" s="29">
        <v>747.9</v>
      </c>
      <c r="I101" s="29">
        <v>915.35390000000007</v>
      </c>
      <c r="J101" s="100">
        <v>0.02</v>
      </c>
      <c r="K101" s="29">
        <v>1.4</v>
      </c>
      <c r="L101" s="29">
        <v>38</v>
      </c>
      <c r="M101" s="29">
        <v>37</v>
      </c>
      <c r="N101" s="29">
        <v>25</v>
      </c>
      <c r="O101" s="29">
        <v>6.23</v>
      </c>
      <c r="P101" s="29">
        <v>7.3085846867749416</v>
      </c>
      <c r="Q101" s="29">
        <v>0.64</v>
      </c>
      <c r="R101" s="5">
        <v>11.419663573085845</v>
      </c>
      <c r="S101" s="29">
        <v>216</v>
      </c>
      <c r="T101" s="5">
        <v>47</v>
      </c>
      <c r="V101" s="99">
        <f t="shared" si="18"/>
        <v>0.16203703703703703</v>
      </c>
      <c r="W101" s="99">
        <f t="shared" si="14"/>
        <v>16.203703703703702</v>
      </c>
    </row>
    <row r="102" spans="1:23" x14ac:dyDescent="0.3">
      <c r="A102" s="5" t="s">
        <v>240</v>
      </c>
      <c r="B102" s="5" t="s">
        <v>241</v>
      </c>
      <c r="C102" s="5">
        <v>2012</v>
      </c>
      <c r="D102" s="5">
        <v>119.9</v>
      </c>
      <c r="E102" s="5">
        <v>31.3</v>
      </c>
      <c r="F102" s="5">
        <v>2009</v>
      </c>
      <c r="G102" s="29">
        <v>26.148099999999999</v>
      </c>
      <c r="H102" s="29">
        <v>747.9</v>
      </c>
      <c r="I102" s="29">
        <v>915.35390000000007</v>
      </c>
      <c r="J102" s="100">
        <v>0.02</v>
      </c>
      <c r="K102" s="29">
        <v>1.4</v>
      </c>
      <c r="L102" s="29">
        <v>38</v>
      </c>
      <c r="M102" s="29">
        <v>37</v>
      </c>
      <c r="N102" s="29">
        <v>25</v>
      </c>
      <c r="O102" s="29">
        <v>6.23</v>
      </c>
      <c r="P102" s="29">
        <v>7.3085846867749416</v>
      </c>
      <c r="Q102" s="29">
        <v>0.64</v>
      </c>
      <c r="R102" s="5">
        <v>11.419663573085845</v>
      </c>
      <c r="S102" s="29">
        <v>243</v>
      </c>
      <c r="T102" s="5">
        <v>37</v>
      </c>
      <c r="V102" s="99">
        <f t="shared" si="18"/>
        <v>0.102880658436214</v>
      </c>
      <c r="W102" s="99">
        <f t="shared" si="14"/>
        <v>10.2880658436214</v>
      </c>
    </row>
    <row r="103" spans="1:23" x14ac:dyDescent="0.3">
      <c r="A103" s="5" t="s">
        <v>240</v>
      </c>
      <c r="B103" s="5" t="s">
        <v>241</v>
      </c>
      <c r="C103" s="5">
        <v>2012</v>
      </c>
      <c r="D103" s="5">
        <v>119.9</v>
      </c>
      <c r="E103" s="5">
        <v>31.3</v>
      </c>
      <c r="F103" s="5">
        <v>2009</v>
      </c>
      <c r="G103" s="29">
        <v>26.148099999999999</v>
      </c>
      <c r="H103" s="29">
        <v>747.9</v>
      </c>
      <c r="I103" s="29">
        <v>915.35390000000007</v>
      </c>
      <c r="J103" s="100">
        <v>0.02</v>
      </c>
      <c r="K103" s="29">
        <v>1.4</v>
      </c>
      <c r="L103" s="29">
        <v>38</v>
      </c>
      <c r="M103" s="29">
        <v>37</v>
      </c>
      <c r="N103" s="29">
        <v>25</v>
      </c>
      <c r="O103" s="29">
        <v>6.23</v>
      </c>
      <c r="P103" s="29">
        <v>7.3085846867749416</v>
      </c>
      <c r="Q103" s="29">
        <v>0.64</v>
      </c>
      <c r="R103" s="5">
        <v>11.419663573085845</v>
      </c>
      <c r="S103" s="29">
        <v>270</v>
      </c>
      <c r="T103" s="5">
        <v>57</v>
      </c>
      <c r="V103" s="99">
        <f t="shared" si="18"/>
        <v>0.16666666666666666</v>
      </c>
      <c r="W103" s="99">
        <f t="shared" si="14"/>
        <v>16.666666666666664</v>
      </c>
    </row>
    <row r="104" spans="1:23" x14ac:dyDescent="0.3">
      <c r="A104" s="81" t="s">
        <v>240</v>
      </c>
      <c r="B104" s="81" t="s">
        <v>241</v>
      </c>
      <c r="C104" s="81">
        <v>2012</v>
      </c>
      <c r="D104" s="81">
        <v>119.9</v>
      </c>
      <c r="E104" s="81">
        <v>31.3</v>
      </c>
      <c r="F104" s="81">
        <v>2009</v>
      </c>
      <c r="G104" s="34">
        <v>26.148099999999999</v>
      </c>
      <c r="H104" s="34">
        <v>747.9</v>
      </c>
      <c r="I104" s="34">
        <v>915.35390000000007</v>
      </c>
      <c r="J104" s="101">
        <v>0.02</v>
      </c>
      <c r="K104" s="34">
        <v>1.4</v>
      </c>
      <c r="L104" s="34">
        <v>38</v>
      </c>
      <c r="M104" s="34">
        <v>37</v>
      </c>
      <c r="N104" s="34">
        <v>25</v>
      </c>
      <c r="O104" s="34">
        <v>6.23</v>
      </c>
      <c r="P104" s="34">
        <v>7.3085846867749416</v>
      </c>
      <c r="Q104" s="34">
        <v>0.64</v>
      </c>
      <c r="R104" s="81">
        <v>11.419663573085845</v>
      </c>
      <c r="S104" s="34">
        <v>405</v>
      </c>
      <c r="T104" s="81">
        <v>65</v>
      </c>
      <c r="U104" s="81"/>
      <c r="V104" s="102">
        <f t="shared" si="18"/>
        <v>0.1308641975308642</v>
      </c>
      <c r="W104" s="99">
        <f t="shared" si="14"/>
        <v>13.086419753086421</v>
      </c>
    </row>
    <row r="105" spans="1:23" x14ac:dyDescent="0.3">
      <c r="A105" s="5" t="s">
        <v>46</v>
      </c>
      <c r="B105" s="5" t="s">
        <v>242</v>
      </c>
      <c r="C105" s="5">
        <v>2007</v>
      </c>
      <c r="D105" s="5">
        <v>120.7</v>
      </c>
      <c r="E105" s="5">
        <v>31.55</v>
      </c>
      <c r="F105" s="5">
        <v>2001</v>
      </c>
      <c r="G105" s="29">
        <v>25.972500000000004</v>
      </c>
      <c r="H105" s="29">
        <v>636.9215999999999</v>
      </c>
      <c r="I105" s="29">
        <v>965.3171000000001</v>
      </c>
      <c r="J105" s="100">
        <v>8.165E-2</v>
      </c>
      <c r="K105" s="29">
        <v>1.22</v>
      </c>
      <c r="L105" s="29">
        <v>68</v>
      </c>
      <c r="M105" s="29">
        <v>20</v>
      </c>
      <c r="N105" s="29">
        <v>12</v>
      </c>
      <c r="O105" s="29">
        <v>7.36</v>
      </c>
      <c r="P105" s="29">
        <v>20</v>
      </c>
      <c r="Q105" s="29">
        <v>1.79</v>
      </c>
      <c r="R105" s="5">
        <v>11.173184357541899</v>
      </c>
      <c r="S105" s="29">
        <v>300</v>
      </c>
      <c r="T105" s="5">
        <v>44.69</v>
      </c>
      <c r="U105" s="5">
        <f>AVERAGE(T109,T114,T119)</f>
        <v>3.5633333333333339</v>
      </c>
      <c r="V105" s="99">
        <f>(T105-4.07)/S105</f>
        <v>0.13539999999999999</v>
      </c>
      <c r="W105" s="99">
        <f t="shared" si="14"/>
        <v>13.54</v>
      </c>
    </row>
    <row r="106" spans="1:23" x14ac:dyDescent="0.3">
      <c r="A106" s="5" t="s">
        <v>46</v>
      </c>
      <c r="B106" s="5" t="s">
        <v>242</v>
      </c>
      <c r="C106" s="5">
        <v>2007</v>
      </c>
      <c r="D106" s="5">
        <v>120.7</v>
      </c>
      <c r="E106" s="5">
        <v>31.55</v>
      </c>
      <c r="F106" s="5">
        <v>2001</v>
      </c>
      <c r="G106" s="29">
        <v>25.972500000000004</v>
      </c>
      <c r="H106" s="29">
        <v>636.9215999999999</v>
      </c>
      <c r="I106" s="29">
        <v>965.3171000000001</v>
      </c>
      <c r="J106" s="100">
        <v>8.165E-2</v>
      </c>
      <c r="K106" s="29">
        <v>1.22</v>
      </c>
      <c r="L106" s="29">
        <v>68</v>
      </c>
      <c r="M106" s="29">
        <v>20</v>
      </c>
      <c r="N106" s="29">
        <v>12</v>
      </c>
      <c r="O106" s="29">
        <v>7.36</v>
      </c>
      <c r="P106" s="29">
        <v>20</v>
      </c>
      <c r="Q106" s="29">
        <v>1.79</v>
      </c>
      <c r="R106" s="5">
        <v>11.173184357541899</v>
      </c>
      <c r="S106" s="29">
        <v>150</v>
      </c>
      <c r="T106" s="5">
        <v>20.36</v>
      </c>
      <c r="V106" s="99">
        <f t="shared" ref="V106:V108" si="19">(T106-4.07)/S106</f>
        <v>0.10859999999999999</v>
      </c>
      <c r="W106" s="99">
        <f t="shared" si="14"/>
        <v>10.86</v>
      </c>
    </row>
    <row r="107" spans="1:23" x14ac:dyDescent="0.3">
      <c r="A107" s="5" t="s">
        <v>46</v>
      </c>
      <c r="B107" s="5" t="s">
        <v>242</v>
      </c>
      <c r="C107" s="5">
        <v>2007</v>
      </c>
      <c r="D107" s="5">
        <v>120.7</v>
      </c>
      <c r="E107" s="5">
        <v>31.55</v>
      </c>
      <c r="F107" s="5">
        <v>2001</v>
      </c>
      <c r="G107" s="29">
        <v>25.972500000000004</v>
      </c>
      <c r="H107" s="29">
        <v>636.9215999999999</v>
      </c>
      <c r="I107" s="29">
        <v>965.3171000000001</v>
      </c>
      <c r="J107" s="100">
        <v>8.165E-2</v>
      </c>
      <c r="K107" s="29">
        <v>1.22</v>
      </c>
      <c r="L107" s="29">
        <v>68</v>
      </c>
      <c r="M107" s="29">
        <v>20</v>
      </c>
      <c r="N107" s="29">
        <v>12</v>
      </c>
      <c r="O107" s="29">
        <v>7.36</v>
      </c>
      <c r="P107" s="29">
        <v>20</v>
      </c>
      <c r="Q107" s="29">
        <v>1.79</v>
      </c>
      <c r="R107" s="5">
        <v>11.173184357541899</v>
      </c>
      <c r="S107" s="29">
        <v>150</v>
      </c>
      <c r="T107" s="5">
        <v>4.59</v>
      </c>
      <c r="V107" s="99">
        <f t="shared" si="19"/>
        <v>3.4666666666666639E-3</v>
      </c>
      <c r="W107" s="99">
        <f t="shared" si="14"/>
        <v>0.3466666666666664</v>
      </c>
    </row>
    <row r="108" spans="1:23" x14ac:dyDescent="0.3">
      <c r="A108" s="5" t="s">
        <v>46</v>
      </c>
      <c r="B108" s="5" t="s">
        <v>242</v>
      </c>
      <c r="C108" s="5">
        <v>2007</v>
      </c>
      <c r="D108" s="5">
        <v>120.7</v>
      </c>
      <c r="E108" s="5">
        <v>31.55</v>
      </c>
      <c r="F108" s="5">
        <v>2001</v>
      </c>
      <c r="G108" s="29">
        <v>25.972500000000004</v>
      </c>
      <c r="H108" s="29">
        <v>636.9215999999999</v>
      </c>
      <c r="I108" s="29">
        <v>965.3171000000001</v>
      </c>
      <c r="J108" s="100">
        <v>8.165E-2</v>
      </c>
      <c r="K108" s="29">
        <v>1.22</v>
      </c>
      <c r="L108" s="29">
        <v>68</v>
      </c>
      <c r="M108" s="29">
        <v>20</v>
      </c>
      <c r="N108" s="29">
        <v>12</v>
      </c>
      <c r="O108" s="29">
        <v>7.36</v>
      </c>
      <c r="P108" s="29">
        <v>20</v>
      </c>
      <c r="Q108" s="29">
        <v>1.79</v>
      </c>
      <c r="R108" s="5">
        <v>11.173184357541899</v>
      </c>
      <c r="S108" s="29">
        <v>100</v>
      </c>
      <c r="T108" s="5">
        <v>4.0599999999999996</v>
      </c>
      <c r="V108" s="99">
        <f t="shared" si="19"/>
        <v>-1.0000000000000675E-4</v>
      </c>
      <c r="W108" s="99">
        <f t="shared" si="14"/>
        <v>-1.0000000000000675E-2</v>
      </c>
    </row>
    <row r="109" spans="1:23" x14ac:dyDescent="0.3">
      <c r="A109" s="5" t="s">
        <v>46</v>
      </c>
      <c r="B109" s="5" t="s">
        <v>242</v>
      </c>
      <c r="C109" s="5">
        <v>2007</v>
      </c>
      <c r="D109" s="5">
        <v>120.7</v>
      </c>
      <c r="E109" s="5">
        <v>31.55</v>
      </c>
      <c r="F109" s="5">
        <v>2001</v>
      </c>
      <c r="G109" s="29">
        <v>25.972500000000004</v>
      </c>
      <c r="H109" s="29">
        <v>636.9215999999999</v>
      </c>
      <c r="I109" s="29">
        <v>965.3171000000001</v>
      </c>
      <c r="J109" s="100">
        <v>8.165E-2</v>
      </c>
      <c r="K109" s="29">
        <v>1.22</v>
      </c>
      <c r="L109" s="29">
        <v>68</v>
      </c>
      <c r="M109" s="29">
        <v>20</v>
      </c>
      <c r="N109" s="29">
        <v>12</v>
      </c>
      <c r="O109" s="29">
        <v>7.36</v>
      </c>
      <c r="P109" s="29">
        <v>20</v>
      </c>
      <c r="Q109" s="29">
        <v>1.79</v>
      </c>
      <c r="R109" s="5">
        <v>11.173184357541899</v>
      </c>
      <c r="S109" s="29">
        <v>0</v>
      </c>
      <c r="T109" s="5">
        <v>4.07</v>
      </c>
      <c r="V109" s="99">
        <v>0</v>
      </c>
      <c r="W109" s="99">
        <f t="shared" si="14"/>
        <v>0</v>
      </c>
    </row>
    <row r="110" spans="1:23" x14ac:dyDescent="0.3">
      <c r="A110" s="5" t="s">
        <v>46</v>
      </c>
      <c r="B110" s="5" t="s">
        <v>242</v>
      </c>
      <c r="C110" s="5">
        <v>2007</v>
      </c>
      <c r="D110" s="5">
        <v>120.7</v>
      </c>
      <c r="E110" s="5">
        <v>31.55</v>
      </c>
      <c r="F110" s="5">
        <v>2002</v>
      </c>
      <c r="G110" s="29">
        <v>25.972500000000004</v>
      </c>
      <c r="H110" s="29">
        <v>636.9215999999999</v>
      </c>
      <c r="I110" s="29">
        <v>965.3171000000001</v>
      </c>
      <c r="J110" s="100">
        <v>8.165E-2</v>
      </c>
      <c r="K110" s="29">
        <v>1.22</v>
      </c>
      <c r="L110" s="29">
        <v>68</v>
      </c>
      <c r="M110" s="29">
        <v>20</v>
      </c>
      <c r="N110" s="29">
        <v>12</v>
      </c>
      <c r="O110" s="29">
        <v>7.36</v>
      </c>
      <c r="P110" s="29">
        <v>20</v>
      </c>
      <c r="Q110" s="29">
        <v>1.79</v>
      </c>
      <c r="R110" s="5">
        <v>11.173184357541899</v>
      </c>
      <c r="S110" s="29">
        <v>300</v>
      </c>
      <c r="T110" s="5">
        <v>18.77</v>
      </c>
      <c r="V110" s="99">
        <f>(T110-2.23)/S110</f>
        <v>5.5133333333333333E-2</v>
      </c>
      <c r="W110" s="99">
        <f t="shared" si="14"/>
        <v>5.5133333333333336</v>
      </c>
    </row>
    <row r="111" spans="1:23" x14ac:dyDescent="0.3">
      <c r="A111" s="5" t="s">
        <v>46</v>
      </c>
      <c r="B111" s="5" t="s">
        <v>242</v>
      </c>
      <c r="C111" s="5">
        <v>2007</v>
      </c>
      <c r="D111" s="5">
        <v>120.7</v>
      </c>
      <c r="E111" s="5">
        <v>31.55</v>
      </c>
      <c r="F111" s="5">
        <v>2002</v>
      </c>
      <c r="G111" s="29">
        <v>25.972500000000004</v>
      </c>
      <c r="H111" s="29">
        <v>636.9215999999999</v>
      </c>
      <c r="I111" s="29">
        <v>965.3171000000001</v>
      </c>
      <c r="J111" s="100">
        <v>8.165E-2</v>
      </c>
      <c r="K111" s="29">
        <v>1.22</v>
      </c>
      <c r="L111" s="29">
        <v>68</v>
      </c>
      <c r="M111" s="29">
        <v>20</v>
      </c>
      <c r="N111" s="29">
        <v>12</v>
      </c>
      <c r="O111" s="29">
        <v>7.36</v>
      </c>
      <c r="P111" s="29">
        <v>20</v>
      </c>
      <c r="Q111" s="29">
        <v>1.79</v>
      </c>
      <c r="R111" s="5">
        <v>11.173184357541899</v>
      </c>
      <c r="S111" s="29">
        <v>150</v>
      </c>
      <c r="T111" s="5">
        <v>12.29</v>
      </c>
      <c r="V111" s="99">
        <f t="shared" ref="V111:V113" si="20">(T111-2.23)/S111</f>
        <v>6.7066666666666663E-2</v>
      </c>
      <c r="W111" s="99">
        <f t="shared" si="14"/>
        <v>6.7066666666666661</v>
      </c>
    </row>
    <row r="112" spans="1:23" x14ac:dyDescent="0.3">
      <c r="A112" s="5" t="s">
        <v>46</v>
      </c>
      <c r="B112" s="5" t="s">
        <v>242</v>
      </c>
      <c r="C112" s="5">
        <v>2007</v>
      </c>
      <c r="D112" s="5">
        <v>120.7</v>
      </c>
      <c r="E112" s="5">
        <v>31.55</v>
      </c>
      <c r="F112" s="5">
        <v>2002</v>
      </c>
      <c r="G112" s="29">
        <v>25.972500000000004</v>
      </c>
      <c r="H112" s="29">
        <v>636.9215999999999</v>
      </c>
      <c r="I112" s="29">
        <v>965.3171000000001</v>
      </c>
      <c r="J112" s="100">
        <v>8.165E-2</v>
      </c>
      <c r="K112" s="29">
        <v>1.22</v>
      </c>
      <c r="L112" s="29">
        <v>68</v>
      </c>
      <c r="M112" s="29">
        <v>20</v>
      </c>
      <c r="N112" s="29">
        <v>12</v>
      </c>
      <c r="O112" s="29">
        <v>7.36</v>
      </c>
      <c r="P112" s="29">
        <v>20</v>
      </c>
      <c r="Q112" s="29">
        <v>1.79</v>
      </c>
      <c r="R112" s="5">
        <v>11.173184357541899</v>
      </c>
      <c r="S112" s="29">
        <v>150</v>
      </c>
      <c r="T112" s="5">
        <v>3.87</v>
      </c>
      <c r="V112" s="99">
        <f t="shared" si="20"/>
        <v>1.0933333333333335E-2</v>
      </c>
      <c r="W112" s="99">
        <f t="shared" si="14"/>
        <v>1.0933333333333335</v>
      </c>
    </row>
    <row r="113" spans="1:23" x14ac:dyDescent="0.3">
      <c r="A113" s="5" t="s">
        <v>46</v>
      </c>
      <c r="B113" s="5" t="s">
        <v>242</v>
      </c>
      <c r="C113" s="5">
        <v>2007</v>
      </c>
      <c r="D113" s="5">
        <v>120.7</v>
      </c>
      <c r="E113" s="5">
        <v>31.55</v>
      </c>
      <c r="F113" s="5">
        <v>2002</v>
      </c>
      <c r="G113" s="29">
        <v>25.972500000000004</v>
      </c>
      <c r="H113" s="29">
        <v>636.9215999999999</v>
      </c>
      <c r="I113" s="29">
        <v>965.3171000000001</v>
      </c>
      <c r="J113" s="100">
        <v>8.165E-2</v>
      </c>
      <c r="K113" s="29">
        <v>1.22</v>
      </c>
      <c r="L113" s="29">
        <v>68</v>
      </c>
      <c r="M113" s="29">
        <v>20</v>
      </c>
      <c r="N113" s="29">
        <v>12</v>
      </c>
      <c r="O113" s="29">
        <v>7.36</v>
      </c>
      <c r="P113" s="29">
        <v>20</v>
      </c>
      <c r="Q113" s="29">
        <v>1.79</v>
      </c>
      <c r="R113" s="5">
        <v>11.173184357541899</v>
      </c>
      <c r="S113" s="29">
        <v>100</v>
      </c>
      <c r="T113" s="5">
        <v>2.5299999999999998</v>
      </c>
      <c r="V113" s="99">
        <f t="shared" si="20"/>
        <v>2.9999999999999983E-3</v>
      </c>
      <c r="W113" s="99">
        <f t="shared" si="14"/>
        <v>0.29999999999999982</v>
      </c>
    </row>
    <row r="114" spans="1:23" x14ac:dyDescent="0.3">
      <c r="A114" s="5" t="s">
        <v>46</v>
      </c>
      <c r="B114" s="5" t="s">
        <v>242</v>
      </c>
      <c r="C114" s="5">
        <v>2007</v>
      </c>
      <c r="D114" s="5">
        <v>120.7</v>
      </c>
      <c r="E114" s="5">
        <v>31.55</v>
      </c>
      <c r="F114" s="5">
        <v>2002</v>
      </c>
      <c r="G114" s="29">
        <v>25.972500000000004</v>
      </c>
      <c r="H114" s="29">
        <v>636.9215999999999</v>
      </c>
      <c r="I114" s="29">
        <v>965.3171000000001</v>
      </c>
      <c r="J114" s="100">
        <v>8.165E-2</v>
      </c>
      <c r="K114" s="29">
        <v>1.22</v>
      </c>
      <c r="L114" s="29">
        <v>68</v>
      </c>
      <c r="M114" s="29">
        <v>20</v>
      </c>
      <c r="N114" s="29">
        <v>12</v>
      </c>
      <c r="O114" s="29">
        <v>7.36</v>
      </c>
      <c r="P114" s="29">
        <v>20</v>
      </c>
      <c r="Q114" s="29">
        <v>1.79</v>
      </c>
      <c r="R114" s="5">
        <v>11.173184357541899</v>
      </c>
      <c r="S114" s="29">
        <v>0</v>
      </c>
      <c r="T114" s="5">
        <v>2.23</v>
      </c>
      <c r="V114" s="99">
        <v>0</v>
      </c>
      <c r="W114" s="99">
        <f t="shared" si="14"/>
        <v>0</v>
      </c>
    </row>
    <row r="115" spans="1:23" x14ac:dyDescent="0.3">
      <c r="A115" s="5" t="s">
        <v>46</v>
      </c>
      <c r="B115" s="5" t="s">
        <v>242</v>
      </c>
      <c r="C115" s="5">
        <v>2007</v>
      </c>
      <c r="D115" s="5">
        <v>120.7</v>
      </c>
      <c r="E115" s="5">
        <v>31.55</v>
      </c>
      <c r="F115" s="5">
        <v>2003</v>
      </c>
      <c r="G115" s="29">
        <v>25.972500000000004</v>
      </c>
      <c r="H115" s="29">
        <v>636.9215999999999</v>
      </c>
      <c r="I115" s="29">
        <v>965.3171000000001</v>
      </c>
      <c r="J115" s="100">
        <v>8.165E-2</v>
      </c>
      <c r="K115" s="29">
        <v>1.22</v>
      </c>
      <c r="L115" s="29">
        <v>68</v>
      </c>
      <c r="M115" s="29">
        <v>20</v>
      </c>
      <c r="N115" s="29">
        <v>12</v>
      </c>
      <c r="O115" s="29">
        <v>7.36</v>
      </c>
      <c r="P115" s="29">
        <v>20</v>
      </c>
      <c r="Q115" s="29">
        <v>1.79</v>
      </c>
      <c r="R115" s="5">
        <v>11.173184357541899</v>
      </c>
      <c r="S115" s="29">
        <v>300</v>
      </c>
      <c r="T115" s="5">
        <v>42.71</v>
      </c>
      <c r="V115" s="99">
        <f>(T115-4.39)/S115</f>
        <v>0.12773333333333334</v>
      </c>
      <c r="W115" s="99">
        <f t="shared" si="14"/>
        <v>12.773333333333333</v>
      </c>
    </row>
    <row r="116" spans="1:23" x14ac:dyDescent="0.3">
      <c r="A116" s="5" t="s">
        <v>46</v>
      </c>
      <c r="B116" s="5" t="s">
        <v>242</v>
      </c>
      <c r="C116" s="5">
        <v>2007</v>
      </c>
      <c r="D116" s="5">
        <v>120.7</v>
      </c>
      <c r="E116" s="5">
        <v>31.55</v>
      </c>
      <c r="F116" s="5">
        <v>2003</v>
      </c>
      <c r="G116" s="29">
        <v>25.972500000000004</v>
      </c>
      <c r="H116" s="29">
        <v>636.9215999999999</v>
      </c>
      <c r="I116" s="29">
        <v>965.3171000000001</v>
      </c>
      <c r="J116" s="100">
        <v>8.165E-2</v>
      </c>
      <c r="K116" s="29">
        <v>1.22</v>
      </c>
      <c r="L116" s="29">
        <v>68</v>
      </c>
      <c r="M116" s="29">
        <v>20</v>
      </c>
      <c r="N116" s="29">
        <v>12</v>
      </c>
      <c r="O116" s="29">
        <v>7.36</v>
      </c>
      <c r="P116" s="29">
        <v>20</v>
      </c>
      <c r="Q116" s="29">
        <v>1.79</v>
      </c>
      <c r="R116" s="5">
        <v>11.173184357541899</v>
      </c>
      <c r="S116" s="29">
        <v>150</v>
      </c>
      <c r="T116" s="5">
        <v>25.37</v>
      </c>
      <c r="V116" s="99">
        <f t="shared" ref="V116:V118" si="21">(T116-4.39)/S116</f>
        <v>0.13986666666666667</v>
      </c>
      <c r="W116" s="99">
        <f t="shared" si="14"/>
        <v>13.986666666666666</v>
      </c>
    </row>
    <row r="117" spans="1:23" x14ac:dyDescent="0.3">
      <c r="A117" s="5" t="s">
        <v>46</v>
      </c>
      <c r="B117" s="5" t="s">
        <v>242</v>
      </c>
      <c r="C117" s="5">
        <v>2007</v>
      </c>
      <c r="D117" s="5">
        <v>120.7</v>
      </c>
      <c r="E117" s="5">
        <v>31.55</v>
      </c>
      <c r="F117" s="5">
        <v>2003</v>
      </c>
      <c r="G117" s="29">
        <v>25.972500000000004</v>
      </c>
      <c r="H117" s="29">
        <v>636.9215999999999</v>
      </c>
      <c r="I117" s="29">
        <v>965.3171000000001</v>
      </c>
      <c r="J117" s="100">
        <v>8.165E-2</v>
      </c>
      <c r="K117" s="29">
        <v>1.22</v>
      </c>
      <c r="L117" s="29">
        <v>68</v>
      </c>
      <c r="M117" s="29">
        <v>20</v>
      </c>
      <c r="N117" s="29">
        <v>12</v>
      </c>
      <c r="O117" s="29">
        <v>7.36</v>
      </c>
      <c r="P117" s="29">
        <v>20</v>
      </c>
      <c r="Q117" s="29">
        <v>1.79</v>
      </c>
      <c r="R117" s="5">
        <v>11.173184357541899</v>
      </c>
      <c r="S117" s="29">
        <v>150</v>
      </c>
      <c r="T117" s="5">
        <v>2.59</v>
      </c>
      <c r="V117" s="99">
        <f t="shared" si="21"/>
        <v>-1.1999999999999999E-2</v>
      </c>
      <c r="W117" s="99">
        <f t="shared" si="14"/>
        <v>-1.2</v>
      </c>
    </row>
    <row r="118" spans="1:23" x14ac:dyDescent="0.3">
      <c r="A118" s="5" t="s">
        <v>46</v>
      </c>
      <c r="B118" s="5" t="s">
        <v>242</v>
      </c>
      <c r="C118" s="5">
        <v>2007</v>
      </c>
      <c r="D118" s="5">
        <v>120.7</v>
      </c>
      <c r="E118" s="5">
        <v>31.55</v>
      </c>
      <c r="F118" s="5">
        <v>2003</v>
      </c>
      <c r="G118" s="29">
        <v>25.972500000000004</v>
      </c>
      <c r="H118" s="29">
        <v>636.9215999999999</v>
      </c>
      <c r="I118" s="29">
        <v>965.3171000000001</v>
      </c>
      <c r="J118" s="100">
        <v>8.165E-2</v>
      </c>
      <c r="K118" s="29">
        <v>1.22</v>
      </c>
      <c r="L118" s="29">
        <v>68</v>
      </c>
      <c r="M118" s="29">
        <v>20</v>
      </c>
      <c r="N118" s="29">
        <v>12</v>
      </c>
      <c r="O118" s="29">
        <v>7.36</v>
      </c>
      <c r="P118" s="29">
        <v>20</v>
      </c>
      <c r="Q118" s="29">
        <v>1.79</v>
      </c>
      <c r="R118" s="5">
        <v>11.173184357541899</v>
      </c>
      <c r="S118" s="29">
        <v>100</v>
      </c>
      <c r="T118" s="5">
        <v>6.72</v>
      </c>
      <c r="V118" s="99">
        <f t="shared" si="21"/>
        <v>2.3300000000000001E-2</v>
      </c>
      <c r="W118" s="99">
        <f t="shared" si="14"/>
        <v>2.33</v>
      </c>
    </row>
    <row r="119" spans="1:23" x14ac:dyDescent="0.3">
      <c r="A119" s="81" t="s">
        <v>46</v>
      </c>
      <c r="B119" s="81" t="s">
        <v>242</v>
      </c>
      <c r="C119" s="81">
        <v>2007</v>
      </c>
      <c r="D119" s="81">
        <v>120.7</v>
      </c>
      <c r="E119" s="81">
        <v>31.55</v>
      </c>
      <c r="F119" s="81">
        <v>2003</v>
      </c>
      <c r="G119" s="34">
        <v>25.972500000000004</v>
      </c>
      <c r="H119" s="34">
        <v>636.9215999999999</v>
      </c>
      <c r="I119" s="34">
        <v>965.3171000000001</v>
      </c>
      <c r="J119" s="101">
        <v>8.165E-2</v>
      </c>
      <c r="K119" s="34">
        <v>1.22</v>
      </c>
      <c r="L119" s="34">
        <v>68</v>
      </c>
      <c r="M119" s="34">
        <v>20</v>
      </c>
      <c r="N119" s="34">
        <v>12</v>
      </c>
      <c r="O119" s="34">
        <v>7.36</v>
      </c>
      <c r="P119" s="34">
        <v>20</v>
      </c>
      <c r="Q119" s="34">
        <v>1.79</v>
      </c>
      <c r="R119" s="81">
        <v>11.173184357541899</v>
      </c>
      <c r="S119" s="34">
        <v>0</v>
      </c>
      <c r="T119" s="81">
        <v>4.3899999999999997</v>
      </c>
      <c r="U119" s="81"/>
      <c r="V119" s="102">
        <v>0</v>
      </c>
      <c r="W119" s="99">
        <f t="shared" si="14"/>
        <v>0</v>
      </c>
    </row>
    <row r="120" spans="1:23" x14ac:dyDescent="0.3">
      <c r="A120" s="5" t="s">
        <v>170</v>
      </c>
      <c r="B120" s="5" t="s">
        <v>208</v>
      </c>
      <c r="C120" s="5">
        <v>2015</v>
      </c>
      <c r="D120" s="5">
        <v>121.13</v>
      </c>
      <c r="E120" s="5">
        <v>31.2</v>
      </c>
      <c r="F120" s="5">
        <v>2012</v>
      </c>
      <c r="G120" s="29">
        <v>25.889199999999999</v>
      </c>
      <c r="H120" s="29">
        <v>705.41890000000001</v>
      </c>
      <c r="I120" s="29">
        <v>737.24399999999991</v>
      </c>
      <c r="J120" s="100">
        <v>0.01</v>
      </c>
      <c r="K120" s="29">
        <v>1.4</v>
      </c>
      <c r="L120" s="29">
        <v>38</v>
      </c>
      <c r="M120" s="29">
        <v>37</v>
      </c>
      <c r="N120" s="29">
        <v>25</v>
      </c>
      <c r="O120" s="29">
        <v>6.3</v>
      </c>
      <c r="P120" s="29">
        <v>14.36</v>
      </c>
      <c r="Q120" s="29">
        <v>1.4</v>
      </c>
      <c r="R120" s="5">
        <v>10.257142857142858</v>
      </c>
      <c r="S120" s="29">
        <v>0</v>
      </c>
      <c r="T120" s="5">
        <v>1.79</v>
      </c>
      <c r="U120" s="5">
        <f>AVERAGE(T120,T124)</f>
        <v>2.42</v>
      </c>
      <c r="V120" s="99">
        <v>0</v>
      </c>
      <c r="W120" s="99">
        <f t="shared" ref="W120:W127" si="22">V120*100</f>
        <v>0</v>
      </c>
    </row>
    <row r="121" spans="1:23" x14ac:dyDescent="0.3">
      <c r="A121" s="5" t="s">
        <v>170</v>
      </c>
      <c r="B121" s="5" t="s">
        <v>208</v>
      </c>
      <c r="C121" s="5">
        <v>2015</v>
      </c>
      <c r="D121" s="5">
        <v>121.13</v>
      </c>
      <c r="E121" s="5">
        <v>31.2</v>
      </c>
      <c r="F121" s="5">
        <v>2012</v>
      </c>
      <c r="G121" s="29">
        <v>25.889199999999999</v>
      </c>
      <c r="H121" s="29">
        <v>705.41890000000001</v>
      </c>
      <c r="I121" s="29">
        <v>737.24399999999991</v>
      </c>
      <c r="J121" s="100">
        <v>0.01</v>
      </c>
      <c r="K121" s="29">
        <v>1.4</v>
      </c>
      <c r="L121" s="29">
        <v>38</v>
      </c>
      <c r="M121" s="29">
        <v>37</v>
      </c>
      <c r="N121" s="29">
        <v>25</v>
      </c>
      <c r="O121" s="29">
        <v>6.3</v>
      </c>
      <c r="P121" s="29">
        <v>14.36</v>
      </c>
      <c r="Q121" s="29">
        <v>1.4</v>
      </c>
      <c r="R121" s="5">
        <v>10.257142857142858</v>
      </c>
      <c r="S121" s="29">
        <v>300</v>
      </c>
      <c r="T121" s="5">
        <v>13.74</v>
      </c>
      <c r="V121" s="99">
        <f>(T121-1.79)/S121</f>
        <v>3.9833333333333332E-2</v>
      </c>
      <c r="W121" s="99">
        <f t="shared" si="22"/>
        <v>3.9833333333333334</v>
      </c>
    </row>
    <row r="122" spans="1:23" x14ac:dyDescent="0.3">
      <c r="A122" s="5" t="s">
        <v>170</v>
      </c>
      <c r="B122" s="5" t="s">
        <v>208</v>
      </c>
      <c r="C122" s="5">
        <v>2015</v>
      </c>
      <c r="D122" s="5">
        <v>121.13</v>
      </c>
      <c r="E122" s="5">
        <v>31.2</v>
      </c>
      <c r="F122" s="5">
        <v>2012</v>
      </c>
      <c r="G122" s="29">
        <v>25.889199999999999</v>
      </c>
      <c r="H122" s="29">
        <v>705.41890000000001</v>
      </c>
      <c r="I122" s="29">
        <v>737.24399999999991</v>
      </c>
      <c r="J122" s="100">
        <v>0.01</v>
      </c>
      <c r="K122" s="29">
        <v>1.4</v>
      </c>
      <c r="L122" s="29">
        <v>38</v>
      </c>
      <c r="M122" s="29">
        <v>37</v>
      </c>
      <c r="N122" s="29">
        <v>25</v>
      </c>
      <c r="O122" s="29">
        <v>6.3</v>
      </c>
      <c r="P122" s="29">
        <v>14.36</v>
      </c>
      <c r="Q122" s="29">
        <v>1.4</v>
      </c>
      <c r="R122" s="5">
        <v>10.257142857142858</v>
      </c>
      <c r="S122" s="29">
        <v>300</v>
      </c>
      <c r="T122" s="5">
        <v>11.79</v>
      </c>
      <c r="V122" s="99">
        <f t="shared" ref="V122:V123" si="23">(T122-1.79)/S122</f>
        <v>3.3333333333333333E-2</v>
      </c>
      <c r="W122" s="99">
        <f t="shared" si="22"/>
        <v>3.3333333333333335</v>
      </c>
    </row>
    <row r="123" spans="1:23" x14ac:dyDescent="0.3">
      <c r="A123" s="5" t="s">
        <v>170</v>
      </c>
      <c r="B123" s="5" t="s">
        <v>208</v>
      </c>
      <c r="C123" s="5">
        <v>2015</v>
      </c>
      <c r="D123" s="5">
        <v>121.13</v>
      </c>
      <c r="E123" s="5">
        <v>31.2</v>
      </c>
      <c r="F123" s="5">
        <v>2012</v>
      </c>
      <c r="G123" s="29">
        <v>25.889199999999999</v>
      </c>
      <c r="H123" s="29">
        <v>705.41890000000001</v>
      </c>
      <c r="I123" s="29">
        <v>737.24399999999991</v>
      </c>
      <c r="J123" s="103">
        <v>0.01</v>
      </c>
      <c r="K123" s="29">
        <v>1.4</v>
      </c>
      <c r="L123" s="29">
        <v>38</v>
      </c>
      <c r="M123" s="29">
        <v>37</v>
      </c>
      <c r="N123" s="29">
        <v>25</v>
      </c>
      <c r="O123" s="29">
        <v>6.3</v>
      </c>
      <c r="P123" s="29">
        <v>14.36</v>
      </c>
      <c r="Q123" s="29">
        <v>1.4</v>
      </c>
      <c r="R123" s="5">
        <v>10.257142857142858</v>
      </c>
      <c r="S123" s="29">
        <v>300</v>
      </c>
      <c r="T123" s="5">
        <v>10.67</v>
      </c>
      <c r="V123" s="99">
        <f t="shared" si="23"/>
        <v>2.9599999999999998E-2</v>
      </c>
      <c r="W123" s="99">
        <f t="shared" si="22"/>
        <v>2.96</v>
      </c>
    </row>
    <row r="124" spans="1:23" x14ac:dyDescent="0.3">
      <c r="A124" s="5" t="s">
        <v>170</v>
      </c>
      <c r="B124" s="5" t="s">
        <v>208</v>
      </c>
      <c r="C124" s="5">
        <v>2015</v>
      </c>
      <c r="D124" s="5">
        <v>121.13</v>
      </c>
      <c r="E124" s="5">
        <v>31.2</v>
      </c>
      <c r="F124" s="5">
        <v>2013</v>
      </c>
      <c r="G124" s="29">
        <v>26.910800000000005</v>
      </c>
      <c r="H124" s="29">
        <v>589.60940000000005</v>
      </c>
      <c r="I124" s="29">
        <v>895.7100999999999</v>
      </c>
      <c r="J124" s="100">
        <v>0.01</v>
      </c>
      <c r="K124" s="29">
        <v>1.4</v>
      </c>
      <c r="L124" s="29">
        <v>38</v>
      </c>
      <c r="M124" s="29">
        <v>37</v>
      </c>
      <c r="N124" s="29">
        <v>25</v>
      </c>
      <c r="O124" s="29">
        <v>6.3</v>
      </c>
      <c r="P124" s="29">
        <v>14.36</v>
      </c>
      <c r="Q124" s="29">
        <v>1.4</v>
      </c>
      <c r="R124" s="5">
        <v>10.257142857142858</v>
      </c>
      <c r="S124" s="29">
        <v>0</v>
      </c>
      <c r="T124" s="5">
        <v>3.05</v>
      </c>
      <c r="V124" s="99">
        <v>0</v>
      </c>
      <c r="W124" s="99">
        <f t="shared" si="22"/>
        <v>0</v>
      </c>
    </row>
    <row r="125" spans="1:23" x14ac:dyDescent="0.3">
      <c r="A125" s="5" t="s">
        <v>170</v>
      </c>
      <c r="B125" s="5" t="s">
        <v>208</v>
      </c>
      <c r="C125" s="5">
        <v>2015</v>
      </c>
      <c r="D125" s="5">
        <v>121.13</v>
      </c>
      <c r="E125" s="5">
        <v>31.2</v>
      </c>
      <c r="F125" s="5">
        <v>2013</v>
      </c>
      <c r="G125" s="29">
        <v>26.910800000000005</v>
      </c>
      <c r="H125" s="29">
        <v>589.60940000000005</v>
      </c>
      <c r="I125" s="29">
        <v>895.7100999999999</v>
      </c>
      <c r="J125" s="100">
        <v>0.01</v>
      </c>
      <c r="K125" s="29">
        <v>1.4</v>
      </c>
      <c r="L125" s="29">
        <v>38</v>
      </c>
      <c r="M125" s="29">
        <v>37</v>
      </c>
      <c r="N125" s="29">
        <v>25</v>
      </c>
      <c r="O125" s="29">
        <v>6.3</v>
      </c>
      <c r="P125" s="29">
        <v>14.36</v>
      </c>
      <c r="Q125" s="29">
        <v>1.4</v>
      </c>
      <c r="R125" s="5">
        <v>10.257142857142858</v>
      </c>
      <c r="S125" s="29">
        <v>300</v>
      </c>
      <c r="T125" s="5">
        <v>14.73</v>
      </c>
      <c r="V125" s="99">
        <f>(T125-3.05)/S125</f>
        <v>3.8933333333333334E-2</v>
      </c>
      <c r="W125" s="99">
        <f t="shared" si="22"/>
        <v>3.8933333333333335</v>
      </c>
    </row>
    <row r="126" spans="1:23" x14ac:dyDescent="0.3">
      <c r="A126" s="5" t="s">
        <v>170</v>
      </c>
      <c r="B126" s="5" t="s">
        <v>208</v>
      </c>
      <c r="C126" s="5">
        <v>2015</v>
      </c>
      <c r="D126" s="5">
        <v>121.13</v>
      </c>
      <c r="E126" s="5">
        <v>31.2</v>
      </c>
      <c r="F126" s="5">
        <v>2013</v>
      </c>
      <c r="G126" s="29">
        <v>26.910800000000005</v>
      </c>
      <c r="H126" s="29">
        <v>589.60940000000005</v>
      </c>
      <c r="I126" s="29">
        <v>895.7100999999999</v>
      </c>
      <c r="J126" s="100">
        <v>0.01</v>
      </c>
      <c r="K126" s="29">
        <v>1.4</v>
      </c>
      <c r="L126" s="29">
        <v>38</v>
      </c>
      <c r="M126" s="29">
        <v>37</v>
      </c>
      <c r="N126" s="29">
        <v>25</v>
      </c>
      <c r="O126" s="29">
        <v>6.3</v>
      </c>
      <c r="P126" s="29">
        <v>14.36</v>
      </c>
      <c r="Q126" s="29">
        <v>1.4</v>
      </c>
      <c r="R126" s="5">
        <v>10.257142857142858</v>
      </c>
      <c r="S126" s="29">
        <v>300</v>
      </c>
      <c r="T126" s="5">
        <v>10.199999999999999</v>
      </c>
      <c r="V126" s="99">
        <f t="shared" ref="V126:V127" si="24">(T126-3.05)/S126</f>
        <v>2.3833333333333331E-2</v>
      </c>
      <c r="W126" s="99">
        <f t="shared" si="22"/>
        <v>2.3833333333333333</v>
      </c>
    </row>
    <row r="127" spans="1:23" x14ac:dyDescent="0.3">
      <c r="A127" s="5" t="s">
        <v>170</v>
      </c>
      <c r="B127" s="5" t="s">
        <v>208</v>
      </c>
      <c r="C127" s="5">
        <v>2015</v>
      </c>
      <c r="D127" s="5">
        <v>121.13</v>
      </c>
      <c r="E127" s="5">
        <v>31.2</v>
      </c>
      <c r="F127" s="5">
        <v>2013</v>
      </c>
      <c r="G127" s="29">
        <v>26.910800000000005</v>
      </c>
      <c r="H127" s="29">
        <v>589.60940000000005</v>
      </c>
      <c r="I127" s="29">
        <v>895.7100999999999</v>
      </c>
      <c r="J127" s="101">
        <v>0.01</v>
      </c>
      <c r="K127" s="29">
        <v>1.4</v>
      </c>
      <c r="L127" s="29">
        <v>38</v>
      </c>
      <c r="M127" s="29">
        <v>37</v>
      </c>
      <c r="N127" s="29">
        <v>25</v>
      </c>
      <c r="O127" s="29">
        <v>6.3</v>
      </c>
      <c r="P127" s="29">
        <v>14.36</v>
      </c>
      <c r="Q127" s="29">
        <v>1.4</v>
      </c>
      <c r="R127" s="5">
        <v>10.257142857142858</v>
      </c>
      <c r="S127" s="29">
        <v>300</v>
      </c>
      <c r="T127" s="5">
        <v>9.82</v>
      </c>
      <c r="V127" s="99">
        <f t="shared" si="24"/>
        <v>2.2566666666666669E-2</v>
      </c>
      <c r="W127" s="99">
        <f t="shared" si="22"/>
        <v>2.2566666666666668</v>
      </c>
    </row>
  </sheetData>
  <mergeCells count="5">
    <mergeCell ref="T1:W1"/>
    <mergeCell ref="A1:C1"/>
    <mergeCell ref="D1:E1"/>
    <mergeCell ref="G1:I1"/>
    <mergeCell ref="K1:R1"/>
  </mergeCells>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NH3</vt:lpstr>
      <vt:lpstr>N2O</vt:lpstr>
      <vt:lpstr>NO</vt:lpstr>
      <vt:lpstr>Leaching</vt:lpstr>
      <vt:lpstr>Runoff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Yiwei Shang</dc:creator>
  <cp:lastModifiedBy>PC</cp:lastModifiedBy>
  <dcterms:created xsi:type="dcterms:W3CDTF">2015-06-05T18:19:34Z</dcterms:created>
  <dcterms:modified xsi:type="dcterms:W3CDTF">2022-02-10T15:49:07Z</dcterms:modified>
</cp:coreProperties>
</file>