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 activeTab="2"/>
  </bookViews>
  <sheets>
    <sheet name="Datasheet Independent videos" sheetId="1" r:id="rId1"/>
    <sheet name="Average Gsize Wallow" sheetId="8" r:id="rId2"/>
    <sheet name="Average Gsize non Wallow" sheetId="10" r:id="rId3"/>
    <sheet name="Camera detection data BWP" sheetId="3" r:id="rId4"/>
    <sheet name="Encoding" sheetId="2" r:id="rId5"/>
    <sheet name="Activity pattern" sheetId="6" r:id="rId6"/>
    <sheet name="Camera detection data LTmacaque" sheetId="4" r:id="rId7"/>
  </sheets>
  <definedNames>
    <definedName name="_xlnm._FilterDatabase" localSheetId="0" hidden="1">'Datasheet Independent videos'!$B$1:$Y$26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3" l="1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H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3" i="3"/>
  <c r="L3" i="3"/>
  <c r="N3" i="3" l="1"/>
  <c r="I3" i="3"/>
  <c r="S60" i="3"/>
  <c r="S61" i="3"/>
  <c r="R4" i="3"/>
  <c r="S4" i="3" s="1"/>
  <c r="T4" i="3" s="1"/>
  <c r="R5" i="3"/>
  <c r="S5" i="3" s="1"/>
  <c r="T5" i="3" s="1"/>
  <c r="R6" i="3"/>
  <c r="S6" i="3" s="1"/>
  <c r="T6" i="3" s="1"/>
  <c r="R7" i="3"/>
  <c r="S7" i="3" s="1"/>
  <c r="T7" i="3" s="1"/>
  <c r="R8" i="3"/>
  <c r="S8" i="3" s="1"/>
  <c r="T8" i="3" s="1"/>
  <c r="R9" i="3"/>
  <c r="S9" i="3" s="1"/>
  <c r="T9" i="3" s="1"/>
  <c r="R10" i="3"/>
  <c r="S10" i="3" s="1"/>
  <c r="T10" i="3" s="1"/>
  <c r="R11" i="3"/>
  <c r="S11" i="3" s="1"/>
  <c r="T11" i="3" s="1"/>
  <c r="R12" i="3"/>
  <c r="S12" i="3" s="1"/>
  <c r="T12" i="3" s="1"/>
  <c r="R13" i="3"/>
  <c r="S13" i="3" s="1"/>
  <c r="T13" i="3" s="1"/>
  <c r="R14" i="3"/>
  <c r="S14" i="3" s="1"/>
  <c r="T14" i="3" s="1"/>
  <c r="R15" i="3"/>
  <c r="S15" i="3" s="1"/>
  <c r="T15" i="3" s="1"/>
  <c r="R16" i="3"/>
  <c r="S16" i="3" s="1"/>
  <c r="T16" i="3" s="1"/>
  <c r="R17" i="3"/>
  <c r="S17" i="3" s="1"/>
  <c r="T17" i="3" s="1"/>
  <c r="R18" i="3"/>
  <c r="S18" i="3" s="1"/>
  <c r="T18" i="3" s="1"/>
  <c r="R19" i="3"/>
  <c r="S19" i="3" s="1"/>
  <c r="T19" i="3" s="1"/>
  <c r="R20" i="3"/>
  <c r="S20" i="3" s="1"/>
  <c r="T20" i="3" s="1"/>
  <c r="R21" i="3"/>
  <c r="S21" i="3" s="1"/>
  <c r="T21" i="3" s="1"/>
  <c r="R22" i="3"/>
  <c r="S22" i="3" s="1"/>
  <c r="T22" i="3" s="1"/>
  <c r="R23" i="3"/>
  <c r="S23" i="3" s="1"/>
  <c r="T23" i="3" s="1"/>
  <c r="R24" i="3"/>
  <c r="S24" i="3" s="1"/>
  <c r="T24" i="3" s="1"/>
  <c r="R25" i="3"/>
  <c r="S25" i="3" s="1"/>
  <c r="T25" i="3" s="1"/>
  <c r="R26" i="3"/>
  <c r="S26" i="3" s="1"/>
  <c r="T26" i="3" s="1"/>
  <c r="R27" i="3"/>
  <c r="S27" i="3" s="1"/>
  <c r="T27" i="3" s="1"/>
  <c r="R28" i="3"/>
  <c r="S28" i="3" s="1"/>
  <c r="T28" i="3" s="1"/>
  <c r="R29" i="3"/>
  <c r="S29" i="3" s="1"/>
  <c r="T29" i="3" s="1"/>
  <c r="R30" i="3"/>
  <c r="S30" i="3" s="1"/>
  <c r="T30" i="3" s="1"/>
  <c r="R31" i="3"/>
  <c r="S31" i="3" s="1"/>
  <c r="T31" i="3" s="1"/>
  <c r="R32" i="3"/>
  <c r="S32" i="3" s="1"/>
  <c r="T32" i="3" s="1"/>
  <c r="R33" i="3"/>
  <c r="S33" i="3" s="1"/>
  <c r="T33" i="3" s="1"/>
  <c r="R34" i="3"/>
  <c r="S34" i="3" s="1"/>
  <c r="T34" i="3" s="1"/>
  <c r="R35" i="3"/>
  <c r="S35" i="3" s="1"/>
  <c r="T35" i="3" s="1"/>
  <c r="R36" i="3"/>
  <c r="S36" i="3" s="1"/>
  <c r="T36" i="3" s="1"/>
  <c r="R37" i="3"/>
  <c r="S37" i="3" s="1"/>
  <c r="T37" i="3" s="1"/>
  <c r="R38" i="3"/>
  <c r="S38" i="3" s="1"/>
  <c r="T38" i="3" s="1"/>
  <c r="R39" i="3"/>
  <c r="S39" i="3" s="1"/>
  <c r="T39" i="3" s="1"/>
  <c r="R40" i="3"/>
  <c r="S40" i="3" s="1"/>
  <c r="T40" i="3" s="1"/>
  <c r="R41" i="3"/>
  <c r="S41" i="3" s="1"/>
  <c r="T41" i="3" s="1"/>
  <c r="R42" i="3"/>
  <c r="S42" i="3" s="1"/>
  <c r="T42" i="3" s="1"/>
  <c r="R43" i="3"/>
  <c r="S43" i="3" s="1"/>
  <c r="T43" i="3" s="1"/>
  <c r="R44" i="3"/>
  <c r="S44" i="3" s="1"/>
  <c r="T44" i="3" s="1"/>
  <c r="R45" i="3"/>
  <c r="S45" i="3" s="1"/>
  <c r="T45" i="3" s="1"/>
  <c r="R46" i="3"/>
  <c r="S46" i="3" s="1"/>
  <c r="T46" i="3" s="1"/>
  <c r="R47" i="3"/>
  <c r="S47" i="3" s="1"/>
  <c r="T47" i="3" s="1"/>
  <c r="R48" i="3"/>
  <c r="S48" i="3" s="1"/>
  <c r="T48" i="3" s="1"/>
  <c r="R49" i="3"/>
  <c r="S49" i="3" s="1"/>
  <c r="T49" i="3" s="1"/>
  <c r="R50" i="3"/>
  <c r="S50" i="3" s="1"/>
  <c r="T50" i="3" s="1"/>
  <c r="R51" i="3"/>
  <c r="S51" i="3" s="1"/>
  <c r="T51" i="3" s="1"/>
  <c r="R52" i="3"/>
  <c r="S52" i="3" s="1"/>
  <c r="T52" i="3" s="1"/>
  <c r="R53" i="3"/>
  <c r="S53" i="3" s="1"/>
  <c r="T53" i="3" s="1"/>
  <c r="R54" i="3"/>
  <c r="S54" i="3" s="1"/>
  <c r="T54" i="3" s="1"/>
  <c r="R55" i="3"/>
  <c r="S55" i="3" s="1"/>
  <c r="T55" i="3" s="1"/>
  <c r="R56" i="3"/>
  <c r="S56" i="3" s="1"/>
  <c r="T56" i="3" s="1"/>
  <c r="R57" i="3"/>
  <c r="S57" i="3" s="1"/>
  <c r="T57" i="3" s="1"/>
  <c r="R58" i="3"/>
  <c r="S58" i="3" s="1"/>
  <c r="T58" i="3" s="1"/>
  <c r="R59" i="3"/>
  <c r="S59" i="3" s="1"/>
  <c r="T59" i="3" s="1"/>
  <c r="R3" i="3"/>
  <c r="S3" i="3" s="1"/>
  <c r="O3" i="3" l="1"/>
  <c r="J3" i="3"/>
  <c r="T3" i="3"/>
  <c r="AA3" i="3"/>
  <c r="AB3" i="3" s="1"/>
  <c r="AC3" i="3" s="1"/>
  <c r="Z3" i="3"/>
  <c r="V3" i="3" l="1"/>
  <c r="W3" i="3" s="1"/>
  <c r="U3" i="3"/>
  <c r="U4" i="3" s="1"/>
  <c r="X3" i="3" l="1"/>
  <c r="X4" i="3" s="1"/>
  <c r="Y3" i="3"/>
  <c r="Y4" i="3" s="1"/>
  <c r="AE5" i="3" l="1"/>
  <c r="AF5" i="3" s="1"/>
  <c r="AD6" i="3"/>
  <c r="AE6" i="3" s="1"/>
  <c r="AF6" i="3" s="1"/>
  <c r="AD4" i="3" l="1"/>
  <c r="AE4" i="3" s="1"/>
  <c r="AF4" i="3" s="1"/>
  <c r="P363" i="1" l="1"/>
  <c r="P361" i="1"/>
  <c r="P358" i="1"/>
  <c r="E33" i="10" l="1"/>
  <c r="T30" i="10" l="1"/>
  <c r="AE19" i="10"/>
  <c r="M19" i="10"/>
  <c r="N19" i="10" s="1"/>
  <c r="AE18" i="10"/>
  <c r="M18" i="10"/>
  <c r="N18" i="10" s="1"/>
  <c r="AE9" i="10"/>
  <c r="M9" i="10"/>
  <c r="N9" i="10" s="1"/>
  <c r="M26" i="10"/>
  <c r="N26" i="10" s="1"/>
  <c r="M8" i="10"/>
  <c r="N8" i="10" s="1"/>
  <c r="N25" i="10"/>
  <c r="M17" i="10"/>
  <c r="N17" i="10" s="1"/>
  <c r="N24" i="10"/>
  <c r="M24" i="10"/>
  <c r="M7" i="10"/>
  <c r="N7" i="10" s="1"/>
  <c r="M16" i="10"/>
  <c r="N16" i="10" s="1"/>
  <c r="AE6" i="10"/>
  <c r="M6" i="10"/>
  <c r="N6" i="10" s="1"/>
  <c r="M15" i="10"/>
  <c r="N15" i="10" s="1"/>
  <c r="M23" i="10"/>
  <c r="N23" i="10" s="1"/>
  <c r="AE22" i="10"/>
  <c r="M22" i="10"/>
  <c r="N22" i="10" s="1"/>
  <c r="AE29" i="10"/>
  <c r="M29" i="10"/>
  <c r="N29" i="10" s="1"/>
  <c r="M21" i="10"/>
  <c r="N21" i="10" s="1"/>
  <c r="M27" i="10"/>
  <c r="N27" i="10" s="1"/>
  <c r="N5" i="10"/>
  <c r="N4" i="10"/>
  <c r="N13" i="10"/>
  <c r="N3" i="10"/>
  <c r="N20" i="10"/>
  <c r="N12" i="10"/>
  <c r="N2" i="10"/>
  <c r="N11" i="10"/>
  <c r="N1" i="10"/>
  <c r="AO201" i="10"/>
  <c r="N28" i="10"/>
  <c r="N10" i="10"/>
  <c r="T33" i="8"/>
  <c r="M32" i="8"/>
  <c r="N32" i="8" s="1"/>
  <c r="M31" i="8"/>
  <c r="N31" i="8" s="1"/>
  <c r="M30" i="8"/>
  <c r="N30" i="8" s="1"/>
  <c r="M29" i="8"/>
  <c r="N29" i="8" s="1"/>
  <c r="M28" i="8"/>
  <c r="N28" i="8" s="1"/>
  <c r="M27" i="8"/>
  <c r="N27" i="8" s="1"/>
  <c r="M26" i="8"/>
  <c r="N26" i="8" s="1"/>
  <c r="M25" i="8"/>
  <c r="N25" i="8" s="1"/>
  <c r="M24" i="8"/>
  <c r="N24" i="8" s="1"/>
  <c r="M23" i="8"/>
  <c r="N23" i="8" s="1"/>
  <c r="M22" i="8"/>
  <c r="N22" i="8" s="1"/>
  <c r="M21" i="8"/>
  <c r="N21" i="8" s="1"/>
  <c r="M20" i="8"/>
  <c r="N20" i="8" s="1"/>
  <c r="M19" i="8"/>
  <c r="N19" i="8" s="1"/>
  <c r="M18" i="8"/>
  <c r="N18" i="8" s="1"/>
  <c r="M17" i="8"/>
  <c r="N17" i="8" s="1"/>
  <c r="M16" i="8"/>
  <c r="N16" i="8" s="1"/>
  <c r="M15" i="8"/>
  <c r="N15" i="8" s="1"/>
  <c r="M14" i="8"/>
  <c r="N14" i="8" s="1"/>
  <c r="M13" i="8"/>
  <c r="N13" i="8" s="1"/>
  <c r="M12" i="8"/>
  <c r="N12" i="8" s="1"/>
  <c r="M11" i="8"/>
  <c r="N11" i="8" s="1"/>
  <c r="M10" i="8"/>
  <c r="N10" i="8" s="1"/>
  <c r="M9" i="8"/>
  <c r="N9" i="8" s="1"/>
  <c r="M8" i="8"/>
  <c r="N8" i="8" s="1"/>
  <c r="M7" i="8"/>
  <c r="N7" i="8" s="1"/>
  <c r="M6" i="8"/>
  <c r="N6" i="8" s="1"/>
  <c r="M5" i="8"/>
  <c r="N5" i="8" s="1"/>
  <c r="X348" i="1" l="1"/>
  <c r="W348" i="1"/>
  <c r="V348" i="1"/>
  <c r="T348" i="1"/>
  <c r="AK4" i="3" l="1"/>
  <c r="AH4" i="3" l="1"/>
  <c r="M345" i="1" l="1"/>
  <c r="N345" i="1" s="1"/>
  <c r="AE345" i="1"/>
  <c r="N344" i="1"/>
  <c r="M344" i="1"/>
  <c r="N346" i="1"/>
  <c r="M346" i="1"/>
  <c r="N343" i="1"/>
  <c r="M343" i="1"/>
  <c r="AE343" i="1"/>
  <c r="AE342" i="1"/>
  <c r="N342" i="1"/>
  <c r="M342" i="1"/>
  <c r="N341" i="1"/>
  <c r="M341" i="1"/>
  <c r="M340" i="1"/>
  <c r="N340" i="1" s="1"/>
  <c r="M339" i="1"/>
  <c r="N339" i="1"/>
  <c r="M338" i="1"/>
  <c r="N338" i="1" s="1"/>
  <c r="M337" i="1"/>
  <c r="N337" i="1"/>
  <c r="M336" i="1"/>
  <c r="N336" i="1" s="1"/>
  <c r="N335" i="1"/>
  <c r="M335" i="1"/>
  <c r="M334" i="1"/>
  <c r="N334" i="1" s="1"/>
  <c r="M333" i="1"/>
  <c r="M332" i="1"/>
  <c r="M331" i="1"/>
  <c r="M330" i="1" l="1"/>
  <c r="N330" i="1" s="1"/>
  <c r="M329" i="1"/>
  <c r="N329" i="1" s="1"/>
  <c r="M328" i="1"/>
  <c r="N328" i="1" s="1"/>
  <c r="M327" i="1"/>
  <c r="N327" i="1" s="1"/>
  <c r="M326" i="1"/>
  <c r="N326" i="1" s="1"/>
  <c r="M325" i="1"/>
  <c r="N325" i="1" s="1"/>
  <c r="M324" i="1"/>
  <c r="N324" i="1" s="1"/>
  <c r="M323" i="1"/>
  <c r="M321" i="1"/>
  <c r="N321" i="1" s="1"/>
  <c r="M322" i="1"/>
  <c r="N322" i="1" s="1"/>
  <c r="M320" i="1"/>
  <c r="N320" i="1" s="1"/>
  <c r="M319" i="1"/>
  <c r="N319" i="1" s="1"/>
  <c r="M318" i="1"/>
  <c r="N318" i="1" s="1"/>
  <c r="M317" i="1"/>
  <c r="N317" i="1" s="1"/>
  <c r="M316" i="1"/>
  <c r="N316" i="1" s="1"/>
  <c r="M315" i="1"/>
  <c r="N315" i="1"/>
  <c r="N323" i="1"/>
  <c r="N331" i="1"/>
  <c r="N332" i="1"/>
  <c r="N333" i="1"/>
  <c r="M314" i="1"/>
  <c r="N314" i="1" s="1"/>
  <c r="M313" i="1"/>
  <c r="N313" i="1" s="1"/>
  <c r="M312" i="1"/>
  <c r="N312" i="1" s="1"/>
  <c r="M311" i="1"/>
  <c r="N311" i="1" s="1"/>
  <c r="M310" i="1"/>
  <c r="N310" i="1" s="1"/>
  <c r="M309" i="1"/>
  <c r="N309" i="1" s="1"/>
  <c r="M308" i="1"/>
  <c r="N308" i="1" s="1"/>
  <c r="M307" i="1"/>
  <c r="N307" i="1" s="1"/>
  <c r="M306" i="1"/>
  <c r="N306" i="1" s="1"/>
  <c r="M305" i="1"/>
  <c r="N305" i="1" s="1"/>
  <c r="M304" i="1"/>
  <c r="N304" i="1" s="1"/>
  <c r="M303" i="1"/>
  <c r="N303" i="1" s="1"/>
  <c r="M302" i="1"/>
  <c r="N302" i="1" s="1"/>
  <c r="M301" i="1"/>
  <c r="N301" i="1" s="1"/>
  <c r="M300" i="1"/>
  <c r="N300" i="1" s="1"/>
  <c r="N298" i="1"/>
  <c r="M299" i="1"/>
  <c r="N299" i="1" s="1"/>
  <c r="X357" i="1"/>
  <c r="W357" i="1"/>
  <c r="V357" i="1"/>
  <c r="M297" i="1" l="1"/>
  <c r="N297" i="1" s="1"/>
  <c r="B25" i="6" l="1"/>
  <c r="N7" i="1"/>
  <c r="N296" i="1" l="1"/>
  <c r="N295" i="1"/>
  <c r="N294" i="1"/>
  <c r="N293" i="1"/>
  <c r="N292" i="1"/>
  <c r="N291" i="1"/>
  <c r="M290" i="1"/>
  <c r="N290" i="1" s="1"/>
  <c r="M289" i="1"/>
  <c r="N289" i="1" s="1"/>
  <c r="M288" i="1"/>
  <c r="N288" i="1" s="1"/>
  <c r="M287" i="1"/>
  <c r="N287" i="1" s="1"/>
  <c r="M286" i="1"/>
  <c r="N286" i="1" s="1"/>
  <c r="M285" i="1"/>
  <c r="N285" i="1" s="1"/>
  <c r="M284" i="1"/>
  <c r="N284" i="1" s="1"/>
  <c r="M283" i="1"/>
  <c r="N283" i="1" s="1"/>
  <c r="M282" i="1"/>
  <c r="N282" i="1" s="1"/>
  <c r="M281" i="1"/>
  <c r="N281" i="1" s="1"/>
  <c r="M280" i="1"/>
  <c r="N280" i="1" s="1"/>
  <c r="AE279" i="1"/>
  <c r="M279" i="1"/>
  <c r="N279" i="1" s="1"/>
  <c r="M278" i="1"/>
  <c r="N278" i="1" s="1"/>
  <c r="M277" i="1"/>
  <c r="N277" i="1" s="1"/>
  <c r="M276" i="1"/>
  <c r="N276" i="1" s="1"/>
  <c r="AE275" i="1"/>
  <c r="M275" i="1"/>
  <c r="N275" i="1" s="1"/>
  <c r="M274" i="1"/>
  <c r="N274" i="1" s="1"/>
  <c r="M273" i="1"/>
  <c r="N273" i="1" s="1"/>
  <c r="M272" i="1"/>
  <c r="N272" i="1" s="1"/>
  <c r="M271" i="1"/>
  <c r="N271" i="1" s="1"/>
  <c r="M270" i="1"/>
  <c r="N270" i="1" s="1"/>
  <c r="AE272" i="1"/>
  <c r="AE270" i="1"/>
  <c r="M269" i="1"/>
  <c r="N269" i="1" s="1"/>
  <c r="M268" i="1"/>
  <c r="N268" i="1" s="1"/>
  <c r="M267" i="1"/>
  <c r="N267" i="1" s="1"/>
  <c r="M266" i="1"/>
  <c r="N266" i="1" s="1"/>
  <c r="M265" i="1"/>
  <c r="N265" i="1" s="1"/>
  <c r="M264" i="1"/>
  <c r="N264" i="1" s="1"/>
  <c r="M263" i="1"/>
  <c r="N263" i="1" s="1"/>
  <c r="M262" i="1"/>
  <c r="N262" i="1" s="1"/>
  <c r="AE261" i="1"/>
  <c r="M261" i="1"/>
  <c r="N261" i="1" s="1"/>
  <c r="M260" i="1"/>
  <c r="N260" i="1" s="1"/>
  <c r="M259" i="1"/>
  <c r="N259" i="1" s="1"/>
  <c r="AE259" i="1"/>
  <c r="AE258" i="1"/>
  <c r="M258" i="1"/>
  <c r="N258" i="1" s="1"/>
  <c r="M257" i="1"/>
  <c r="N257" i="1" s="1"/>
  <c r="M256" i="1"/>
  <c r="N256" i="1" s="1"/>
  <c r="M255" i="1"/>
  <c r="N255" i="1" s="1"/>
  <c r="M254" i="1"/>
  <c r="N254" i="1" s="1"/>
  <c r="AE254" i="1"/>
  <c r="M253" i="1"/>
  <c r="N253" i="1" s="1"/>
  <c r="M252" i="1"/>
  <c r="N252" i="1" s="1"/>
  <c r="M251" i="1"/>
  <c r="N251" i="1" s="1"/>
  <c r="M250" i="1"/>
  <c r="N250" i="1" s="1"/>
  <c r="M249" i="1"/>
  <c r="N249" i="1" s="1"/>
  <c r="M248" i="1"/>
  <c r="N248" i="1" s="1"/>
  <c r="M247" i="1"/>
  <c r="N247" i="1" s="1"/>
  <c r="M246" i="1"/>
  <c r="N246" i="1" s="1"/>
  <c r="M245" i="1"/>
  <c r="N245" i="1" s="1"/>
  <c r="M244" i="1"/>
  <c r="N244" i="1" s="1"/>
  <c r="M243" i="1"/>
  <c r="N243" i="1" s="1"/>
  <c r="AE243" i="1"/>
  <c r="M242" i="1"/>
  <c r="N242" i="1" s="1"/>
  <c r="M241" i="1"/>
  <c r="N241" i="1" s="1"/>
  <c r="M240" i="1"/>
  <c r="N240" i="1" s="1"/>
  <c r="M239" i="1"/>
  <c r="N239" i="1" s="1"/>
  <c r="M238" i="1"/>
  <c r="N238" i="1" s="1"/>
  <c r="AE240" i="1"/>
  <c r="AE239" i="1"/>
  <c r="AE237" i="1"/>
  <c r="AE238" i="1"/>
  <c r="M237" i="1"/>
  <c r="N237" i="1" s="1"/>
  <c r="M236" i="1"/>
  <c r="N236" i="1" s="1"/>
  <c r="M235" i="1"/>
  <c r="N235" i="1" s="1"/>
  <c r="M234" i="1"/>
  <c r="N234" i="1" s="1"/>
  <c r="M233" i="1"/>
  <c r="N233" i="1" s="1"/>
  <c r="M232" i="1"/>
  <c r="N232" i="1" s="1"/>
  <c r="M231" i="1"/>
  <c r="N231" i="1" s="1"/>
  <c r="AE234" i="1"/>
  <c r="AE230" i="1"/>
  <c r="M230" i="1"/>
  <c r="N230" i="1" s="1"/>
  <c r="M229" i="1"/>
  <c r="N229" i="1" s="1"/>
  <c r="M228" i="1"/>
  <c r="N228" i="1" s="1"/>
  <c r="M227" i="1"/>
  <c r="N227" i="1" s="1"/>
  <c r="M226" i="1"/>
  <c r="N226" i="1" s="1"/>
  <c r="M225" i="1"/>
  <c r="N225" i="1" s="1"/>
  <c r="M224" i="1"/>
  <c r="N224" i="1" s="1"/>
  <c r="M223" i="1"/>
  <c r="N223" i="1" s="1"/>
  <c r="M222" i="1"/>
  <c r="N222" i="1" s="1"/>
  <c r="AE221" i="1"/>
  <c r="M221" i="1"/>
  <c r="N221" i="1" s="1"/>
  <c r="M220" i="1" l="1"/>
  <c r="N220" i="1" s="1"/>
  <c r="M219" i="1"/>
  <c r="N219" i="1" s="1"/>
  <c r="M218" i="1"/>
  <c r="N218" i="1" s="1"/>
  <c r="M217" i="1"/>
  <c r="N217" i="1" s="1"/>
  <c r="M216" i="1"/>
  <c r="N216" i="1" s="1"/>
  <c r="M215" i="1"/>
  <c r="N215" i="1" s="1"/>
  <c r="M214" i="1"/>
  <c r="N214" i="1" s="1"/>
  <c r="M213" i="1"/>
  <c r="N213" i="1" s="1"/>
  <c r="M212" i="1"/>
  <c r="N212" i="1" s="1"/>
  <c r="M211" i="1"/>
  <c r="N211" i="1" s="1"/>
  <c r="M210" i="1"/>
  <c r="N210" i="1" s="1"/>
  <c r="M209" i="1"/>
  <c r="N209" i="1" s="1"/>
  <c r="M208" i="1"/>
  <c r="N208" i="1" s="1"/>
  <c r="M207" i="1" l="1"/>
  <c r="N207" i="1" s="1"/>
  <c r="M206" i="1"/>
  <c r="N206" i="1" s="1"/>
  <c r="M205" i="1"/>
  <c r="N205" i="1" s="1"/>
  <c r="M204" i="1"/>
  <c r="N204" i="1" s="1"/>
  <c r="M203" i="1"/>
  <c r="N203" i="1" s="1"/>
  <c r="M202" i="1"/>
  <c r="N202" i="1" s="1"/>
  <c r="M201" i="1"/>
  <c r="N201" i="1" s="1"/>
  <c r="M200" i="1"/>
  <c r="N200" i="1" s="1"/>
  <c r="M199" i="1" l="1"/>
  <c r="N199" i="1" s="1"/>
  <c r="M198" i="1"/>
  <c r="N198" i="1" s="1"/>
  <c r="M197" i="1"/>
  <c r="N197" i="1" s="1"/>
  <c r="M196" i="1"/>
  <c r="N196" i="1" s="1"/>
  <c r="M195" i="1"/>
  <c r="N195" i="1" s="1"/>
  <c r="M194" i="1"/>
  <c r="N194" i="1" s="1"/>
  <c r="M193" i="1"/>
  <c r="N193" i="1" s="1"/>
  <c r="M192" i="1"/>
  <c r="N192" i="1" s="1"/>
  <c r="M191" i="1"/>
  <c r="N191" i="1" s="1"/>
  <c r="M190" i="1"/>
  <c r="N190" i="1" s="1"/>
  <c r="M189" i="1"/>
  <c r="N189" i="1" s="1"/>
  <c r="M188" i="1"/>
  <c r="N188" i="1" s="1"/>
  <c r="M187" i="1"/>
  <c r="N187" i="1" s="1"/>
  <c r="M186" i="1"/>
  <c r="N186" i="1" s="1"/>
  <c r="M185" i="1"/>
  <c r="N185" i="1" s="1"/>
  <c r="M184" i="1"/>
  <c r="N184" i="1" s="1"/>
  <c r="M183" i="1"/>
  <c r="N183" i="1" s="1"/>
  <c r="M182" i="1"/>
  <c r="N182" i="1" s="1"/>
  <c r="M181" i="1"/>
  <c r="N181" i="1" s="1"/>
  <c r="M180" i="1"/>
  <c r="N180" i="1" s="1"/>
  <c r="M179" i="1"/>
  <c r="N179" i="1" s="1"/>
  <c r="M178" i="1"/>
  <c r="N178" i="1" s="1"/>
  <c r="M177" i="1"/>
  <c r="N177" i="1" s="1"/>
  <c r="M176" i="1"/>
  <c r="N176" i="1" s="1"/>
  <c r="M175" i="1"/>
  <c r="N175" i="1" s="1"/>
  <c r="M174" i="1"/>
  <c r="N174" i="1" s="1"/>
  <c r="M173" i="1"/>
  <c r="N173" i="1" s="1"/>
  <c r="N150" i="1"/>
  <c r="M164" i="1"/>
  <c r="N164" i="1" s="1"/>
  <c r="M163" i="1"/>
  <c r="N163" i="1" s="1"/>
  <c r="M162" i="1"/>
  <c r="N162" i="1" s="1"/>
  <c r="M161" i="1"/>
  <c r="N161" i="1" s="1"/>
  <c r="M160" i="1"/>
  <c r="N160" i="1" s="1"/>
  <c r="M159" i="1"/>
  <c r="N159" i="1" s="1"/>
  <c r="M158" i="1"/>
  <c r="N158" i="1" s="1"/>
  <c r="M157" i="1"/>
  <c r="N157" i="1" s="1"/>
  <c r="M156" i="1"/>
  <c r="N156" i="1" s="1"/>
  <c r="M155" i="1"/>
  <c r="N155" i="1" s="1"/>
  <c r="M154" i="1"/>
  <c r="N154" i="1" s="1"/>
  <c r="M153" i="1"/>
  <c r="N153" i="1" s="1"/>
  <c r="M171" i="1"/>
  <c r="N171" i="1" s="1"/>
  <c r="M170" i="1"/>
  <c r="N170" i="1" s="1"/>
  <c r="M169" i="1"/>
  <c r="N169" i="1" s="1"/>
  <c r="M168" i="1"/>
  <c r="N168" i="1" s="1"/>
  <c r="M167" i="1"/>
  <c r="N167" i="1" s="1"/>
  <c r="M166" i="1"/>
  <c r="N166" i="1" s="1"/>
  <c r="M172" i="1"/>
  <c r="N172" i="1" s="1"/>
  <c r="M165" i="1"/>
  <c r="N165" i="1" s="1"/>
  <c r="M152" i="1"/>
  <c r="N152" i="1" s="1"/>
  <c r="M125" i="1"/>
  <c r="N151" i="1"/>
  <c r="N148" i="1" l="1"/>
  <c r="N147" i="1"/>
  <c r="N146" i="1"/>
  <c r="N144" i="1"/>
  <c r="N142" i="1"/>
  <c r="N145" i="1"/>
  <c r="N143" i="1"/>
  <c r="N141" i="1"/>
  <c r="N149" i="1" l="1"/>
  <c r="N101" i="1"/>
  <c r="N100" i="1"/>
  <c r="N99" i="1"/>
  <c r="N97" i="1"/>
  <c r="N96" i="1"/>
  <c r="N95" i="1"/>
  <c r="N94" i="1"/>
  <c r="N92" i="1"/>
  <c r="N139" i="1" l="1"/>
  <c r="N138" i="1"/>
  <c r="N132" i="1"/>
  <c r="N131" i="1"/>
  <c r="N130" i="1"/>
  <c r="N124" i="1"/>
  <c r="N123" i="1"/>
  <c r="N122" i="1"/>
  <c r="N121" i="1"/>
  <c r="N120" i="1"/>
  <c r="N116" i="1"/>
  <c r="N114" i="1"/>
  <c r="N113" i="1"/>
  <c r="N112" i="1"/>
  <c r="N110" i="1"/>
  <c r="N109" i="1"/>
  <c r="N108" i="1"/>
  <c r="N107" i="1"/>
  <c r="N106" i="1"/>
  <c r="N105" i="1"/>
  <c r="N104" i="1"/>
  <c r="N103" i="1"/>
  <c r="N111" i="1" l="1"/>
  <c r="N102" i="1"/>
  <c r="N128" i="1"/>
  <c r="N129" i="1"/>
  <c r="N133" i="1"/>
  <c r="N134" i="1"/>
  <c r="N135" i="1"/>
  <c r="N136" i="1"/>
  <c r="N137" i="1"/>
  <c r="N140" i="1"/>
  <c r="N98" i="1"/>
  <c r="N115" i="1"/>
  <c r="N117" i="1"/>
  <c r="N118" i="1"/>
  <c r="N119" i="1"/>
  <c r="N127" i="1"/>
  <c r="N93" i="1"/>
  <c r="N91" i="1"/>
  <c r="N28" i="1" l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358" i="1" s="1"/>
  <c r="N3" i="1"/>
  <c r="N4" i="1"/>
  <c r="N5" i="1"/>
  <c r="N6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" i="1"/>
  <c r="BF7" i="3" l="1"/>
  <c r="AP16" i="1" l="1"/>
  <c r="AO31" i="1"/>
  <c r="AO16" i="1"/>
  <c r="AO26" i="1" l="1"/>
</calcChain>
</file>

<file path=xl/sharedStrings.xml><?xml version="1.0" encoding="utf-8"?>
<sst xmlns="http://schemas.openxmlformats.org/spreadsheetml/2006/main" count="1124" uniqueCount="349">
  <si>
    <t xml:space="preserve">Variable column </t>
  </si>
  <si>
    <t xml:space="preserve">Description </t>
  </si>
  <si>
    <t>Encoding</t>
  </si>
  <si>
    <t>Fixed preset for each individual camera</t>
  </si>
  <si>
    <t>CTID</t>
  </si>
  <si>
    <t>Camera trap ID</t>
  </si>
  <si>
    <t>Encoded A-T</t>
  </si>
  <si>
    <t>LIL</t>
  </si>
  <si>
    <t>Location installed</t>
  </si>
  <si>
    <t>Grid Cell ID encoded 1-120</t>
  </si>
  <si>
    <t>XLC</t>
  </si>
  <si>
    <t>X coordinate of location</t>
  </si>
  <si>
    <t>e.g.12534333,930815</t>
  </si>
  <si>
    <t>YLC</t>
  </si>
  <si>
    <t>Y coordinate of location</t>
  </si>
  <si>
    <t>e.g. -647566,762284</t>
  </si>
  <si>
    <t>DIL</t>
  </si>
  <si>
    <t>Date installed</t>
  </si>
  <si>
    <t>In Day-Month-Year e.g. 05-12-2014</t>
  </si>
  <si>
    <t>TIL</t>
  </si>
  <si>
    <t>Time installed</t>
  </si>
  <si>
    <t>In 24 hour clock e.g. 21.00.</t>
  </si>
  <si>
    <t>DCL</t>
  </si>
  <si>
    <t>Date collected</t>
  </si>
  <si>
    <t>In Day-Month-Year</t>
  </si>
  <si>
    <t>TCL</t>
  </si>
  <si>
    <t xml:space="preserve">Time collected </t>
  </si>
  <si>
    <t>In 24 hour clock</t>
  </si>
  <si>
    <t>For all videos</t>
  </si>
  <si>
    <t>VID</t>
  </si>
  <si>
    <t>Video ID</t>
  </si>
  <si>
    <t>Encoding on SD card e.g. DSC 4</t>
  </si>
  <si>
    <t>DVI</t>
  </si>
  <si>
    <t>Date of Video</t>
  </si>
  <si>
    <t>TVI</t>
  </si>
  <si>
    <t>Time of Video</t>
  </si>
  <si>
    <t xml:space="preserve">In 24 hour clock </t>
  </si>
  <si>
    <t>SPC</t>
  </si>
  <si>
    <t>Species on video</t>
  </si>
  <si>
    <t>1=Bawean warty pig</t>
  </si>
  <si>
    <t>2=Banded pig</t>
  </si>
  <si>
    <t>AD</t>
  </si>
  <si>
    <t>Angle of Detection (only for first three of each species)</t>
  </si>
  <si>
    <t>In degrees e.g. 24.5</t>
  </si>
  <si>
    <t>RD</t>
  </si>
  <si>
    <t>Radial distance of detection (only for first three of each species)</t>
  </si>
  <si>
    <t>In meters e.g. 4</t>
  </si>
  <si>
    <t>In meters/sec. e.g. 7m/22sec = 0.32m/s</t>
  </si>
  <si>
    <t>NIV</t>
  </si>
  <si>
    <t>Number of individuals on video</t>
  </si>
  <si>
    <t>0 &gt;</t>
  </si>
  <si>
    <t>NFV</t>
  </si>
  <si>
    <t>Number of adult females on video</t>
  </si>
  <si>
    <t>NMV</t>
  </si>
  <si>
    <t>Number of adult males on video</t>
  </si>
  <si>
    <t>NJV</t>
  </si>
  <si>
    <t>Number of juveniles on video</t>
  </si>
  <si>
    <t>NPV</t>
  </si>
  <si>
    <t>Number of piglets on video</t>
  </si>
  <si>
    <t>NAF</t>
  </si>
  <si>
    <t>NAM</t>
  </si>
  <si>
    <t>GPS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</si>
  <si>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</si>
  <si>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</si>
  <si>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</si>
  <si>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</si>
  <si>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</si>
  <si>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</si>
  <si>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</si>
  <si>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</si>
  <si>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</si>
  <si>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</si>
  <si>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</si>
  <si>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</si>
  <si>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</si>
  <si>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</si>
  <si>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</si>
  <si>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</si>
  <si>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</si>
  <si>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</si>
  <si>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</si>
  <si>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</si>
  <si>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NVD</t>
  </si>
  <si>
    <t>DT</t>
  </si>
  <si>
    <t>V00004</t>
  </si>
  <si>
    <t>Note</t>
  </si>
  <si>
    <t>SMV</t>
  </si>
  <si>
    <t>Distance Traveled (only for first three of each species)</t>
  </si>
  <si>
    <t xml:space="preserve">In meters </t>
  </si>
  <si>
    <t>Speed of movement</t>
  </si>
  <si>
    <t>NUK</t>
  </si>
  <si>
    <t>Number of unknown</t>
  </si>
  <si>
    <t>V00006</t>
  </si>
  <si>
    <t>Date  is transformed 2 days later, Time is 7 hours and 15 minutes later</t>
  </si>
  <si>
    <t>3=Long tailed macaque</t>
  </si>
  <si>
    <t>NIF</t>
  </si>
  <si>
    <t>Number of infants (Non-pig species)</t>
  </si>
  <si>
    <t>0&gt;</t>
  </si>
  <si>
    <t>Date is transformed 2 days later, Time is 7 hours and 12 minutes later</t>
  </si>
  <si>
    <t>V00000</t>
  </si>
  <si>
    <t>V00001</t>
  </si>
  <si>
    <t>V00002</t>
  </si>
  <si>
    <t>NAD</t>
  </si>
  <si>
    <t>Number of adult individuals on video</t>
  </si>
  <si>
    <t>V00003</t>
  </si>
  <si>
    <t>ID</t>
  </si>
  <si>
    <t>C22</t>
  </si>
  <si>
    <t>V00005</t>
  </si>
  <si>
    <t>V00012</t>
  </si>
  <si>
    <t>V00025</t>
  </si>
  <si>
    <t>V00026</t>
  </si>
  <si>
    <t>V00029</t>
  </si>
  <si>
    <t>V00032</t>
  </si>
  <si>
    <r>
      <t xml:space="preserve">For camera detection data, only the first three videos of each species are used (Rowcliffe </t>
    </r>
    <r>
      <rPr>
        <i/>
        <sz val="11"/>
        <color theme="1"/>
        <rFont val="Calibri"/>
        <family val="2"/>
        <scheme val="minor"/>
      </rPr>
      <t>et al.,</t>
    </r>
    <r>
      <rPr>
        <sz val="11"/>
        <color theme="1"/>
        <rFont val="Calibri"/>
        <family val="2"/>
        <scheme val="minor"/>
      </rPr>
      <t xml:space="preserve"> 2011)</t>
    </r>
  </si>
  <si>
    <t>V00027</t>
  </si>
  <si>
    <t>Camera detection data Long-tailed macaques</t>
  </si>
  <si>
    <t>Camera detection data Bawean warty pigs</t>
  </si>
  <si>
    <t>No. Independent videos,  1 hour between videos of same-sexed individuals or same sized groups</t>
  </si>
  <si>
    <t>V00008</t>
  </si>
  <si>
    <t>V00007</t>
  </si>
  <si>
    <t>V00009</t>
  </si>
  <si>
    <t>A2C01</t>
  </si>
  <si>
    <t>Number of videos with wildlife</t>
  </si>
  <si>
    <t>A2C02</t>
  </si>
  <si>
    <t>A2C03</t>
  </si>
  <si>
    <t>A2C04</t>
  </si>
  <si>
    <t>A2C05</t>
  </si>
  <si>
    <t>A2C06</t>
  </si>
  <si>
    <t>A2C07</t>
  </si>
  <si>
    <t>A2C08</t>
  </si>
  <si>
    <t>A2C09</t>
  </si>
  <si>
    <t>A2C10</t>
  </si>
  <si>
    <t>A2C11</t>
  </si>
  <si>
    <t>A2C12</t>
  </si>
  <si>
    <t>V00017</t>
  </si>
  <si>
    <t>A2C13</t>
  </si>
  <si>
    <t>V00018</t>
  </si>
  <si>
    <t>V00038</t>
  </si>
  <si>
    <t>A2C14</t>
  </si>
  <si>
    <t>V00011</t>
  </si>
  <si>
    <t>1,,10</t>
  </si>
  <si>
    <t>A2C15</t>
  </si>
  <si>
    <t>V00021</t>
  </si>
  <si>
    <t>V00023</t>
  </si>
  <si>
    <t>V00024</t>
  </si>
  <si>
    <t>A2C16</t>
  </si>
  <si>
    <t>A2C17</t>
  </si>
  <si>
    <t>A2C18</t>
  </si>
  <si>
    <t>V00014</t>
  </si>
  <si>
    <t>V00015</t>
  </si>
  <si>
    <t>V00019</t>
  </si>
  <si>
    <t>Video unclear due to fog wait for species confirmation before including as warty pig</t>
  </si>
  <si>
    <t>V00022</t>
  </si>
  <si>
    <t>A2C19</t>
  </si>
  <si>
    <t>V0006</t>
  </si>
  <si>
    <t>A2C20</t>
  </si>
  <si>
    <t>V00013</t>
  </si>
  <si>
    <t>OUTSIDE BORDER</t>
  </si>
  <si>
    <t>Area</t>
  </si>
  <si>
    <t>Table: Number of warty pig videos and total camera hours</t>
  </si>
  <si>
    <t>Total hours</t>
  </si>
  <si>
    <t xml:space="preserve">Total minutes </t>
  </si>
  <si>
    <t>Number WP VIDEOS</t>
  </si>
  <si>
    <t>NUMBER OF CAMERA HOURS</t>
  </si>
  <si>
    <t>NUMBER OF VIDEOS PER HOUR</t>
  </si>
  <si>
    <t>m/s</t>
  </si>
  <si>
    <t>Km/h</t>
  </si>
  <si>
    <t>Effective Detection angle</t>
  </si>
  <si>
    <t>Effective Detection angle in radians</t>
  </si>
  <si>
    <t>Effective Detection  distance</t>
  </si>
  <si>
    <t>Average group size</t>
  </si>
  <si>
    <t>A3C19</t>
  </si>
  <si>
    <t>A3C18</t>
  </si>
  <si>
    <t>A3C17</t>
  </si>
  <si>
    <t>A3C16</t>
  </si>
  <si>
    <t>A3C1</t>
  </si>
  <si>
    <t>A3C2</t>
  </si>
  <si>
    <t>A3C3</t>
  </si>
  <si>
    <t>A3C4</t>
  </si>
  <si>
    <t>A3C5</t>
  </si>
  <si>
    <t>A3C6</t>
  </si>
  <si>
    <t>A3C7</t>
  </si>
  <si>
    <t>A3C8</t>
  </si>
  <si>
    <t>A3C9</t>
  </si>
  <si>
    <t>A3C10</t>
  </si>
  <si>
    <t>A3C11</t>
  </si>
  <si>
    <t>A3C12</t>
  </si>
  <si>
    <t>A3C13</t>
  </si>
  <si>
    <t>A3C14</t>
  </si>
  <si>
    <t>A3C15</t>
  </si>
  <si>
    <t>Still in field</t>
  </si>
  <si>
    <t>V0008</t>
  </si>
  <si>
    <t>V0009</t>
  </si>
  <si>
    <t>V0005</t>
  </si>
  <si>
    <t>V0010</t>
  </si>
  <si>
    <t>V0004</t>
  </si>
  <si>
    <t>V0013</t>
  </si>
  <si>
    <t>Km/day-1</t>
  </si>
  <si>
    <t>e</t>
  </si>
  <si>
    <t>Total camera trap hours</t>
  </si>
  <si>
    <t>Total wp videos</t>
  </si>
  <si>
    <t>Trap rate</t>
  </si>
  <si>
    <t>A4C01</t>
  </si>
  <si>
    <t>V0135</t>
  </si>
  <si>
    <t>V0138</t>
  </si>
  <si>
    <t>V0144</t>
  </si>
  <si>
    <t>V0146</t>
  </si>
  <si>
    <t>V0149</t>
  </si>
  <si>
    <t>V0152</t>
  </si>
  <si>
    <t>V0156</t>
  </si>
  <si>
    <t>V0158</t>
  </si>
  <si>
    <t>V0160</t>
  </si>
  <si>
    <t>4= Porcupine (Hystrix javanica)</t>
  </si>
  <si>
    <t>5= Dog</t>
  </si>
  <si>
    <t>A3C8Extra</t>
  </si>
  <si>
    <t>Is to be included in Habitat only not in Pop. Estimation</t>
  </si>
  <si>
    <t>A3C9Extra</t>
  </si>
  <si>
    <t xml:space="preserve"> 09:12:00</t>
  </si>
  <si>
    <t>7= Bawean deer</t>
  </si>
  <si>
    <t>6= Water buffalo</t>
  </si>
  <si>
    <t>A4C02</t>
  </si>
  <si>
    <t>A4C03</t>
  </si>
  <si>
    <t>A4C04</t>
  </si>
  <si>
    <t>A4C05</t>
  </si>
  <si>
    <t>8=Monitor lizard</t>
  </si>
  <si>
    <t>A4C06</t>
  </si>
  <si>
    <t>A4C07</t>
  </si>
  <si>
    <t>A4C08</t>
  </si>
  <si>
    <t>A4C09</t>
  </si>
  <si>
    <t>A4C10</t>
  </si>
  <si>
    <t>A4C11</t>
  </si>
  <si>
    <t>A4C12</t>
  </si>
  <si>
    <t>A4C13</t>
  </si>
  <si>
    <t>A4C14</t>
  </si>
  <si>
    <t>A4C15</t>
  </si>
  <si>
    <t>A4C16</t>
  </si>
  <si>
    <t>9=Domestic cat</t>
  </si>
  <si>
    <t>A4C17</t>
  </si>
  <si>
    <t>A4C18</t>
  </si>
  <si>
    <t>A4C19</t>
  </si>
  <si>
    <t>A4C20</t>
  </si>
  <si>
    <t>Habitat</t>
  </si>
  <si>
    <t>Wallow presence</t>
  </si>
  <si>
    <t>Time of Day</t>
  </si>
  <si>
    <t>Observed N</t>
  </si>
  <si>
    <t>Expected N</t>
  </si>
  <si>
    <t>Residual</t>
  </si>
  <si>
    <t>Sunrise - Sunset</t>
  </si>
  <si>
    <t>Sunset - Sunrise</t>
  </si>
  <si>
    <t>Total</t>
  </si>
  <si>
    <t>Test Statistics</t>
  </si>
  <si>
    <t>Chi-Square</t>
  </si>
  <si>
    <t>df</t>
  </si>
  <si>
    <t>Asymp. Sig.</t>
  </si>
  <si>
    <t>A5C01</t>
  </si>
  <si>
    <t>A5C02 (LOST/STOLEN)</t>
  </si>
  <si>
    <t>A5C03</t>
  </si>
  <si>
    <t>A5C04</t>
  </si>
  <si>
    <t>A6C01</t>
  </si>
  <si>
    <t>A6C02</t>
  </si>
  <si>
    <t>A6C03</t>
  </si>
  <si>
    <t>A6C04</t>
  </si>
  <si>
    <t>Adult Female with swollen teats</t>
  </si>
  <si>
    <t>A6C05</t>
  </si>
  <si>
    <t>A6C06</t>
  </si>
  <si>
    <t>10= Purple heron</t>
  </si>
  <si>
    <t>A6C07</t>
  </si>
  <si>
    <t>A6C08</t>
  </si>
  <si>
    <t>V000004</t>
  </si>
  <si>
    <t>V000006</t>
  </si>
  <si>
    <t>V000000</t>
  </si>
  <si>
    <t>V000001</t>
  </si>
  <si>
    <t>V000002</t>
  </si>
  <si>
    <t>V000003</t>
  </si>
  <si>
    <t>V000005</t>
  </si>
  <si>
    <t>V000012</t>
  </si>
  <si>
    <t>V000025</t>
  </si>
  <si>
    <t>V000026</t>
  </si>
  <si>
    <t>V000030</t>
  </si>
  <si>
    <t>V000032</t>
  </si>
  <si>
    <t>V000008</t>
  </si>
  <si>
    <t>V000007</t>
  </si>
  <si>
    <t>V000009</t>
  </si>
  <si>
    <t>V000017</t>
  </si>
  <si>
    <t>V000018</t>
  </si>
  <si>
    <t>V000027</t>
  </si>
  <si>
    <t>V000037</t>
  </si>
  <si>
    <t>V000038</t>
  </si>
  <si>
    <t>V000011</t>
  </si>
  <si>
    <t>V000021</t>
  </si>
  <si>
    <t>V000023</t>
  </si>
  <si>
    <t>V000024</t>
  </si>
  <si>
    <t>V000014</t>
  </si>
  <si>
    <t>V000015</t>
  </si>
  <si>
    <t>V000019</t>
  </si>
  <si>
    <t>V000022</t>
  </si>
  <si>
    <t>V000013</t>
  </si>
  <si>
    <t>V00010</t>
  </si>
  <si>
    <t>V00016</t>
  </si>
  <si>
    <t>V00028</t>
  </si>
  <si>
    <t>V00031</t>
  </si>
  <si>
    <t>V00034</t>
  </si>
  <si>
    <t>V00039</t>
  </si>
  <si>
    <t>V00020</t>
  </si>
  <si>
    <t>V00041</t>
  </si>
  <si>
    <t>V00044</t>
  </si>
  <si>
    <t>V00060</t>
  </si>
  <si>
    <t>V00063</t>
  </si>
  <si>
    <t>V00077</t>
  </si>
  <si>
    <t>A7C01</t>
  </si>
  <si>
    <t>A7C02</t>
  </si>
  <si>
    <t>A7C03</t>
  </si>
  <si>
    <t>A7C04</t>
  </si>
  <si>
    <t>A7C05</t>
  </si>
  <si>
    <t>A7C06</t>
  </si>
  <si>
    <t>A7C08</t>
  </si>
  <si>
    <t>V00088</t>
  </si>
  <si>
    <t>V00090</t>
  </si>
  <si>
    <t>A8C01</t>
  </si>
  <si>
    <t>A7C07</t>
  </si>
  <si>
    <t>a. 0 cells (0,0%) have expected frequencies less than 5. The minimum expected cell frequency is 63,5.</t>
  </si>
  <si>
    <r>
      <t>27,409</t>
    </r>
    <r>
      <rPr>
        <vertAlign val="superscript"/>
        <sz val="9"/>
        <color indexed="8"/>
        <rFont val="Arial"/>
        <family val="2"/>
      </rPr>
      <t>a</t>
    </r>
  </si>
  <si>
    <t>N=127</t>
  </si>
  <si>
    <t>N=92</t>
  </si>
  <si>
    <t>N=63</t>
  </si>
  <si>
    <t>Trap rate (excluding extra wallow cams a3C08, a3C09 &amp; random wallow cam a4C01)</t>
  </si>
  <si>
    <t>(N.videos/camera hrs)*24</t>
  </si>
  <si>
    <t>N=57</t>
  </si>
  <si>
    <t>=</t>
  </si>
  <si>
    <t>N. WP=0</t>
  </si>
  <si>
    <t>N.WP=1</t>
  </si>
  <si>
    <t>SPEC</t>
  </si>
  <si>
    <t>Wallow</t>
  </si>
  <si>
    <t>Non-Wallow</t>
  </si>
  <si>
    <t>Number excluded from density</t>
  </si>
  <si>
    <t>Total wp density</t>
  </si>
  <si>
    <t>LOG</t>
  </si>
  <si>
    <t>SD</t>
  </si>
  <si>
    <t>S.E.</t>
  </si>
  <si>
    <t>S.E.%</t>
  </si>
  <si>
    <t>SMV m/s</t>
  </si>
  <si>
    <t>km/h</t>
  </si>
  <si>
    <t>Km/day</t>
  </si>
  <si>
    <t>Geomean</t>
  </si>
  <si>
    <t>Mean log</t>
  </si>
  <si>
    <t>CI upper</t>
  </si>
  <si>
    <t>CI Lower</t>
  </si>
  <si>
    <t>RD/Km</t>
  </si>
  <si>
    <t>Radians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</si>
</sst>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/mm/yy;@"/>
    <numFmt numFmtId="165" formatCode="0.000"/>
    <numFmt numFmtId="166" formatCode="[$-F400]h:mm:ss\ AM/PM"/>
    <numFmt numFmtId="167" formatCode="0.0"/>
    <numFmt numFmtId="168" formatCode="###0"/>
    <numFmt numFmtId="169" formatCode="###0.0"/>
    <numFmt numFmtId="170" formatCode="####.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10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27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1" fillId="0" borderId="0" xfId="0" applyFont="1"/>
    <xf numFmtId="0" fontId="2" fillId="0" borderId="3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20" fontId="0" fillId="0" borderId="0" xfId="0" applyNumberFormat="1"/>
    <xf numFmtId="15" fontId="0" fillId="0" borderId="0" xfId="0" applyNumberFormat="1"/>
    <xf numFmtId="0" fontId="2" fillId="0" borderId="1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165" fontId="0" fillId="0" borderId="0" xfId="0" applyNumberFormat="1"/>
    <xf numFmtId="0" fontId="3" fillId="0" borderId="0" xfId="0" applyFont="1" applyAlignment="1"/>
    <xf numFmtId="0" fontId="1" fillId="0" borderId="10" xfId="0" applyFont="1" applyBorder="1"/>
    <xf numFmtId="0" fontId="0" fillId="0" borderId="10" xfId="0" applyBorder="1"/>
    <xf numFmtId="0" fontId="0" fillId="0" borderId="10" xfId="0" applyFill="1" applyBorder="1"/>
    <xf numFmtId="0" fontId="0" fillId="0" borderId="0" xfId="0" applyFill="1"/>
    <xf numFmtId="0" fontId="1" fillId="2" borderId="0" xfId="0" applyFont="1" applyFill="1" applyBorder="1"/>
    <xf numFmtId="0" fontId="0" fillId="2" borderId="0" xfId="0" applyFill="1" applyBorder="1"/>
    <xf numFmtId="0" fontId="1" fillId="2" borderId="13" xfId="0" applyFont="1" applyFill="1" applyBorder="1"/>
    <xf numFmtId="0" fontId="0" fillId="2" borderId="13" xfId="0" applyFill="1" applyBorder="1"/>
    <xf numFmtId="0" fontId="1" fillId="2" borderId="14" xfId="0" applyFont="1" applyFill="1" applyBorder="1"/>
    <xf numFmtId="0" fontId="0" fillId="2" borderId="14" xfId="0" applyFill="1" applyBorder="1"/>
    <xf numFmtId="0" fontId="0" fillId="0" borderId="0" xfId="0" applyFill="1" applyBorder="1"/>
    <xf numFmtId="15" fontId="0" fillId="0" borderId="0" xfId="0" applyNumberFormat="1" applyFill="1"/>
    <xf numFmtId="20" fontId="0" fillId="0" borderId="0" xfId="0" applyNumberFormat="1" applyFill="1"/>
    <xf numFmtId="0" fontId="0" fillId="0" borderId="0" xfId="0" applyNumberFormat="1" applyFill="1" applyBorder="1"/>
    <xf numFmtId="0" fontId="1" fillId="0" borderId="0" xfId="0" applyFont="1" applyFill="1"/>
    <xf numFmtId="166" fontId="1" fillId="0" borderId="0" xfId="0" applyNumberFormat="1" applyFont="1" applyFill="1"/>
    <xf numFmtId="164" fontId="1" fillId="0" borderId="0" xfId="0" applyNumberFormat="1" applyFont="1" applyFill="1"/>
    <xf numFmtId="0" fontId="1" fillId="0" borderId="0" xfId="0" applyNumberFormat="1" applyFont="1" applyFill="1"/>
    <xf numFmtId="2" fontId="1" fillId="0" borderId="0" xfId="0" applyNumberFormat="1" applyFont="1" applyFill="1"/>
    <xf numFmtId="14" fontId="0" fillId="0" borderId="0" xfId="0" applyNumberFormat="1" applyFill="1"/>
    <xf numFmtId="166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ill="1"/>
    <xf numFmtId="2" fontId="0" fillId="0" borderId="0" xfId="0" applyNumberFormat="1" applyFill="1"/>
    <xf numFmtId="0" fontId="0" fillId="2" borderId="16" xfId="0" applyFill="1" applyBorder="1"/>
    <xf numFmtId="0" fontId="0" fillId="2" borderId="12" xfId="0" applyFill="1" applyBorder="1"/>
    <xf numFmtId="0" fontId="0" fillId="2" borderId="17" xfId="0" applyFill="1" applyBorder="1"/>
    <xf numFmtId="14" fontId="0" fillId="0" borderId="0" xfId="0" applyNumberFormat="1" applyFill="1" applyBorder="1"/>
    <xf numFmtId="166" fontId="0" fillId="0" borderId="0" xfId="0" applyNumberFormat="1" applyFill="1" applyBorder="1"/>
    <xf numFmtId="164" fontId="0" fillId="0" borderId="0" xfId="0" applyNumberFormat="1" applyFill="1" applyBorder="1"/>
    <xf numFmtId="2" fontId="0" fillId="0" borderId="0" xfId="0" applyNumberFormat="1" applyFill="1" applyBorder="1"/>
    <xf numFmtId="15" fontId="0" fillId="0" borderId="0" xfId="0" applyNumberFormat="1" applyFill="1" applyBorder="1"/>
    <xf numFmtId="20" fontId="0" fillId="0" borderId="0" xfId="0" applyNumberFormat="1" applyFill="1" applyBorder="1"/>
    <xf numFmtId="0" fontId="0" fillId="2" borderId="0" xfId="0" applyFont="1" applyFill="1" applyBorder="1"/>
    <xf numFmtId="0" fontId="0" fillId="0" borderId="0" xfId="0" applyFont="1" applyFill="1" applyBorder="1"/>
    <xf numFmtId="14" fontId="0" fillId="0" borderId="0" xfId="0" applyNumberFormat="1" applyFont="1" applyFill="1" applyBorder="1"/>
    <xf numFmtId="166" fontId="0" fillId="0" borderId="0" xfId="0" applyNumberFormat="1" applyFont="1" applyFill="1" applyBorder="1"/>
    <xf numFmtId="164" fontId="0" fillId="0" borderId="0" xfId="0" applyNumberFormat="1" applyFont="1" applyFill="1" applyBorder="1"/>
    <xf numFmtId="0" fontId="0" fillId="0" borderId="0" xfId="0" applyNumberFormat="1" applyFont="1" applyFill="1" applyBorder="1"/>
    <xf numFmtId="2" fontId="0" fillId="0" borderId="0" xfId="0" applyNumberFormat="1" applyFont="1" applyFill="1" applyBorder="1"/>
    <xf numFmtId="15" fontId="0" fillId="0" borderId="0" xfId="0" applyNumberFormat="1" applyFont="1" applyFill="1" applyBorder="1"/>
    <xf numFmtId="20" fontId="0" fillId="0" borderId="0" xfId="0" applyNumberFormat="1" applyFont="1" applyFill="1" applyBorder="1"/>
    <xf numFmtId="0" fontId="0" fillId="2" borderId="14" xfId="0" applyFont="1" applyFill="1" applyBorder="1"/>
    <xf numFmtId="0" fontId="0" fillId="2" borderId="13" xfId="0" applyFont="1" applyFill="1" applyBorder="1"/>
    <xf numFmtId="0" fontId="2" fillId="0" borderId="5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/>
    <xf numFmtId="0" fontId="0" fillId="3" borderId="0" xfId="0" applyFill="1" applyBorder="1"/>
    <xf numFmtId="0" fontId="0" fillId="3" borderId="13" xfId="0" applyFill="1" applyBorder="1"/>
    <xf numFmtId="0" fontId="0" fillId="3" borderId="14" xfId="0" applyFill="1" applyBorder="1"/>
    <xf numFmtId="2" fontId="0" fillId="3" borderId="0" xfId="0" applyNumberFormat="1" applyFont="1" applyFill="1" applyBorder="1"/>
    <xf numFmtId="0" fontId="0" fillId="0" borderId="12" xfId="0" applyFill="1" applyBorder="1"/>
    <xf numFmtId="14" fontId="0" fillId="0" borderId="12" xfId="0" applyNumberFormat="1" applyFill="1" applyBorder="1"/>
    <xf numFmtId="166" fontId="0" fillId="0" borderId="12" xfId="0" applyNumberFormat="1" applyFill="1" applyBorder="1"/>
    <xf numFmtId="164" fontId="0" fillId="0" borderId="12" xfId="0" applyNumberFormat="1" applyFill="1" applyBorder="1"/>
    <xf numFmtId="0" fontId="0" fillId="0" borderId="12" xfId="0" applyNumberFormat="1" applyFill="1" applyBorder="1"/>
    <xf numFmtId="2" fontId="0" fillId="0" borderId="12" xfId="0" applyNumberFormat="1" applyFill="1" applyBorder="1"/>
    <xf numFmtId="15" fontId="0" fillId="0" borderId="12" xfId="0" applyNumberFormat="1" applyFill="1" applyBorder="1"/>
    <xf numFmtId="20" fontId="0" fillId="0" borderId="12" xfId="0" applyNumberFormat="1" applyFill="1" applyBorder="1"/>
    <xf numFmtId="165" fontId="0" fillId="0" borderId="0" xfId="0" applyNumberFormat="1" applyFill="1"/>
    <xf numFmtId="167" fontId="0" fillId="0" borderId="0" xfId="0" applyNumberFormat="1" applyFill="1"/>
    <xf numFmtId="49" fontId="0" fillId="0" borderId="0" xfId="0" applyNumberFormat="1" applyFill="1" applyAlignment="1">
      <alignment wrapText="1"/>
    </xf>
    <xf numFmtId="0" fontId="0" fillId="0" borderId="15" xfId="0" applyFill="1" applyBorder="1"/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0" fillId="0" borderId="18" xfId="0" applyFill="1" applyBorder="1"/>
    <xf numFmtId="2" fontId="0" fillId="0" borderId="18" xfId="0" applyNumberFormat="1" applyFill="1" applyBorder="1"/>
    <xf numFmtId="0" fontId="0" fillId="3" borderId="18" xfId="0" applyFill="1" applyBorder="1"/>
    <xf numFmtId="14" fontId="0" fillId="3" borderId="18" xfId="0" applyNumberFormat="1" applyFill="1" applyBorder="1"/>
    <xf numFmtId="166" fontId="0" fillId="3" borderId="18" xfId="0" applyNumberFormat="1" applyFill="1" applyBorder="1"/>
    <xf numFmtId="164" fontId="0" fillId="3" borderId="18" xfId="0" applyNumberFormat="1" applyFill="1" applyBorder="1"/>
    <xf numFmtId="0" fontId="0" fillId="3" borderId="18" xfId="0" applyNumberFormat="1" applyFill="1" applyBorder="1"/>
    <xf numFmtId="15" fontId="0" fillId="3" borderId="18" xfId="0" applyNumberFormat="1" applyFill="1" applyBorder="1"/>
    <xf numFmtId="20" fontId="0" fillId="3" borderId="18" xfId="0" applyNumberFormat="1" applyFill="1" applyBorder="1"/>
    <xf numFmtId="0" fontId="0" fillId="3" borderId="20" xfId="0" applyFill="1" applyBorder="1"/>
    <xf numFmtId="0" fontId="0" fillId="3" borderId="21" xfId="0" applyFill="1" applyBorder="1"/>
    <xf numFmtId="14" fontId="0" fillId="3" borderId="0" xfId="0" applyNumberFormat="1" applyFill="1" applyBorder="1"/>
    <xf numFmtId="166" fontId="0" fillId="3" borderId="0" xfId="0" applyNumberFormat="1" applyFill="1" applyBorder="1"/>
    <xf numFmtId="164" fontId="0" fillId="3" borderId="0" xfId="0" applyNumberFormat="1" applyFill="1" applyBorder="1"/>
    <xf numFmtId="0" fontId="0" fillId="3" borderId="0" xfId="0" applyNumberFormat="1" applyFill="1" applyBorder="1"/>
    <xf numFmtId="2" fontId="0" fillId="3" borderId="0" xfId="0" applyNumberFormat="1" applyFill="1" applyBorder="1"/>
    <xf numFmtId="15" fontId="0" fillId="3" borderId="0" xfId="0" applyNumberFormat="1" applyFill="1" applyBorder="1"/>
    <xf numFmtId="20" fontId="0" fillId="3" borderId="0" xfId="0" applyNumberFormat="1" applyFill="1" applyBorder="1"/>
    <xf numFmtId="0" fontId="0" fillId="3" borderId="12" xfId="0" applyFill="1" applyBorder="1"/>
    <xf numFmtId="14" fontId="0" fillId="3" borderId="12" xfId="0" applyNumberFormat="1" applyFill="1" applyBorder="1"/>
    <xf numFmtId="166" fontId="0" fillId="3" borderId="12" xfId="0" applyNumberFormat="1" applyFill="1" applyBorder="1"/>
    <xf numFmtId="164" fontId="0" fillId="3" borderId="12" xfId="0" applyNumberFormat="1" applyFill="1" applyBorder="1"/>
    <xf numFmtId="0" fontId="0" fillId="3" borderId="12" xfId="0" applyNumberFormat="1" applyFill="1" applyBorder="1"/>
    <xf numFmtId="2" fontId="0" fillId="3" borderId="12" xfId="0" applyNumberFormat="1" applyFill="1" applyBorder="1"/>
    <xf numFmtId="15" fontId="0" fillId="3" borderId="12" xfId="0" applyNumberFormat="1" applyFill="1" applyBorder="1"/>
    <xf numFmtId="20" fontId="0" fillId="3" borderId="12" xfId="0" applyNumberFormat="1" applyFill="1" applyBorder="1"/>
    <xf numFmtId="0" fontId="0" fillId="3" borderId="16" xfId="0" applyFill="1" applyBorder="1"/>
    <xf numFmtId="0" fontId="0" fillId="3" borderId="17" xfId="0" applyFill="1" applyBorder="1"/>
    <xf numFmtId="2" fontId="0" fillId="3" borderId="18" xfId="0" applyNumberFormat="1" applyFont="1" applyFill="1" applyBorder="1"/>
    <xf numFmtId="0" fontId="2" fillId="0" borderId="3" xfId="0" applyFont="1" applyFill="1" applyBorder="1"/>
    <xf numFmtId="0" fontId="5" fillId="0" borderId="0" xfId="1"/>
    <xf numFmtId="0" fontId="2" fillId="0" borderId="9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1" fontId="0" fillId="0" borderId="0" xfId="0" applyNumberFormat="1" applyFill="1" applyBorder="1"/>
    <xf numFmtId="1" fontId="1" fillId="0" borderId="0" xfId="0" applyNumberFormat="1" applyFont="1" applyFill="1"/>
    <xf numFmtId="1" fontId="0" fillId="0" borderId="0" xfId="0" applyNumberFormat="1" applyFill="1"/>
    <xf numFmtId="1" fontId="0" fillId="3" borderId="19" xfId="0" applyNumberFormat="1" applyFill="1" applyBorder="1"/>
    <xf numFmtId="1" fontId="0" fillId="3" borderId="22" xfId="0" applyNumberFormat="1" applyFill="1" applyBorder="1"/>
    <xf numFmtId="1" fontId="0" fillId="3" borderId="11" xfId="0" applyNumberFormat="1" applyFill="1" applyBorder="1"/>
    <xf numFmtId="0" fontId="0" fillId="4" borderId="0" xfId="0" applyFill="1"/>
    <xf numFmtId="14" fontId="0" fillId="4" borderId="0" xfId="0" applyNumberFormat="1" applyFill="1"/>
    <xf numFmtId="166" fontId="0" fillId="4" borderId="0" xfId="0" applyNumberFormat="1" applyFill="1"/>
    <xf numFmtId="164" fontId="0" fillId="4" borderId="0" xfId="0" applyNumberFormat="1" applyFill="1"/>
    <xf numFmtId="0" fontId="0" fillId="4" borderId="0" xfId="0" applyNumberFormat="1" applyFill="1"/>
    <xf numFmtId="2" fontId="0" fillId="4" borderId="0" xfId="0" applyNumberFormat="1" applyFill="1"/>
    <xf numFmtId="15" fontId="0" fillId="4" borderId="0" xfId="0" applyNumberFormat="1" applyFill="1"/>
    <xf numFmtId="20" fontId="0" fillId="4" borderId="0" xfId="0" applyNumberFormat="1" applyFill="1"/>
    <xf numFmtId="0" fontId="0" fillId="4" borderId="0" xfId="0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0" xfId="0" applyNumberFormat="1" applyFill="1" applyBorder="1"/>
    <xf numFmtId="1" fontId="0" fillId="4" borderId="0" xfId="0" applyNumberFormat="1" applyFill="1" applyBorder="1"/>
    <xf numFmtId="0" fontId="2" fillId="0" borderId="5" xfId="0" applyFont="1" applyFill="1" applyBorder="1"/>
    <xf numFmtId="1" fontId="0" fillId="5" borderId="0" xfId="0" applyNumberFormat="1" applyFill="1" applyBorder="1"/>
    <xf numFmtId="0" fontId="0" fillId="5" borderId="0" xfId="0" applyFill="1"/>
    <xf numFmtId="0" fontId="0" fillId="5" borderId="0" xfId="0" applyFill="1" applyBorder="1"/>
    <xf numFmtId="14" fontId="0" fillId="5" borderId="0" xfId="0" applyNumberFormat="1" applyFill="1"/>
    <xf numFmtId="166" fontId="0" fillId="5" borderId="0" xfId="0" applyNumberFormat="1" applyFill="1"/>
    <xf numFmtId="164" fontId="0" fillId="5" borderId="0" xfId="0" applyNumberFormat="1" applyFill="1"/>
    <xf numFmtId="0" fontId="0" fillId="5" borderId="0" xfId="0" applyNumberFormat="1" applyFill="1"/>
    <xf numFmtId="2" fontId="0" fillId="5" borderId="0" xfId="0" applyNumberFormat="1" applyFill="1"/>
    <xf numFmtId="15" fontId="0" fillId="5" borderId="0" xfId="0" applyNumberFormat="1" applyFill="1"/>
    <xf numFmtId="20" fontId="0" fillId="5" borderId="0" xfId="0" applyNumberFormat="1" applyFill="1"/>
    <xf numFmtId="0" fontId="0" fillId="5" borderId="13" xfId="0" applyFill="1" applyBorder="1"/>
    <xf numFmtId="0" fontId="0" fillId="5" borderId="14" xfId="0" applyFill="1" applyBorder="1"/>
    <xf numFmtId="2" fontId="0" fillId="5" borderId="0" xfId="0" applyNumberFormat="1" applyFill="1" applyBorder="1"/>
    <xf numFmtId="0" fontId="0" fillId="0" borderId="13" xfId="0" applyFill="1" applyBorder="1"/>
    <xf numFmtId="0" fontId="0" fillId="0" borderId="14" xfId="0" applyFill="1" applyBorder="1"/>
    <xf numFmtId="0" fontId="0" fillId="5" borderId="0" xfId="0" applyNumberFormat="1" applyFill="1" applyBorder="1"/>
    <xf numFmtId="0" fontId="7" fillId="0" borderId="0" xfId="2"/>
    <xf numFmtId="0" fontId="8" fillId="0" borderId="24" xfId="2" applyFont="1" applyBorder="1" applyAlignment="1">
      <alignment horizontal="center" wrapText="1"/>
    </xf>
    <xf numFmtId="0" fontId="8" fillId="0" borderId="25" xfId="2" applyFont="1" applyBorder="1" applyAlignment="1">
      <alignment horizontal="center" wrapText="1"/>
    </xf>
    <xf numFmtId="0" fontId="8" fillId="0" borderId="26" xfId="2" applyFont="1" applyBorder="1" applyAlignment="1">
      <alignment horizontal="center" wrapText="1"/>
    </xf>
    <xf numFmtId="0" fontId="8" fillId="0" borderId="27" xfId="2" applyFont="1" applyBorder="1" applyAlignment="1">
      <alignment horizontal="left" vertical="top" wrapText="1"/>
    </xf>
    <xf numFmtId="168" fontId="8" fillId="0" borderId="28" xfId="2" applyNumberFormat="1" applyFont="1" applyBorder="1" applyAlignment="1">
      <alignment horizontal="right" vertical="top"/>
    </xf>
    <xf numFmtId="169" fontId="8" fillId="0" borderId="29" xfId="2" applyNumberFormat="1" applyFont="1" applyBorder="1" applyAlignment="1">
      <alignment horizontal="right" vertical="top"/>
    </xf>
    <xf numFmtId="169" fontId="8" fillId="0" borderId="30" xfId="2" applyNumberFormat="1" applyFont="1" applyBorder="1" applyAlignment="1">
      <alignment horizontal="right" vertical="top"/>
    </xf>
    <xf numFmtId="0" fontId="8" fillId="0" borderId="31" xfId="2" applyFont="1" applyBorder="1" applyAlignment="1">
      <alignment horizontal="left" vertical="top" wrapText="1"/>
    </xf>
    <xf numFmtId="168" fontId="8" fillId="0" borderId="32" xfId="2" applyNumberFormat="1" applyFont="1" applyBorder="1" applyAlignment="1">
      <alignment horizontal="right" vertical="top"/>
    </xf>
    <xf numFmtId="169" fontId="8" fillId="0" borderId="33" xfId="2" applyNumberFormat="1" applyFont="1" applyBorder="1" applyAlignment="1">
      <alignment horizontal="right" vertical="top"/>
    </xf>
    <xf numFmtId="169" fontId="8" fillId="0" borderId="34" xfId="2" applyNumberFormat="1" applyFont="1" applyBorder="1" applyAlignment="1">
      <alignment horizontal="right" vertical="top"/>
    </xf>
    <xf numFmtId="0" fontId="8" fillId="0" borderId="35" xfId="2" applyFont="1" applyBorder="1" applyAlignment="1">
      <alignment horizontal="left" vertical="top" wrapText="1"/>
    </xf>
    <xf numFmtId="168" fontId="8" fillId="0" borderId="36" xfId="2" applyNumberFormat="1" applyFont="1" applyBorder="1" applyAlignment="1">
      <alignment horizontal="right" vertical="top"/>
    </xf>
    <xf numFmtId="0" fontId="8" fillId="0" borderId="37" xfId="2" applyFont="1" applyBorder="1" applyAlignment="1">
      <alignment horizontal="left" vertical="top" wrapText="1"/>
    </xf>
    <xf numFmtId="0" fontId="8" fillId="0" borderId="38" xfId="2" applyFont="1" applyBorder="1" applyAlignment="1">
      <alignment horizontal="left" vertical="top" wrapText="1"/>
    </xf>
    <xf numFmtId="0" fontId="8" fillId="0" borderId="23" xfId="2" applyFont="1" applyBorder="1" applyAlignment="1">
      <alignment horizontal="center" wrapText="1"/>
    </xf>
    <xf numFmtId="0" fontId="8" fillId="0" borderId="27" xfId="2" applyFont="1" applyBorder="1" applyAlignment="1">
      <alignment horizontal="right" vertical="top"/>
    </xf>
    <xf numFmtId="168" fontId="8" fillId="0" borderId="31" xfId="2" applyNumberFormat="1" applyFont="1" applyBorder="1" applyAlignment="1">
      <alignment horizontal="right" vertical="top"/>
    </xf>
    <xf numFmtId="170" fontId="8" fillId="0" borderId="35" xfId="2" applyNumberFormat="1" applyFont="1" applyBorder="1" applyAlignment="1">
      <alignment horizontal="right" vertical="top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165" fontId="0" fillId="0" borderId="42" xfId="0" applyNumberFormat="1" applyBorder="1"/>
    <xf numFmtId="0" fontId="0" fillId="0" borderId="41" xfId="0" applyBorder="1" applyAlignment="1"/>
    <xf numFmtId="0" fontId="0" fillId="0" borderId="10" xfId="0" applyBorder="1" applyAlignment="1"/>
    <xf numFmtId="0" fontId="0" fillId="0" borderId="0" xfId="0" applyBorder="1"/>
    <xf numFmtId="0" fontId="1" fillId="0" borderId="44" xfId="0" applyFont="1" applyBorder="1"/>
    <xf numFmtId="0" fontId="1" fillId="0" borderId="44" xfId="0" applyFont="1" applyFill="1" applyBorder="1"/>
    <xf numFmtId="0" fontId="1" fillId="0" borderId="43" xfId="0" applyFont="1" applyBorder="1" applyAlignment="1">
      <alignment wrapText="1"/>
    </xf>
    <xf numFmtId="165" fontId="1" fillId="0" borderId="44" xfId="0" applyNumberFormat="1" applyFont="1" applyBorder="1"/>
    <xf numFmtId="2" fontId="0" fillId="0" borderId="43" xfId="0" applyNumberFormat="1" applyBorder="1"/>
    <xf numFmtId="2" fontId="0" fillId="3" borderId="18" xfId="0" applyNumberFormat="1" applyFill="1" applyBorder="1"/>
    <xf numFmtId="0" fontId="1" fillId="0" borderId="12" xfId="0" applyFont="1" applyFill="1" applyBorder="1"/>
    <xf numFmtId="2" fontId="1" fillId="0" borderId="12" xfId="0" applyNumberFormat="1" applyFont="1" applyFill="1" applyBorder="1"/>
    <xf numFmtId="0" fontId="0" fillId="3" borderId="15" xfId="0" applyFill="1" applyBorder="1"/>
    <xf numFmtId="0" fontId="3" fillId="0" borderId="19" xfId="0" applyFont="1" applyBorder="1" applyAlignment="1"/>
    <xf numFmtId="0" fontId="3" fillId="0" borderId="18" xfId="0" applyFont="1" applyBorder="1" applyAlignment="1"/>
    <xf numFmtId="0" fontId="3" fillId="0" borderId="45" xfId="0" applyFont="1" applyBorder="1" applyAlignment="1"/>
    <xf numFmtId="0" fontId="1" fillId="0" borderId="22" xfId="0" applyFont="1" applyBorder="1"/>
    <xf numFmtId="0" fontId="1" fillId="0" borderId="0" xfId="0" applyFont="1" applyBorder="1"/>
    <xf numFmtId="0" fontId="1" fillId="0" borderId="6" xfId="0" applyFont="1" applyBorder="1"/>
    <xf numFmtId="0" fontId="0" fillId="0" borderId="22" xfId="0" applyBorder="1"/>
    <xf numFmtId="0" fontId="0" fillId="0" borderId="6" xfId="0" applyBorder="1"/>
    <xf numFmtId="0" fontId="0" fillId="0" borderId="22" xfId="0" applyFill="1" applyBorder="1"/>
    <xf numFmtId="0" fontId="0" fillId="0" borderId="6" xfId="0" applyFill="1" applyBorder="1"/>
    <xf numFmtId="0" fontId="0" fillId="5" borderId="22" xfId="0" applyFill="1" applyBorder="1"/>
    <xf numFmtId="0" fontId="0" fillId="5" borderId="6" xfId="0" applyFill="1" applyBorder="1"/>
    <xf numFmtId="0" fontId="0" fillId="0" borderId="0" xfId="0" applyFont="1"/>
    <xf numFmtId="165" fontId="0" fillId="0" borderId="0" xfId="0" applyNumberFormat="1" applyBorder="1"/>
    <xf numFmtId="165" fontId="0" fillId="0" borderId="0" xfId="0" applyNumberFormat="1" applyFill="1" applyBorder="1"/>
    <xf numFmtId="0" fontId="0" fillId="0" borderId="15" xfId="0" applyBorder="1" applyAlignment="1">
      <alignment horizontal="center"/>
    </xf>
    <xf numFmtId="0" fontId="0" fillId="0" borderId="40" xfId="0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2" fillId="0" borderId="9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left" wrapText="1"/>
    </xf>
    <xf numFmtId="0" fontId="8" fillId="0" borderId="0" xfId="2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Standaard_Activity pattern" xfId="1"/>
    <cellStyle name="Standaard_Activity pattern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Times New Roman" panose="02020603050405020304" pitchFamily="18" charset="0"/>
                <a:cs typeface="Times New Roman" panose="02020603050405020304" pitchFamily="18" charset="0"/>
              </a:rPr>
              <a:t>Warty</a:t>
            </a:r>
            <a:r>
              <a:rPr lang="en-GB" b="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Times New Roman" panose="02020603050405020304" pitchFamily="18" charset="0"/>
                <a:cs typeface="Times New Roman" panose="02020603050405020304" pitchFamily="18" charset="0"/>
              </a:rPr>
              <a:t> pig activy pattern</a:t>
            </a:r>
            <a:endParaRPr lang="en-GB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51800173914432"/>
          <c:y val="0.13654576856649395"/>
          <c:w val="0.85619223129023769"/>
          <c:h val="0.657459099995920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'Activity pattern'!$A$1:$A$24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0.33333333333333398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0.58333333333333404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0.70833333333333404</c:v>
                </c:pt>
                <c:pt idx="18">
                  <c:v>0.750000000000001</c:v>
                </c:pt>
                <c:pt idx="19">
                  <c:v>0.79166666666666696</c:v>
                </c:pt>
                <c:pt idx="20">
                  <c:v>0.83333333333333404</c:v>
                </c:pt>
                <c:pt idx="21">
                  <c:v>0.875000000000001</c:v>
                </c:pt>
                <c:pt idx="22">
                  <c:v>0.91666666666666696</c:v>
                </c:pt>
                <c:pt idx="23">
                  <c:v>0.95833333333333404</c:v>
                </c:pt>
              </c:numCache>
            </c:numRef>
          </c:cat>
          <c:val>
            <c:numRef>
              <c:f>'Activity pattern'!$B$1:$B$24</c:f>
              <c:numCache>
                <c:formatCode>General</c:formatCode>
                <c:ptCount val="24"/>
                <c:pt idx="0">
                  <c:v>6</c:v>
                </c:pt>
                <c:pt idx="1">
                  <c:v>11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0</c:v>
                </c:pt>
                <c:pt idx="8">
                  <c:v>4</c:v>
                </c:pt>
                <c:pt idx="9">
                  <c:v>8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3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2042624"/>
        <c:axId val="112506368"/>
      </c:barChart>
      <c:catAx>
        <c:axId val="102042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h:mm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2506368"/>
        <c:crosses val="autoZero"/>
        <c:auto val="1"/>
        <c:lblAlgn val="ctr"/>
        <c:lblOffset val="100"/>
        <c:noMultiLvlLbl val="0"/>
      </c:catAx>
      <c:valAx>
        <c:axId val="1125063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10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alpha val="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videos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20426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Warty pig activity pattern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f>'Activity pattern'!$A$29:$A$52</c:f>
              <c:numCache>
                <c:formatCode>h:mm</c:formatCode>
                <c:ptCount val="24"/>
                <c:pt idx="0">
                  <c:v>0.5</c:v>
                </c:pt>
                <c:pt idx="1">
                  <c:v>0.54166666666666696</c:v>
                </c:pt>
                <c:pt idx="2">
                  <c:v>0.58333333333333404</c:v>
                </c:pt>
                <c:pt idx="3">
                  <c:v>0.625</c:v>
                </c:pt>
                <c:pt idx="4">
                  <c:v>0.66666666666666696</c:v>
                </c:pt>
                <c:pt idx="5">
                  <c:v>0.70833333333333404</c:v>
                </c:pt>
                <c:pt idx="6">
                  <c:v>0.750000000000001</c:v>
                </c:pt>
                <c:pt idx="7">
                  <c:v>0.79166666666666696</c:v>
                </c:pt>
                <c:pt idx="8">
                  <c:v>0.83333333333333404</c:v>
                </c:pt>
                <c:pt idx="9">
                  <c:v>0.875000000000001</c:v>
                </c:pt>
                <c:pt idx="10">
                  <c:v>0.91666666666666696</c:v>
                </c:pt>
                <c:pt idx="11">
                  <c:v>0.95833333333333404</c:v>
                </c:pt>
                <c:pt idx="12">
                  <c:v>0</c:v>
                </c:pt>
                <c:pt idx="13">
                  <c:v>4.1666666666666699E-2</c:v>
                </c:pt>
                <c:pt idx="14">
                  <c:v>8.3333333333333301E-2</c:v>
                </c:pt>
                <c:pt idx="15">
                  <c:v>0.125</c:v>
                </c:pt>
                <c:pt idx="16">
                  <c:v>0.16666666666666699</c:v>
                </c:pt>
                <c:pt idx="17">
                  <c:v>0.20833333333333301</c:v>
                </c:pt>
                <c:pt idx="18">
                  <c:v>0.25</c:v>
                </c:pt>
                <c:pt idx="19">
                  <c:v>0.29166666666666702</c:v>
                </c:pt>
                <c:pt idx="20">
                  <c:v>0.33333333333333398</c:v>
                </c:pt>
                <c:pt idx="21">
                  <c:v>0.375</c:v>
                </c:pt>
                <c:pt idx="22">
                  <c:v>0.41666666666666702</c:v>
                </c:pt>
                <c:pt idx="23">
                  <c:v>0.45833333333333398</c:v>
                </c:pt>
              </c:numCache>
            </c:numRef>
          </c:cat>
          <c:val>
            <c:numRef>
              <c:f>'Activity pattern'!$B$29:$B$52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0</c:v>
                </c:pt>
                <c:pt idx="20">
                  <c:v>1</c:v>
                </c:pt>
                <c:pt idx="21">
                  <c:v>8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9881216"/>
        <c:axId val="109882752"/>
      </c:barChart>
      <c:catAx>
        <c:axId val="109881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882752"/>
        <c:crosses val="autoZero"/>
        <c:auto val="1"/>
        <c:lblAlgn val="ctr"/>
        <c:lblOffset val="100"/>
        <c:noMultiLvlLbl val="0"/>
      </c:catAx>
      <c:valAx>
        <c:axId val="1098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83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881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123825</xdr:rowOff>
    </xdr:from>
    <xdr:to>
      <xdr:col>14</xdr:col>
      <xdr:colOff>152400</xdr:colOff>
      <xdr:row>19</xdr:row>
      <xdr:rowOff>180975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600075</xdr:colOff>
      <xdr:row>3</xdr:row>
      <xdr:rowOff>47625</xdr:rowOff>
    </xdr:from>
    <xdr:to>
      <xdr:col>8</xdr:col>
      <xdr:colOff>66675</xdr:colOff>
      <xdr:row>4</xdr:row>
      <xdr:rowOff>104775</xdr:rowOff>
    </xdr:to>
    <xdr:sp macro="" textlink="">
      <xdr:nvSpPr>
        <xdr:cNvPr id="4" name="Tekstvak 3"/>
        <xdr:cNvSpPr txBox="1"/>
      </xdr:nvSpPr>
      <xdr:spPr>
        <a:xfrm>
          <a:off x="4257675" y="619125"/>
          <a:ext cx="6858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Sunrise</a:t>
          </a:r>
        </a:p>
      </xdr:txBody>
    </xdr:sp>
    <xdr:clientData/>
  </xdr:twoCellAnchor>
  <xdr:twoCellAnchor>
    <xdr:from>
      <xdr:col>11</xdr:col>
      <xdr:colOff>133350</xdr:colOff>
      <xdr:row>3</xdr:row>
      <xdr:rowOff>66675</xdr:rowOff>
    </xdr:from>
    <xdr:to>
      <xdr:col>12</xdr:col>
      <xdr:colOff>209550</xdr:colOff>
      <xdr:row>4</xdr:row>
      <xdr:rowOff>123825</xdr:rowOff>
    </xdr:to>
    <xdr:sp macro="" textlink="">
      <xdr:nvSpPr>
        <xdr:cNvPr id="5" name="Tekstvak 4"/>
        <xdr:cNvSpPr txBox="1"/>
      </xdr:nvSpPr>
      <xdr:spPr>
        <a:xfrm>
          <a:off x="6838950" y="638175"/>
          <a:ext cx="6858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Sunset </a:t>
          </a:r>
        </a:p>
      </xdr:txBody>
    </xdr:sp>
    <xdr:clientData/>
  </xdr:twoCellAnchor>
  <xdr:twoCellAnchor>
    <xdr:from>
      <xdr:col>4</xdr:col>
      <xdr:colOff>438149</xdr:colOff>
      <xdr:row>1</xdr:row>
      <xdr:rowOff>66674</xdr:rowOff>
    </xdr:from>
    <xdr:to>
      <xdr:col>5</xdr:col>
      <xdr:colOff>561974</xdr:colOff>
      <xdr:row>2</xdr:row>
      <xdr:rowOff>66675</xdr:rowOff>
    </xdr:to>
    <xdr:sp macro="" textlink="">
      <xdr:nvSpPr>
        <xdr:cNvPr id="6" name="Tekstvak 5"/>
        <xdr:cNvSpPr txBox="1"/>
      </xdr:nvSpPr>
      <xdr:spPr>
        <a:xfrm>
          <a:off x="2876549" y="257174"/>
          <a:ext cx="733425" cy="1905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N= 126</a:t>
          </a:r>
        </a:p>
      </xdr:txBody>
    </xdr:sp>
    <xdr:clientData/>
  </xdr:twoCellAnchor>
  <xdr:twoCellAnchor>
    <xdr:from>
      <xdr:col>3</xdr:col>
      <xdr:colOff>528636</xdr:colOff>
      <xdr:row>36</xdr:row>
      <xdr:rowOff>4761</xdr:rowOff>
    </xdr:from>
    <xdr:to>
      <xdr:col>14</xdr:col>
      <xdr:colOff>257175</xdr:colOff>
      <xdr:row>51</xdr:row>
      <xdr:rowOff>171450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0.33419</cdr:x>
      <cdr:y>0.20207</cdr:y>
    </cdr:from>
    <cdr:to>
      <cdr:x>0.33525</cdr:x>
      <cdr:y>0.7917</cdr:y>
    </cdr:to>
    <cdr:cxnSp macro="">
      <cdr:nvCxnSpPr>
        <cdr:cNvPr id="3" name="Rechte verbindingslijn 2"/>
        <cdr:cNvCxnSpPr/>
      </cdr:nvCxnSpPr>
      <cdr:spPr>
        <a:xfrm xmlns:a="http://schemas.openxmlformats.org/drawingml/2006/main" flipH="1" flipV="1">
          <a:off x="2085300" y="734903"/>
          <a:ext cx="6615" cy="2144411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3">
          <a:schemeClr val="accent4"/>
        </a:lnRef>
        <a:fillRef xmlns:a="http://schemas.openxmlformats.org/drawingml/2006/main" idx="0">
          <a:schemeClr val="accent4"/>
        </a:fillRef>
        <a:effectRef xmlns:a="http://schemas.openxmlformats.org/drawingml/2006/main" idx="2">
          <a:schemeClr val="accent4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0.76428</cdr:x>
      <cdr:y>0.20984</cdr:y>
    </cdr:from>
    <cdr:to>
      <cdr:x>0.76444</cdr:x>
      <cdr:y>0.79545</cdr:y>
    </cdr:to>
    <cdr:cxnSp macro="">
      <cdr:nvCxnSpPr>
        <cdr:cNvPr id="4" name="Rechte verbindingslijn 3"/>
        <cdr:cNvCxnSpPr/>
      </cdr:nvCxnSpPr>
      <cdr:spPr>
        <a:xfrm xmlns:a="http://schemas.openxmlformats.org/drawingml/2006/main" flipV="1">
          <a:off x="4790075" y="771525"/>
          <a:ext cx="1000" cy="2153071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3">
          <a:schemeClr val="accent4"/>
        </a:lnRef>
        <a:fillRef xmlns:a="http://schemas.openxmlformats.org/drawingml/2006/main" idx="0">
          <a:schemeClr val="accent4"/>
        </a:fillRef>
        <a:effectRef xmlns:a="http://schemas.openxmlformats.org/drawingml/2006/main" idx="2">
          <a:schemeClr val="accent4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0.27757</cdr:x>
      <cdr:y>0.2252</cdr:y>
    </cdr:from>
    <cdr:to>
      <cdr:x>0.27905</cdr:x>
      <cdr:y>0.84882</cdr:y>
    </cdr:to>
    <cdr:cxnSp macro="">
      <cdr:nvCxnSpPr>
        <cdr:cNvPr id="3" name="Rechte verbindingslijn 2"/>
        <cdr:cNvCxnSpPr/>
      </cdr:nvCxnSpPr>
      <cdr:spPr>
        <a:xfrm xmlns:a="http://schemas.openxmlformats.org/drawingml/2006/main" flipH="1" flipV="1">
          <a:off x="1785939" y="681039"/>
          <a:ext cx="9525" cy="18859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3">
          <a:schemeClr val="accent4"/>
        </a:lnRef>
        <a:fillRef xmlns:a="http://schemas.openxmlformats.org/drawingml/2006/main" idx="0">
          <a:schemeClr val="accent4"/>
        </a:fillRef>
        <a:effectRef xmlns:a="http://schemas.openxmlformats.org/drawingml/2006/main" idx="2">
          <a:schemeClr val="accent4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0.74513</cdr:x>
      <cdr:y>0.22782</cdr:y>
    </cdr:from>
    <cdr:to>
      <cdr:x>0.74661</cdr:x>
      <cdr:y>0.85144</cdr:y>
    </cdr:to>
    <cdr:cxnSp macro="">
      <cdr:nvCxnSpPr>
        <cdr:cNvPr id="4" name="Rechte verbindingslijn 3"/>
        <cdr:cNvCxnSpPr/>
      </cdr:nvCxnSpPr>
      <cdr:spPr>
        <a:xfrm xmlns:a="http://schemas.openxmlformats.org/drawingml/2006/main" flipH="1" flipV="1">
          <a:off x="4794250" y="688975"/>
          <a:ext cx="9525" cy="18859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3">
          <a:schemeClr val="accent4"/>
        </a:lnRef>
        <a:fillRef xmlns:a="http://schemas.openxmlformats.org/drawingml/2006/main" idx="0">
          <a:schemeClr val="accent4"/>
        </a:fillRef>
        <a:effectRef xmlns:a="http://schemas.openxmlformats.org/drawingml/2006/main" idx="2">
          <a:schemeClr val="accent4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63"/>
  <sheetViews>
    <sheetView topLeftCell="G1" zoomScale="77" zoomScaleNormal="77" workbookViewId="0">
      <pane ySplit="1" topLeftCell="A336" activePane="bottomLeft" state="frozen"/>
      <selection pane="bottomLeft" activeCell="P363" sqref="P363"/>
    </sheetView>
  </sheetViews>
  <sheetFormatPr defaultRowHeight="15"/>
  <cols>
    <col min="1" max="1" width="9.140625" style="121" customWidth="1"/>
    <col min="2" max="2" width="9.140625" style="18" customWidth="1"/>
    <col min="3" max="4" width="11.7109375" style="18" customWidth="1"/>
    <col min="5" max="5" width="25.42578125" style="18" bestFit="1" customWidth="1"/>
    <col min="6" max="6" width="22.140625" style="18" customWidth="1"/>
    <col min="7" max="7" width="9.140625" style="18" customWidth="1"/>
    <col min="8" max="8" width="11.28515625" style="18" customWidth="1"/>
    <col min="9" max="9" width="12.28515625" style="18" customWidth="1"/>
    <col min="10" max="10" width="10.5703125" style="35" bestFit="1" customWidth="1"/>
    <col min="11" max="11" width="11.5703125" style="36" customWidth="1"/>
    <col min="12" max="12" width="11" style="35" customWidth="1"/>
    <col min="13" max="13" width="23.85546875" style="37" customWidth="1"/>
    <col min="14" max="14" width="23.140625" style="38" customWidth="1"/>
    <col min="15" max="15" width="9.140625" style="37" customWidth="1"/>
    <col min="16" max="16" width="10.85546875" style="18" bestFit="1" customWidth="1"/>
    <col min="17" max="17" width="11.85546875" style="18" bestFit="1" customWidth="1"/>
    <col min="18" max="19" width="9.140625" style="18"/>
    <col min="20" max="20" width="13" style="18" customWidth="1"/>
    <col min="21" max="21" width="9.140625" style="18"/>
    <col min="22" max="22" width="9.140625" style="22"/>
    <col min="23" max="23" width="9.140625" style="20"/>
    <col min="24" max="24" width="9.140625" style="24"/>
    <col min="25" max="30" width="9.140625" style="18"/>
    <col min="31" max="31" width="9.140625" style="38"/>
    <col min="32" max="40" width="9.140625" style="18"/>
    <col min="41" max="41" width="31.42578125" style="18" customWidth="1"/>
    <col min="42" max="42" width="42" style="18" bestFit="1" customWidth="1"/>
    <col min="43" max="16384" width="9.140625" style="18"/>
  </cols>
  <sheetData>
    <row r="1" spans="1:42" s="29" customFormat="1">
      <c r="A1" s="120" t="s">
        <v>105</v>
      </c>
      <c r="B1" s="29" t="s">
        <v>4</v>
      </c>
      <c r="C1" s="29" t="s">
        <v>61</v>
      </c>
      <c r="D1" s="29" t="s">
        <v>241</v>
      </c>
      <c r="E1" s="29" t="s">
        <v>242</v>
      </c>
      <c r="F1" s="29" t="s">
        <v>7</v>
      </c>
      <c r="G1" s="29" t="s">
        <v>10</v>
      </c>
      <c r="H1" s="29" t="s">
        <v>13</v>
      </c>
      <c r="I1" s="29" t="s">
        <v>16</v>
      </c>
      <c r="J1" s="30" t="s">
        <v>19</v>
      </c>
      <c r="K1" s="31" t="s">
        <v>22</v>
      </c>
      <c r="L1" s="30" t="s">
        <v>25</v>
      </c>
      <c r="M1" s="32" t="s">
        <v>161</v>
      </c>
      <c r="N1" s="33" t="s">
        <v>160</v>
      </c>
      <c r="O1" s="32" t="s">
        <v>82</v>
      </c>
      <c r="P1" s="29" t="s">
        <v>29</v>
      </c>
      <c r="Q1" s="29" t="s">
        <v>32</v>
      </c>
      <c r="R1" s="29" t="s">
        <v>34</v>
      </c>
      <c r="S1" s="29" t="s">
        <v>37</v>
      </c>
      <c r="T1" s="29" t="s">
        <v>48</v>
      </c>
      <c r="U1" s="29" t="s">
        <v>102</v>
      </c>
      <c r="V1" s="21" t="s">
        <v>59</v>
      </c>
      <c r="W1" s="19" t="s">
        <v>60</v>
      </c>
      <c r="X1" s="23" t="s">
        <v>55</v>
      </c>
      <c r="Y1" s="29" t="s">
        <v>57</v>
      </c>
      <c r="Z1" s="29" t="s">
        <v>95</v>
      </c>
      <c r="AA1" s="29" t="s">
        <v>90</v>
      </c>
      <c r="AB1" s="29" t="s">
        <v>41</v>
      </c>
      <c r="AC1" s="29" t="s">
        <v>44</v>
      </c>
      <c r="AD1" s="29" t="s">
        <v>83</v>
      </c>
      <c r="AE1" s="33" t="s">
        <v>86</v>
      </c>
      <c r="AF1" s="29" t="s">
        <v>85</v>
      </c>
    </row>
    <row r="2" spans="1:42">
      <c r="A2" s="121">
        <v>1</v>
      </c>
      <c r="B2" s="18">
        <v>1</v>
      </c>
      <c r="C2" s="18" t="s">
        <v>62</v>
      </c>
      <c r="D2" s="18">
        <v>7</v>
      </c>
      <c r="E2" s="18">
        <v>0</v>
      </c>
      <c r="F2" s="18">
        <v>3604</v>
      </c>
      <c r="G2" s="18">
        <v>684862</v>
      </c>
      <c r="H2" s="18">
        <v>9362146</v>
      </c>
      <c r="I2" s="34">
        <v>41947</v>
      </c>
      <c r="J2" s="35">
        <v>0.43402777777777773</v>
      </c>
      <c r="K2" s="36">
        <v>41954</v>
      </c>
      <c r="L2" s="35">
        <v>0.46527777777777773</v>
      </c>
      <c r="M2" s="37">
        <v>10125</v>
      </c>
      <c r="N2" s="38">
        <f t="shared" ref="N2:N33" si="0">VALUE(M2/60)</f>
        <v>168.75</v>
      </c>
      <c r="O2" s="37">
        <v>2</v>
      </c>
      <c r="P2" s="18" t="s">
        <v>268</v>
      </c>
      <c r="Q2" s="26">
        <v>41950</v>
      </c>
      <c r="R2" s="27">
        <v>0.27708333333333335</v>
      </c>
      <c r="S2" s="18">
        <v>1</v>
      </c>
      <c r="T2" s="18">
        <v>3</v>
      </c>
      <c r="U2" s="18">
        <v>3</v>
      </c>
      <c r="V2" s="22">
        <v>2</v>
      </c>
      <c r="W2" s="20">
        <v>0</v>
      </c>
      <c r="X2" s="24">
        <v>0</v>
      </c>
      <c r="Y2" s="18">
        <v>0</v>
      </c>
      <c r="Z2" s="18">
        <v>0</v>
      </c>
      <c r="AA2" s="18">
        <v>1</v>
      </c>
      <c r="AB2" s="18">
        <v>60</v>
      </c>
      <c r="AC2" s="18">
        <v>5.3</v>
      </c>
      <c r="AD2" s="18">
        <v>2.5</v>
      </c>
      <c r="AE2" s="38">
        <v>8.5999999999999993E-2</v>
      </c>
      <c r="AF2" s="18" t="s">
        <v>93</v>
      </c>
      <c r="AO2" s="29" t="s">
        <v>159</v>
      </c>
    </row>
    <row r="3" spans="1:42">
      <c r="A3" s="121">
        <v>2</v>
      </c>
      <c r="B3" s="18">
        <v>1</v>
      </c>
      <c r="C3" s="18" t="s">
        <v>62</v>
      </c>
      <c r="D3" s="18">
        <v>7</v>
      </c>
      <c r="E3" s="18">
        <v>0</v>
      </c>
      <c r="F3" s="18">
        <v>3604</v>
      </c>
      <c r="G3" s="18">
        <v>684862</v>
      </c>
      <c r="H3" s="18">
        <v>9362146</v>
      </c>
      <c r="I3" s="34">
        <v>41947</v>
      </c>
      <c r="J3" s="35">
        <v>0.43402777777777773</v>
      </c>
      <c r="K3" s="36">
        <v>41954</v>
      </c>
      <c r="L3" s="35">
        <v>0.46527777777777773</v>
      </c>
      <c r="M3" s="37">
        <v>10125</v>
      </c>
      <c r="N3" s="38">
        <f t="shared" si="0"/>
        <v>168.75</v>
      </c>
      <c r="O3" s="37">
        <v>2</v>
      </c>
      <c r="P3" s="18" t="s">
        <v>269</v>
      </c>
      <c r="Q3" s="26">
        <v>41953</v>
      </c>
      <c r="R3" s="27">
        <v>0.3034722222222222</v>
      </c>
      <c r="S3" s="18">
        <v>3</v>
      </c>
      <c r="T3" s="18">
        <v>2</v>
      </c>
      <c r="U3" s="18">
        <v>1</v>
      </c>
      <c r="V3" s="22">
        <v>1</v>
      </c>
      <c r="W3" s="20">
        <v>0</v>
      </c>
      <c r="X3" s="24">
        <v>0</v>
      </c>
      <c r="Y3" s="18">
        <v>0</v>
      </c>
      <c r="Z3" s="18">
        <v>1</v>
      </c>
      <c r="AA3" s="18">
        <v>0</v>
      </c>
      <c r="AB3" s="18">
        <v>20</v>
      </c>
      <c r="AC3" s="18">
        <v>3.5</v>
      </c>
      <c r="AD3" s="18">
        <v>2.2999999999999998</v>
      </c>
      <c r="AE3" s="38">
        <v>1.1499999999999999</v>
      </c>
      <c r="AF3" s="18" t="s">
        <v>93</v>
      </c>
    </row>
    <row r="4" spans="1:42">
      <c r="A4" s="121">
        <v>3</v>
      </c>
      <c r="B4" s="18">
        <v>2</v>
      </c>
      <c r="C4" s="18" t="s">
        <v>63</v>
      </c>
      <c r="D4" s="18">
        <v>7</v>
      </c>
      <c r="E4" s="18">
        <v>0</v>
      </c>
      <c r="F4" s="18">
        <v>3605</v>
      </c>
      <c r="G4" s="18">
        <v>684985</v>
      </c>
      <c r="H4" s="18">
        <v>9362162</v>
      </c>
      <c r="I4" s="34">
        <v>41947</v>
      </c>
      <c r="J4" s="35">
        <v>0.46527777777777773</v>
      </c>
      <c r="K4" s="36">
        <v>41954</v>
      </c>
      <c r="L4" s="35">
        <v>0.43402777777777773</v>
      </c>
      <c r="M4" s="37">
        <v>10035</v>
      </c>
      <c r="N4" s="38">
        <f t="shared" si="0"/>
        <v>167.25</v>
      </c>
      <c r="O4" s="37">
        <v>4</v>
      </c>
      <c r="P4" s="18" t="s">
        <v>270</v>
      </c>
      <c r="Q4" s="26">
        <v>41947</v>
      </c>
      <c r="R4" s="27">
        <v>0.15694444444444444</v>
      </c>
      <c r="S4" s="18">
        <v>1</v>
      </c>
      <c r="T4" s="18">
        <v>6</v>
      </c>
      <c r="U4" s="18">
        <v>6</v>
      </c>
      <c r="V4" s="22">
        <v>4</v>
      </c>
      <c r="W4" s="20">
        <v>0</v>
      </c>
      <c r="X4" s="24">
        <v>0</v>
      </c>
      <c r="Y4" s="18">
        <v>0</v>
      </c>
      <c r="Z4" s="18">
        <v>0</v>
      </c>
      <c r="AA4" s="18">
        <v>2</v>
      </c>
      <c r="AB4" s="18">
        <v>10</v>
      </c>
      <c r="AC4" s="18">
        <v>10.5</v>
      </c>
      <c r="AD4" s="18">
        <v>1.5</v>
      </c>
      <c r="AE4" s="38">
        <v>0.11</v>
      </c>
      <c r="AF4" s="18" t="s">
        <v>98</v>
      </c>
      <c r="AO4" s="29" t="s">
        <v>162</v>
      </c>
      <c r="AP4" s="29" t="s">
        <v>163</v>
      </c>
    </row>
    <row r="5" spans="1:42">
      <c r="A5" s="121">
        <v>4</v>
      </c>
      <c r="B5" s="18">
        <v>2</v>
      </c>
      <c r="C5" s="18" t="s">
        <v>63</v>
      </c>
      <c r="D5" s="18">
        <v>7</v>
      </c>
      <c r="E5" s="18">
        <v>0</v>
      </c>
      <c r="F5" s="18">
        <v>3605</v>
      </c>
      <c r="G5" s="18">
        <v>684985</v>
      </c>
      <c r="H5" s="18">
        <v>9362162</v>
      </c>
      <c r="I5" s="34">
        <v>41947</v>
      </c>
      <c r="J5" s="35">
        <v>0.46527777777777773</v>
      </c>
      <c r="K5" s="36">
        <v>41954</v>
      </c>
      <c r="L5" s="35">
        <v>0.43402777777777773</v>
      </c>
      <c r="M5" s="37">
        <v>10035</v>
      </c>
      <c r="N5" s="38">
        <f t="shared" si="0"/>
        <v>167.25</v>
      </c>
      <c r="O5" s="37">
        <v>4</v>
      </c>
      <c r="P5" s="18" t="s">
        <v>271</v>
      </c>
      <c r="Q5" s="26">
        <v>41950</v>
      </c>
      <c r="R5" s="27">
        <v>0.34722222222222227</v>
      </c>
      <c r="S5" s="18">
        <v>3</v>
      </c>
      <c r="T5" s="18">
        <v>6</v>
      </c>
      <c r="U5" s="18">
        <v>2</v>
      </c>
      <c r="V5" s="22">
        <v>2</v>
      </c>
      <c r="W5" s="20">
        <v>0</v>
      </c>
      <c r="X5" s="24">
        <v>2</v>
      </c>
      <c r="Y5" s="18">
        <v>0</v>
      </c>
      <c r="Z5" s="18">
        <v>2</v>
      </c>
      <c r="AA5" s="18">
        <v>0</v>
      </c>
      <c r="AB5" s="18">
        <v>10</v>
      </c>
      <c r="AC5" s="18">
        <v>6.25</v>
      </c>
      <c r="AD5" s="18">
        <v>3</v>
      </c>
      <c r="AE5" s="38">
        <v>0.1</v>
      </c>
      <c r="AF5" s="18" t="s">
        <v>98</v>
      </c>
    </row>
    <row r="6" spans="1:42">
      <c r="A6" s="121">
        <v>5</v>
      </c>
      <c r="B6" s="18">
        <v>2</v>
      </c>
      <c r="C6" s="18" t="s">
        <v>63</v>
      </c>
      <c r="D6" s="18">
        <v>7</v>
      </c>
      <c r="E6" s="18">
        <v>0</v>
      </c>
      <c r="F6" s="18">
        <v>3605</v>
      </c>
      <c r="G6" s="18">
        <v>684985</v>
      </c>
      <c r="H6" s="18">
        <v>9362162</v>
      </c>
      <c r="I6" s="34">
        <v>41947</v>
      </c>
      <c r="J6" s="35">
        <v>0.46527777777777773</v>
      </c>
      <c r="K6" s="36">
        <v>41954</v>
      </c>
      <c r="L6" s="35">
        <v>0.43402777777777773</v>
      </c>
      <c r="M6" s="37">
        <v>10035</v>
      </c>
      <c r="N6" s="38">
        <f t="shared" si="0"/>
        <v>167.25</v>
      </c>
      <c r="O6" s="37">
        <v>4</v>
      </c>
      <c r="P6" s="18" t="s">
        <v>272</v>
      </c>
      <c r="Q6" s="26">
        <v>41951</v>
      </c>
      <c r="R6" s="27">
        <v>0.21944444444444444</v>
      </c>
      <c r="S6" s="18">
        <v>3</v>
      </c>
      <c r="T6" s="18">
        <v>3</v>
      </c>
      <c r="U6" s="18">
        <v>2</v>
      </c>
      <c r="V6" s="22">
        <v>0</v>
      </c>
      <c r="W6" s="20">
        <v>0</v>
      </c>
      <c r="X6" s="24">
        <v>1</v>
      </c>
      <c r="Y6" s="18">
        <v>0</v>
      </c>
      <c r="Z6" s="18">
        <v>0</v>
      </c>
      <c r="AA6" s="18">
        <v>2</v>
      </c>
      <c r="AB6" s="18">
        <v>20</v>
      </c>
      <c r="AC6" s="18">
        <v>4.5</v>
      </c>
      <c r="AD6" s="18">
        <v>1.5</v>
      </c>
      <c r="AE6" s="38">
        <v>0.75</v>
      </c>
      <c r="AF6" s="18" t="s">
        <v>98</v>
      </c>
    </row>
    <row r="7" spans="1:42">
      <c r="A7" s="121">
        <v>6</v>
      </c>
      <c r="B7" s="18">
        <v>2</v>
      </c>
      <c r="C7" s="18" t="s">
        <v>63</v>
      </c>
      <c r="D7" s="18">
        <v>7</v>
      </c>
      <c r="E7" s="18">
        <v>0</v>
      </c>
      <c r="F7" s="18">
        <v>3605</v>
      </c>
      <c r="G7" s="18">
        <v>684985</v>
      </c>
      <c r="H7" s="18">
        <v>9362162</v>
      </c>
      <c r="I7" s="34">
        <v>41947</v>
      </c>
      <c r="J7" s="35">
        <v>0.46527777777777773</v>
      </c>
      <c r="K7" s="36">
        <v>41954</v>
      </c>
      <c r="L7" s="35">
        <v>0.43402777777777773</v>
      </c>
      <c r="M7" s="37">
        <v>10035</v>
      </c>
      <c r="N7" s="38">
        <f t="shared" si="0"/>
        <v>167.25</v>
      </c>
      <c r="O7" s="37">
        <v>4</v>
      </c>
      <c r="P7" s="18" t="s">
        <v>268</v>
      </c>
      <c r="Q7" s="26">
        <v>41953</v>
      </c>
      <c r="R7" s="27">
        <v>0.20625000000000002</v>
      </c>
      <c r="S7" s="18">
        <v>3</v>
      </c>
      <c r="T7" s="18">
        <v>3</v>
      </c>
      <c r="U7" s="18">
        <v>3</v>
      </c>
      <c r="V7" s="22">
        <v>1</v>
      </c>
      <c r="W7" s="20">
        <v>0</v>
      </c>
      <c r="X7" s="24">
        <v>0</v>
      </c>
      <c r="Y7" s="18">
        <v>0</v>
      </c>
      <c r="Z7" s="18">
        <v>0</v>
      </c>
      <c r="AA7" s="18">
        <v>2</v>
      </c>
      <c r="AF7" s="18" t="s">
        <v>98</v>
      </c>
    </row>
    <row r="8" spans="1:42">
      <c r="A8" s="121">
        <v>7</v>
      </c>
      <c r="B8" s="18">
        <v>3</v>
      </c>
      <c r="C8" s="18" t="s">
        <v>64</v>
      </c>
      <c r="D8" s="18">
        <v>5</v>
      </c>
      <c r="E8" s="18">
        <v>0</v>
      </c>
      <c r="F8" s="18">
        <v>3462</v>
      </c>
      <c r="G8" s="18">
        <v>685848</v>
      </c>
      <c r="H8" s="18">
        <v>9361493</v>
      </c>
      <c r="I8" s="34">
        <v>41947</v>
      </c>
      <c r="J8" s="35">
        <v>0.54166666666666663</v>
      </c>
      <c r="K8" s="36">
        <v>41954</v>
      </c>
      <c r="L8" s="35">
        <v>0.5229166666666667</v>
      </c>
      <c r="M8" s="37">
        <v>10053</v>
      </c>
      <c r="N8" s="38">
        <f t="shared" si="0"/>
        <v>167.55</v>
      </c>
      <c r="O8" s="37">
        <v>0</v>
      </c>
    </row>
    <row r="9" spans="1:42">
      <c r="A9" s="121">
        <v>8</v>
      </c>
      <c r="B9" s="18">
        <v>4</v>
      </c>
      <c r="C9" s="18" t="s">
        <v>65</v>
      </c>
      <c r="D9" s="18">
        <v>8</v>
      </c>
      <c r="E9" s="18">
        <v>0</v>
      </c>
      <c r="F9" s="18">
        <v>3491</v>
      </c>
      <c r="G9" s="18">
        <v>686116</v>
      </c>
      <c r="H9" s="18">
        <v>9361599</v>
      </c>
      <c r="I9" s="34">
        <v>41947</v>
      </c>
      <c r="J9" s="35">
        <v>0.5625</v>
      </c>
      <c r="K9" s="36">
        <v>41954</v>
      </c>
      <c r="L9" s="35">
        <v>0.54305555555555551</v>
      </c>
      <c r="M9" s="37">
        <v>10052</v>
      </c>
      <c r="N9" s="38">
        <f t="shared" si="0"/>
        <v>167.53333333333333</v>
      </c>
      <c r="O9" s="37">
        <v>0</v>
      </c>
      <c r="AG9" s="140"/>
      <c r="AH9" s="140"/>
      <c r="AI9" s="140"/>
      <c r="AJ9" s="140"/>
      <c r="AK9" s="140"/>
      <c r="AL9" s="140"/>
      <c r="AM9" s="140"/>
      <c r="AN9" s="140"/>
      <c r="AO9" s="140"/>
      <c r="AP9" s="140"/>
    </row>
    <row r="10" spans="1:42">
      <c r="A10" s="121">
        <v>9</v>
      </c>
      <c r="B10" s="18">
        <v>5</v>
      </c>
      <c r="C10" s="18" t="s">
        <v>66</v>
      </c>
      <c r="D10" s="18">
        <v>6</v>
      </c>
      <c r="E10" s="18">
        <v>0</v>
      </c>
      <c r="F10" s="18">
        <v>3514</v>
      </c>
      <c r="G10" s="18">
        <v>685943</v>
      </c>
      <c r="H10" s="18">
        <v>9361678</v>
      </c>
      <c r="I10" s="34">
        <v>41947</v>
      </c>
      <c r="J10" s="35">
        <v>0.59027777777777779</v>
      </c>
      <c r="K10" s="36">
        <v>41954</v>
      </c>
      <c r="L10" s="35">
        <v>0.54305555555555551</v>
      </c>
      <c r="M10" s="37">
        <v>10012</v>
      </c>
      <c r="N10" s="38">
        <f t="shared" si="0"/>
        <v>166.86666666666667</v>
      </c>
      <c r="O10" s="37">
        <v>0</v>
      </c>
    </row>
    <row r="11" spans="1:42">
      <c r="A11" s="121">
        <v>10</v>
      </c>
      <c r="B11" s="18">
        <v>6</v>
      </c>
      <c r="C11" s="18" t="s">
        <v>67</v>
      </c>
      <c r="D11" s="18">
        <v>7</v>
      </c>
      <c r="E11" s="18">
        <v>0</v>
      </c>
      <c r="F11" s="18">
        <v>3023</v>
      </c>
      <c r="G11" s="18">
        <v>684654</v>
      </c>
      <c r="H11" s="18">
        <v>9360405</v>
      </c>
      <c r="I11" s="34">
        <v>41948</v>
      </c>
      <c r="J11" s="35">
        <v>0.45833333333333331</v>
      </c>
      <c r="K11" s="36">
        <v>41955</v>
      </c>
      <c r="L11" s="35">
        <v>0.47569444444444442</v>
      </c>
      <c r="M11" s="37">
        <v>10105</v>
      </c>
      <c r="N11" s="38">
        <f t="shared" si="0"/>
        <v>168.41666666666666</v>
      </c>
      <c r="O11" s="37">
        <v>0</v>
      </c>
    </row>
    <row r="12" spans="1:42">
      <c r="A12" s="121">
        <v>11</v>
      </c>
      <c r="B12" s="18">
        <v>7</v>
      </c>
      <c r="C12" s="18" t="s">
        <v>68</v>
      </c>
      <c r="D12" s="18">
        <v>7</v>
      </c>
      <c r="E12" s="18">
        <v>0</v>
      </c>
      <c r="F12" s="18">
        <v>2967</v>
      </c>
      <c r="G12" s="18">
        <v>685045</v>
      </c>
      <c r="H12" s="18">
        <v>9360309</v>
      </c>
      <c r="I12" s="34">
        <v>41948</v>
      </c>
      <c r="J12" s="35">
        <v>0.5</v>
      </c>
      <c r="K12" s="36">
        <v>41955</v>
      </c>
      <c r="L12" s="35">
        <v>0.4513888888888889</v>
      </c>
      <c r="M12" s="37">
        <v>10010</v>
      </c>
      <c r="N12" s="38">
        <f t="shared" si="0"/>
        <v>166.83333333333334</v>
      </c>
      <c r="O12" s="37">
        <v>0</v>
      </c>
    </row>
    <row r="13" spans="1:42">
      <c r="A13" s="121">
        <v>12</v>
      </c>
      <c r="B13" s="18">
        <v>8</v>
      </c>
      <c r="C13" s="18" t="s">
        <v>69</v>
      </c>
      <c r="D13" s="18">
        <v>7</v>
      </c>
      <c r="E13" s="18">
        <v>0</v>
      </c>
      <c r="F13" s="18">
        <v>2519</v>
      </c>
      <c r="G13" s="18">
        <v>685447</v>
      </c>
      <c r="H13" s="18">
        <v>9359727</v>
      </c>
      <c r="I13" s="34">
        <v>41948</v>
      </c>
      <c r="J13" s="35">
        <v>0.58680555555555558</v>
      </c>
      <c r="K13" s="36">
        <v>41955</v>
      </c>
      <c r="L13" s="35">
        <v>0.41875000000000001</v>
      </c>
      <c r="M13" s="37">
        <v>9838</v>
      </c>
      <c r="N13" s="38">
        <f t="shared" si="0"/>
        <v>163.96666666666667</v>
      </c>
      <c r="O13" s="37">
        <v>0</v>
      </c>
    </row>
    <row r="14" spans="1:42">
      <c r="A14" s="121">
        <v>13</v>
      </c>
      <c r="B14" s="18">
        <v>9</v>
      </c>
      <c r="C14" s="18" t="s">
        <v>70</v>
      </c>
      <c r="D14" s="18">
        <v>7</v>
      </c>
      <c r="E14" s="18">
        <v>0</v>
      </c>
      <c r="F14" s="18">
        <v>2676</v>
      </c>
      <c r="G14" s="18">
        <v>685195</v>
      </c>
      <c r="H14" s="18">
        <v>9359943</v>
      </c>
      <c r="I14" s="34">
        <v>41948</v>
      </c>
      <c r="J14" s="35">
        <v>0.58333333333333337</v>
      </c>
      <c r="K14" s="36">
        <v>41955</v>
      </c>
      <c r="L14" s="35">
        <v>0.39930555555555558</v>
      </c>
      <c r="M14" s="37">
        <v>9806</v>
      </c>
      <c r="N14" s="38">
        <f t="shared" si="0"/>
        <v>163.43333333333334</v>
      </c>
      <c r="O14" s="37">
        <v>0</v>
      </c>
    </row>
    <row r="15" spans="1:42">
      <c r="A15" s="121">
        <v>14</v>
      </c>
      <c r="B15" s="18">
        <v>10</v>
      </c>
      <c r="C15" s="18" t="s">
        <v>71</v>
      </c>
      <c r="D15" s="18">
        <v>7</v>
      </c>
      <c r="E15" s="18">
        <v>0</v>
      </c>
      <c r="F15" s="18">
        <v>2965</v>
      </c>
      <c r="G15" s="18">
        <v>684820</v>
      </c>
      <c r="H15" s="18">
        <v>9360330</v>
      </c>
      <c r="I15" s="34">
        <v>41948</v>
      </c>
      <c r="J15" s="35">
        <v>0.63194444444444442</v>
      </c>
      <c r="K15" s="36">
        <v>41955</v>
      </c>
      <c r="L15" s="35">
        <v>0.36458333333333331</v>
      </c>
      <c r="M15" s="37">
        <v>9695</v>
      </c>
      <c r="N15" s="38">
        <f t="shared" si="0"/>
        <v>161.58333333333334</v>
      </c>
      <c r="O15" s="37">
        <v>1</v>
      </c>
      <c r="P15" s="18" t="s">
        <v>273</v>
      </c>
      <c r="Q15" s="26">
        <v>41952</v>
      </c>
      <c r="R15" s="27">
        <v>0.22500000000000001</v>
      </c>
      <c r="S15" s="18">
        <v>3</v>
      </c>
      <c r="T15" s="18">
        <v>5</v>
      </c>
      <c r="U15" s="18">
        <v>5</v>
      </c>
      <c r="V15" s="22">
        <v>0</v>
      </c>
      <c r="W15" s="20">
        <v>4</v>
      </c>
      <c r="X15" s="24">
        <v>0</v>
      </c>
      <c r="Y15" s="18">
        <v>0</v>
      </c>
      <c r="Z15" s="18">
        <v>0</v>
      </c>
      <c r="AA15" s="18">
        <v>1</v>
      </c>
      <c r="AB15" s="18">
        <v>10</v>
      </c>
      <c r="AC15" s="18">
        <v>2</v>
      </c>
      <c r="AD15" s="18">
        <v>1.5</v>
      </c>
      <c r="AE15" s="38">
        <v>0.17</v>
      </c>
    </row>
    <row r="16" spans="1:42">
      <c r="A16" s="121">
        <v>15</v>
      </c>
      <c r="B16" s="18">
        <v>11</v>
      </c>
      <c r="C16" s="18" t="s">
        <v>72</v>
      </c>
      <c r="D16" s="18">
        <v>7</v>
      </c>
      <c r="E16" s="18">
        <v>0</v>
      </c>
      <c r="F16" s="18">
        <v>1641</v>
      </c>
      <c r="G16" s="18">
        <v>685205</v>
      </c>
      <c r="H16" s="18">
        <v>9358473</v>
      </c>
      <c r="I16" s="34">
        <v>41949</v>
      </c>
      <c r="J16" s="35">
        <v>0.41666666666666669</v>
      </c>
      <c r="K16" s="36">
        <v>41956</v>
      </c>
      <c r="L16" s="35">
        <v>0.4604166666666667</v>
      </c>
      <c r="M16" s="37">
        <v>10143</v>
      </c>
      <c r="N16" s="38">
        <f t="shared" si="0"/>
        <v>169.05</v>
      </c>
      <c r="O16" s="37">
        <v>4</v>
      </c>
      <c r="P16" s="18" t="s">
        <v>271</v>
      </c>
      <c r="Q16" s="26">
        <v>41951</v>
      </c>
      <c r="R16" s="27">
        <v>0.25833333333333336</v>
      </c>
      <c r="S16" s="18">
        <v>1</v>
      </c>
      <c r="T16" s="18">
        <v>1</v>
      </c>
      <c r="U16" s="18">
        <v>1</v>
      </c>
      <c r="V16" s="22">
        <v>1</v>
      </c>
      <c r="W16" s="20">
        <v>0</v>
      </c>
      <c r="X16" s="24">
        <v>0</v>
      </c>
      <c r="Y16" s="18">
        <v>0</v>
      </c>
      <c r="Z16" s="18">
        <v>0</v>
      </c>
      <c r="AA16" s="18">
        <v>0</v>
      </c>
      <c r="AB16" s="18">
        <v>20</v>
      </c>
      <c r="AC16" s="18">
        <v>2.2999999999999998</v>
      </c>
      <c r="AD16" s="18">
        <v>4</v>
      </c>
      <c r="AE16" s="38">
        <v>0.25</v>
      </c>
      <c r="AO16" s="18">
        <f>COUNTIF(S:S,1)</f>
        <v>127</v>
      </c>
      <c r="AP16" s="38">
        <f>SUMIFS(N:N,S:S,1)</f>
        <v>21784.083333333325</v>
      </c>
    </row>
    <row r="17" spans="1:42">
      <c r="A17" s="121">
        <v>16</v>
      </c>
      <c r="B17" s="18">
        <v>11</v>
      </c>
      <c r="C17" s="18" t="s">
        <v>72</v>
      </c>
      <c r="D17" s="18">
        <v>7</v>
      </c>
      <c r="E17" s="18">
        <v>0</v>
      </c>
      <c r="F17" s="18">
        <v>1641</v>
      </c>
      <c r="G17" s="18">
        <v>685205</v>
      </c>
      <c r="H17" s="18">
        <v>9358473</v>
      </c>
      <c r="I17" s="34">
        <v>41949</v>
      </c>
      <c r="J17" s="35">
        <v>0.41666666666666669</v>
      </c>
      <c r="K17" s="36">
        <v>41956</v>
      </c>
      <c r="L17" s="35">
        <v>0.4604166666666667</v>
      </c>
      <c r="M17" s="37">
        <v>10143</v>
      </c>
      <c r="N17" s="38">
        <f t="shared" si="0"/>
        <v>169.05</v>
      </c>
      <c r="O17" s="37">
        <v>4</v>
      </c>
      <c r="P17" s="18" t="s">
        <v>272</v>
      </c>
      <c r="Q17" s="26">
        <v>41951</v>
      </c>
      <c r="R17" s="27">
        <v>0.51736111111111105</v>
      </c>
      <c r="S17" s="18">
        <v>3</v>
      </c>
      <c r="T17" s="18">
        <v>2</v>
      </c>
      <c r="U17" s="18">
        <v>2</v>
      </c>
      <c r="V17" s="22">
        <v>0</v>
      </c>
      <c r="W17" s="20">
        <v>2</v>
      </c>
      <c r="X17" s="24">
        <v>0</v>
      </c>
      <c r="Y17" s="18">
        <v>0</v>
      </c>
      <c r="Z17" s="18">
        <v>0</v>
      </c>
      <c r="AA17" s="18">
        <v>0</v>
      </c>
      <c r="AB17" s="18">
        <v>25</v>
      </c>
      <c r="AC17" s="18">
        <v>3.6</v>
      </c>
      <c r="AD17" s="18">
        <v>1.1499999999999999</v>
      </c>
      <c r="AE17" s="38">
        <v>3.7999999999999999E-2</v>
      </c>
    </row>
    <row r="18" spans="1:42">
      <c r="A18" s="121">
        <v>17</v>
      </c>
      <c r="B18" s="18">
        <v>11</v>
      </c>
      <c r="C18" s="18" t="s">
        <v>72</v>
      </c>
      <c r="D18" s="18">
        <v>7</v>
      </c>
      <c r="E18" s="18">
        <v>0</v>
      </c>
      <c r="F18" s="18">
        <v>1641</v>
      </c>
      <c r="G18" s="18">
        <v>685205</v>
      </c>
      <c r="H18" s="18">
        <v>9358473</v>
      </c>
      <c r="I18" s="34">
        <v>41949</v>
      </c>
      <c r="J18" s="35">
        <v>0.41666666666666669</v>
      </c>
      <c r="K18" s="36">
        <v>41956</v>
      </c>
      <c r="L18" s="35">
        <v>0.4604166666666667</v>
      </c>
      <c r="M18" s="37">
        <v>10143</v>
      </c>
      <c r="N18" s="38">
        <f t="shared" si="0"/>
        <v>169.05</v>
      </c>
      <c r="O18" s="37">
        <v>4</v>
      </c>
      <c r="P18" s="18" t="s">
        <v>268</v>
      </c>
      <c r="Q18" s="26">
        <v>41952</v>
      </c>
      <c r="R18" s="27">
        <v>0.6333333333333333</v>
      </c>
      <c r="S18" s="18">
        <v>3</v>
      </c>
      <c r="T18" s="18">
        <v>1</v>
      </c>
      <c r="U18" s="18">
        <v>1</v>
      </c>
      <c r="V18" s="22">
        <v>0</v>
      </c>
      <c r="W18" s="20">
        <v>1</v>
      </c>
      <c r="X18" s="24">
        <v>0</v>
      </c>
      <c r="Y18" s="18">
        <v>0</v>
      </c>
      <c r="Z18" s="18">
        <v>0</v>
      </c>
      <c r="AA18" s="18">
        <v>0</v>
      </c>
      <c r="AB18" s="18">
        <v>50</v>
      </c>
      <c r="AC18" s="18">
        <v>2.4500000000000002</v>
      </c>
      <c r="AD18" s="18">
        <v>1.3</v>
      </c>
      <c r="AE18" s="38">
        <v>0.33</v>
      </c>
    </row>
    <row r="19" spans="1:42">
      <c r="A19" s="121">
        <v>18</v>
      </c>
      <c r="B19" s="18">
        <v>11</v>
      </c>
      <c r="C19" s="18" t="s">
        <v>72</v>
      </c>
      <c r="D19" s="18">
        <v>7</v>
      </c>
      <c r="E19" s="18">
        <v>0</v>
      </c>
      <c r="F19" s="18">
        <v>1641</v>
      </c>
      <c r="G19" s="18">
        <v>685205</v>
      </c>
      <c r="H19" s="18">
        <v>9358473</v>
      </c>
      <c r="I19" s="34">
        <v>41949</v>
      </c>
      <c r="J19" s="35">
        <v>0.41666666666666669</v>
      </c>
      <c r="K19" s="36">
        <v>41956</v>
      </c>
      <c r="L19" s="35">
        <v>0.4604166666666667</v>
      </c>
      <c r="M19" s="37">
        <v>10143</v>
      </c>
      <c r="N19" s="38">
        <f t="shared" si="0"/>
        <v>169.05</v>
      </c>
      <c r="O19" s="37">
        <v>5</v>
      </c>
      <c r="P19" s="18" t="s">
        <v>269</v>
      </c>
      <c r="Q19" s="26">
        <v>41953</v>
      </c>
      <c r="R19" s="27">
        <v>0.37986111111111115</v>
      </c>
      <c r="S19" s="18">
        <v>3</v>
      </c>
      <c r="T19" s="18">
        <v>1</v>
      </c>
      <c r="U19" s="18">
        <v>1</v>
      </c>
      <c r="V19" s="22">
        <v>1</v>
      </c>
      <c r="W19" s="20">
        <v>0</v>
      </c>
      <c r="X19" s="24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38">
        <v>0</v>
      </c>
    </row>
    <row r="20" spans="1:42">
      <c r="A20" s="121">
        <v>19</v>
      </c>
      <c r="B20" s="18">
        <v>12</v>
      </c>
      <c r="C20" s="18" t="s">
        <v>73</v>
      </c>
      <c r="D20" s="18">
        <v>7</v>
      </c>
      <c r="E20" s="18">
        <v>0</v>
      </c>
      <c r="F20" s="18">
        <v>1433</v>
      </c>
      <c r="G20" s="18">
        <v>685513</v>
      </c>
      <c r="H20" s="18">
        <v>9358675</v>
      </c>
      <c r="I20" s="34">
        <v>41949</v>
      </c>
      <c r="J20" s="35">
        <v>0.43055555555555558</v>
      </c>
      <c r="K20" s="36">
        <v>41956</v>
      </c>
      <c r="L20" s="35">
        <v>0.4375</v>
      </c>
      <c r="M20" s="37">
        <v>10090</v>
      </c>
      <c r="N20" s="38">
        <f t="shared" si="0"/>
        <v>168.16666666666666</v>
      </c>
      <c r="O20" s="37">
        <v>5</v>
      </c>
      <c r="P20" s="18" t="s">
        <v>272</v>
      </c>
      <c r="Q20" s="26">
        <v>41951</v>
      </c>
      <c r="R20" s="27">
        <v>0.65416666666666667</v>
      </c>
      <c r="S20" s="18">
        <v>3</v>
      </c>
      <c r="T20" s="18">
        <v>7</v>
      </c>
      <c r="U20" s="18">
        <v>4</v>
      </c>
      <c r="V20" s="22">
        <v>1</v>
      </c>
      <c r="W20" s="20">
        <v>3</v>
      </c>
      <c r="X20" s="24">
        <v>2</v>
      </c>
      <c r="Y20" s="18">
        <v>0</v>
      </c>
      <c r="Z20" s="18">
        <v>1</v>
      </c>
      <c r="AA20" s="18">
        <v>0</v>
      </c>
      <c r="AB20" s="18">
        <v>5</v>
      </c>
      <c r="AC20" s="18">
        <v>4.5</v>
      </c>
      <c r="AD20" s="18">
        <v>1.5</v>
      </c>
      <c r="AE20" s="38">
        <v>0.5</v>
      </c>
    </row>
    <row r="21" spans="1:42">
      <c r="A21" s="121">
        <v>20</v>
      </c>
      <c r="B21" s="18">
        <v>12</v>
      </c>
      <c r="C21" s="18" t="s">
        <v>73</v>
      </c>
      <c r="D21" s="18">
        <v>7</v>
      </c>
      <c r="E21" s="18">
        <v>0</v>
      </c>
      <c r="F21" s="18">
        <v>1433</v>
      </c>
      <c r="G21" s="18">
        <v>685513</v>
      </c>
      <c r="H21" s="18">
        <v>9358675</v>
      </c>
      <c r="I21" s="34">
        <v>41949</v>
      </c>
      <c r="J21" s="35">
        <v>0.43055555555555558</v>
      </c>
      <c r="K21" s="36">
        <v>41956</v>
      </c>
      <c r="L21" s="35">
        <v>0.4375</v>
      </c>
      <c r="M21" s="37">
        <v>10090</v>
      </c>
      <c r="N21" s="38">
        <f t="shared" si="0"/>
        <v>168.16666666666666</v>
      </c>
      <c r="O21" s="37">
        <v>5</v>
      </c>
      <c r="P21" s="18" t="s">
        <v>273</v>
      </c>
      <c r="Q21" s="26">
        <v>41952</v>
      </c>
      <c r="R21" s="27">
        <v>0.63541666666666663</v>
      </c>
      <c r="S21" s="18">
        <v>3</v>
      </c>
      <c r="T21" s="18">
        <v>1</v>
      </c>
      <c r="U21" s="18">
        <v>1</v>
      </c>
      <c r="V21" s="22">
        <v>1</v>
      </c>
      <c r="W21" s="20">
        <v>0</v>
      </c>
      <c r="X21" s="24">
        <v>0</v>
      </c>
      <c r="Y21" s="18">
        <v>0</v>
      </c>
      <c r="Z21" s="18">
        <v>0</v>
      </c>
      <c r="AA21" s="18">
        <v>0</v>
      </c>
      <c r="AB21" s="18">
        <v>20</v>
      </c>
      <c r="AC21" s="18">
        <v>4.9000000000000004</v>
      </c>
      <c r="AD21" s="18">
        <v>0</v>
      </c>
      <c r="AE21" s="38">
        <v>0</v>
      </c>
    </row>
    <row r="22" spans="1:42">
      <c r="A22" s="121">
        <v>21</v>
      </c>
      <c r="B22" s="18">
        <v>12</v>
      </c>
      <c r="C22" s="18" t="s">
        <v>73</v>
      </c>
      <c r="D22" s="18">
        <v>7</v>
      </c>
      <c r="E22" s="18">
        <v>0</v>
      </c>
      <c r="F22" s="18">
        <v>1433</v>
      </c>
      <c r="G22" s="18">
        <v>685513</v>
      </c>
      <c r="H22" s="18">
        <v>9358675</v>
      </c>
      <c r="I22" s="34">
        <v>41949</v>
      </c>
      <c r="J22" s="35">
        <v>0.43055555555555558</v>
      </c>
      <c r="K22" s="36">
        <v>41956</v>
      </c>
      <c r="L22" s="35">
        <v>0.4375</v>
      </c>
      <c r="M22" s="37">
        <v>10090</v>
      </c>
      <c r="N22" s="38">
        <f t="shared" si="0"/>
        <v>168.16666666666666</v>
      </c>
      <c r="O22" s="37">
        <v>5</v>
      </c>
      <c r="P22" s="18" t="s">
        <v>268</v>
      </c>
      <c r="Q22" s="26">
        <v>41952</v>
      </c>
      <c r="R22" s="27">
        <v>0.9868055555555556</v>
      </c>
      <c r="S22" s="18">
        <v>1</v>
      </c>
      <c r="T22" s="18">
        <v>1</v>
      </c>
      <c r="U22" s="18">
        <v>1</v>
      </c>
      <c r="V22" s="22">
        <v>1</v>
      </c>
      <c r="W22" s="20">
        <v>0</v>
      </c>
      <c r="X22" s="24">
        <v>0</v>
      </c>
      <c r="Y22" s="18">
        <v>0</v>
      </c>
      <c r="Z22" s="18">
        <v>0</v>
      </c>
      <c r="AA22" s="18">
        <v>0</v>
      </c>
      <c r="AB22" s="18">
        <v>5</v>
      </c>
      <c r="AC22" s="18">
        <v>6.4</v>
      </c>
      <c r="AD22" s="18">
        <v>2.2000000000000002</v>
      </c>
      <c r="AE22" s="38">
        <v>0.44</v>
      </c>
    </row>
    <row r="23" spans="1:42">
      <c r="A23" s="121">
        <v>22</v>
      </c>
      <c r="B23" s="18">
        <v>12</v>
      </c>
      <c r="C23" s="18" t="s">
        <v>73</v>
      </c>
      <c r="D23" s="18">
        <v>7</v>
      </c>
      <c r="E23" s="18">
        <v>0</v>
      </c>
      <c r="F23" s="18">
        <v>1433</v>
      </c>
      <c r="G23" s="18">
        <v>685513</v>
      </c>
      <c r="H23" s="18">
        <v>9358675</v>
      </c>
      <c r="I23" s="34">
        <v>41949</v>
      </c>
      <c r="J23" s="35">
        <v>0.43055555555555558</v>
      </c>
      <c r="K23" s="36">
        <v>41956</v>
      </c>
      <c r="L23" s="35">
        <v>0.4375</v>
      </c>
      <c r="M23" s="37">
        <v>10090</v>
      </c>
      <c r="N23" s="38">
        <f t="shared" si="0"/>
        <v>168.16666666666666</v>
      </c>
      <c r="O23" s="37">
        <v>5</v>
      </c>
      <c r="P23" s="18" t="s">
        <v>274</v>
      </c>
      <c r="Q23" s="26">
        <v>41954</v>
      </c>
      <c r="R23" s="27">
        <v>0.30902777777777779</v>
      </c>
      <c r="S23" s="18">
        <v>3</v>
      </c>
      <c r="T23" s="18">
        <v>1</v>
      </c>
      <c r="U23" s="18">
        <v>1</v>
      </c>
      <c r="V23" s="22">
        <v>0</v>
      </c>
      <c r="W23" s="20">
        <v>0</v>
      </c>
      <c r="X23" s="24">
        <v>0</v>
      </c>
      <c r="Y23" s="18">
        <v>0</v>
      </c>
      <c r="Z23" s="18">
        <v>0</v>
      </c>
      <c r="AA23" s="18">
        <v>1</v>
      </c>
      <c r="AB23" s="18">
        <v>30</v>
      </c>
      <c r="AC23" s="18">
        <v>5.7</v>
      </c>
      <c r="AD23" s="18">
        <v>0</v>
      </c>
      <c r="AE23" s="38">
        <v>0</v>
      </c>
    </row>
    <row r="24" spans="1:42">
      <c r="A24" s="121">
        <v>23</v>
      </c>
      <c r="B24" s="18">
        <v>12</v>
      </c>
      <c r="C24" s="18" t="s">
        <v>73</v>
      </c>
      <c r="D24" s="18">
        <v>7</v>
      </c>
      <c r="E24" s="18">
        <v>0</v>
      </c>
      <c r="F24" s="18">
        <v>1433</v>
      </c>
      <c r="G24" s="18">
        <v>685513</v>
      </c>
      <c r="H24" s="18">
        <v>9358675</v>
      </c>
      <c r="I24" s="34">
        <v>41949</v>
      </c>
      <c r="J24" s="35">
        <v>0.43055555555555558</v>
      </c>
      <c r="K24" s="36">
        <v>41956</v>
      </c>
      <c r="L24" s="35">
        <v>0.4375</v>
      </c>
      <c r="M24" s="37">
        <v>10090</v>
      </c>
      <c r="N24" s="38">
        <f t="shared" si="0"/>
        <v>168.16666666666666</v>
      </c>
      <c r="O24" s="37">
        <v>5</v>
      </c>
      <c r="P24" s="18" t="s">
        <v>269</v>
      </c>
      <c r="Q24" s="26">
        <v>41954</v>
      </c>
      <c r="R24" s="27">
        <v>0.37013888888888885</v>
      </c>
      <c r="S24" s="18">
        <v>3</v>
      </c>
      <c r="T24" s="18">
        <v>1</v>
      </c>
      <c r="U24" s="18">
        <v>1</v>
      </c>
      <c r="V24" s="22">
        <v>0</v>
      </c>
      <c r="W24" s="20">
        <v>1</v>
      </c>
      <c r="X24" s="24">
        <v>0</v>
      </c>
      <c r="Y24" s="18">
        <v>0</v>
      </c>
      <c r="Z24" s="18">
        <v>0</v>
      </c>
      <c r="AA24" s="18">
        <v>0</v>
      </c>
      <c r="AG24" s="49"/>
      <c r="AH24" s="49"/>
      <c r="AI24" s="49"/>
      <c r="AJ24" s="49"/>
      <c r="AK24" s="49"/>
      <c r="AL24" s="49"/>
      <c r="AM24" s="49"/>
      <c r="AN24" s="49"/>
      <c r="AO24" s="49"/>
      <c r="AP24" s="49"/>
    </row>
    <row r="25" spans="1:42">
      <c r="A25" s="121">
        <v>24</v>
      </c>
      <c r="B25" s="18">
        <v>13</v>
      </c>
      <c r="C25" s="18" t="s">
        <v>74</v>
      </c>
      <c r="D25" s="18">
        <v>7</v>
      </c>
      <c r="E25" s="18">
        <v>0</v>
      </c>
      <c r="F25" s="18">
        <v>1225</v>
      </c>
      <c r="G25" s="18">
        <v>685205</v>
      </c>
      <c r="H25" s="18">
        <v>9358473</v>
      </c>
      <c r="I25" s="34">
        <v>41949</v>
      </c>
      <c r="J25" s="35">
        <v>0.45833333333333331</v>
      </c>
      <c r="K25" s="36">
        <v>41956</v>
      </c>
      <c r="L25" s="35">
        <v>0.39930555555555558</v>
      </c>
      <c r="M25" s="37">
        <v>9995</v>
      </c>
      <c r="N25" s="38">
        <f t="shared" si="0"/>
        <v>166.58333333333334</v>
      </c>
      <c r="O25" s="37">
        <v>2</v>
      </c>
      <c r="P25" s="18" t="s">
        <v>268</v>
      </c>
      <c r="Q25" s="26">
        <v>41951</v>
      </c>
      <c r="R25" s="27">
        <v>0.21249999999999999</v>
      </c>
      <c r="S25" s="18">
        <v>1</v>
      </c>
      <c r="T25" s="18">
        <v>1</v>
      </c>
      <c r="U25" s="18">
        <v>1</v>
      </c>
      <c r="V25" s="22">
        <v>1</v>
      </c>
      <c r="W25" s="20">
        <v>0</v>
      </c>
      <c r="X25" s="24">
        <v>0</v>
      </c>
      <c r="Y25" s="18">
        <v>0</v>
      </c>
      <c r="Z25" s="18">
        <v>0</v>
      </c>
      <c r="AA25" s="18">
        <v>0</v>
      </c>
      <c r="AB25" s="18">
        <v>40</v>
      </c>
      <c r="AC25" s="18">
        <v>3.43</v>
      </c>
      <c r="AD25" s="18">
        <v>3.6</v>
      </c>
      <c r="AE25" s="38">
        <v>0.12</v>
      </c>
      <c r="AO25" s="29" t="s">
        <v>164</v>
      </c>
    </row>
    <row r="26" spans="1:42">
      <c r="A26" s="121">
        <v>25</v>
      </c>
      <c r="B26" s="18">
        <v>13</v>
      </c>
      <c r="C26" s="18" t="s">
        <v>74</v>
      </c>
      <c r="D26" s="18">
        <v>7</v>
      </c>
      <c r="E26" s="18">
        <v>0</v>
      </c>
      <c r="F26" s="18">
        <v>1225</v>
      </c>
      <c r="G26" s="18">
        <v>685205</v>
      </c>
      <c r="H26" s="18">
        <v>9358473</v>
      </c>
      <c r="I26" s="34">
        <v>41949</v>
      </c>
      <c r="J26" s="35">
        <v>0.45833333333333331</v>
      </c>
      <c r="K26" s="36">
        <v>41956</v>
      </c>
      <c r="L26" s="35">
        <v>0.39930555555555558</v>
      </c>
      <c r="M26" s="37">
        <v>9995</v>
      </c>
      <c r="N26" s="38">
        <f t="shared" si="0"/>
        <v>166.58333333333334</v>
      </c>
      <c r="O26" s="37">
        <v>2</v>
      </c>
      <c r="P26" s="18" t="s">
        <v>274</v>
      </c>
      <c r="Q26" s="26">
        <v>41954</v>
      </c>
      <c r="R26" s="27">
        <v>0.1388888888888889</v>
      </c>
      <c r="S26" s="18">
        <v>1</v>
      </c>
      <c r="T26" s="18">
        <v>1</v>
      </c>
      <c r="U26" s="18">
        <v>1</v>
      </c>
      <c r="V26" s="22">
        <v>1</v>
      </c>
      <c r="W26" s="20">
        <v>0</v>
      </c>
      <c r="X26" s="24">
        <v>0</v>
      </c>
      <c r="Y26" s="18">
        <v>0</v>
      </c>
      <c r="Z26" s="18">
        <v>0</v>
      </c>
      <c r="AA26" s="18">
        <v>0</v>
      </c>
      <c r="AB26" s="18">
        <v>20</v>
      </c>
      <c r="AC26" s="18">
        <v>4.9000000000000004</v>
      </c>
      <c r="AD26" s="18">
        <v>3.5</v>
      </c>
      <c r="AE26" s="38">
        <v>0.11600000000000001</v>
      </c>
      <c r="AO26" s="76" t="e">
        <f>VALUE(AO23/AP23)</f>
        <v>#DIV/0!</v>
      </c>
    </row>
    <row r="27" spans="1:42">
      <c r="A27" s="121">
        <v>26</v>
      </c>
      <c r="B27" s="18">
        <v>14</v>
      </c>
      <c r="C27" s="18" t="s">
        <v>75</v>
      </c>
      <c r="D27" s="18">
        <v>5</v>
      </c>
      <c r="E27" s="18">
        <v>0</v>
      </c>
      <c r="F27" s="18">
        <v>1033</v>
      </c>
      <c r="G27" s="18">
        <v>685564</v>
      </c>
      <c r="H27" s="18">
        <v>9358205</v>
      </c>
      <c r="I27" s="34">
        <v>41949</v>
      </c>
      <c r="J27" s="35">
        <v>0.49652777777777773</v>
      </c>
      <c r="K27" s="36">
        <v>41956</v>
      </c>
      <c r="L27" s="35">
        <v>0.37152777777777773</v>
      </c>
      <c r="M27" s="37">
        <v>9900</v>
      </c>
      <c r="N27" s="38">
        <f t="shared" si="0"/>
        <v>165</v>
      </c>
      <c r="O27" s="37">
        <v>0</v>
      </c>
    </row>
    <row r="28" spans="1:42">
      <c r="A28" s="121">
        <v>27</v>
      </c>
      <c r="B28" s="18">
        <v>15</v>
      </c>
      <c r="C28" s="18" t="s">
        <v>76</v>
      </c>
      <c r="D28" s="18">
        <v>5</v>
      </c>
      <c r="E28" s="18">
        <v>0</v>
      </c>
      <c r="F28" s="18">
        <v>841</v>
      </c>
      <c r="G28" s="18">
        <v>685404</v>
      </c>
      <c r="H28" s="18">
        <v>9358009</v>
      </c>
      <c r="I28" s="34">
        <v>41949</v>
      </c>
      <c r="J28" s="35">
        <v>0.52430555555555558</v>
      </c>
      <c r="K28" s="36">
        <v>41956</v>
      </c>
      <c r="L28" s="35">
        <v>0.51388888888888895</v>
      </c>
      <c r="M28" s="37">
        <v>10065</v>
      </c>
      <c r="N28" s="38">
        <f t="shared" si="0"/>
        <v>167.75</v>
      </c>
      <c r="O28" s="37">
        <v>0</v>
      </c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</row>
    <row r="29" spans="1:42">
      <c r="A29" s="121">
        <v>28</v>
      </c>
      <c r="B29" s="18">
        <v>22</v>
      </c>
      <c r="C29" s="18" t="s">
        <v>106</v>
      </c>
      <c r="D29" s="18">
        <v>7</v>
      </c>
      <c r="E29" s="18">
        <v>0</v>
      </c>
      <c r="F29" s="18">
        <v>968</v>
      </c>
      <c r="G29" s="18">
        <v>678489</v>
      </c>
      <c r="H29" s="18">
        <v>9358344</v>
      </c>
      <c r="I29" s="34">
        <v>41949</v>
      </c>
      <c r="J29" s="35">
        <v>0.70694444444444438</v>
      </c>
      <c r="K29" s="36">
        <v>41956</v>
      </c>
      <c r="L29" s="35">
        <v>0.67708333333333337</v>
      </c>
      <c r="M29" s="37">
        <v>10037</v>
      </c>
      <c r="N29" s="38">
        <f t="shared" si="0"/>
        <v>167.28333333333333</v>
      </c>
      <c r="O29" s="37">
        <v>5</v>
      </c>
      <c r="P29" s="18" t="s">
        <v>275</v>
      </c>
      <c r="Q29" s="26">
        <v>41951</v>
      </c>
      <c r="R29" s="27">
        <v>0.94652777777777775</v>
      </c>
      <c r="S29" s="18">
        <v>1</v>
      </c>
      <c r="T29" s="18">
        <v>1</v>
      </c>
      <c r="U29" s="18">
        <v>1</v>
      </c>
      <c r="V29" s="22">
        <v>1</v>
      </c>
      <c r="W29" s="20">
        <v>0</v>
      </c>
      <c r="X29" s="24">
        <v>0</v>
      </c>
      <c r="Y29" s="18">
        <v>0</v>
      </c>
      <c r="Z29" s="18">
        <v>0</v>
      </c>
      <c r="AA29" s="18">
        <v>0</v>
      </c>
      <c r="AO29" s="29" t="s">
        <v>170</v>
      </c>
    </row>
    <row r="30" spans="1:42">
      <c r="A30" s="121">
        <v>29</v>
      </c>
      <c r="B30" s="18">
        <v>22</v>
      </c>
      <c r="C30" s="18" t="s">
        <v>106</v>
      </c>
      <c r="D30" s="18">
        <v>7</v>
      </c>
      <c r="E30" s="18">
        <v>0</v>
      </c>
      <c r="F30" s="18">
        <v>968</v>
      </c>
      <c r="G30" s="18">
        <v>678489</v>
      </c>
      <c r="H30" s="18">
        <v>9358344</v>
      </c>
      <c r="I30" s="34">
        <v>41949</v>
      </c>
      <c r="J30" s="35">
        <v>0.70694444444444438</v>
      </c>
      <c r="K30" s="36">
        <v>41956</v>
      </c>
      <c r="L30" s="35">
        <v>0.67708333333333337</v>
      </c>
      <c r="M30" s="37">
        <v>10037</v>
      </c>
      <c r="N30" s="38">
        <f t="shared" si="0"/>
        <v>167.28333333333333</v>
      </c>
      <c r="O30" s="37">
        <v>5</v>
      </c>
      <c r="P30" s="18" t="s">
        <v>276</v>
      </c>
      <c r="Q30" s="26">
        <v>41952</v>
      </c>
      <c r="R30" s="27">
        <v>0.57638888888888895</v>
      </c>
      <c r="S30" s="18">
        <v>3</v>
      </c>
      <c r="T30" s="18">
        <v>3</v>
      </c>
      <c r="U30" s="18">
        <v>3</v>
      </c>
      <c r="V30" s="22">
        <v>1</v>
      </c>
      <c r="W30" s="20">
        <v>1</v>
      </c>
      <c r="X30" s="24">
        <v>0</v>
      </c>
      <c r="Y30" s="18">
        <v>0</v>
      </c>
      <c r="Z30" s="18">
        <v>0</v>
      </c>
      <c r="AA30" s="18">
        <v>1</v>
      </c>
    </row>
    <row r="31" spans="1:42">
      <c r="A31" s="121">
        <v>30</v>
      </c>
      <c r="B31" s="18">
        <v>22</v>
      </c>
      <c r="C31" s="18" t="s">
        <v>106</v>
      </c>
      <c r="D31" s="18">
        <v>7</v>
      </c>
      <c r="E31" s="18">
        <v>0</v>
      </c>
      <c r="F31" s="18">
        <v>968</v>
      </c>
      <c r="G31" s="18">
        <v>678489</v>
      </c>
      <c r="H31" s="18">
        <v>9358344</v>
      </c>
      <c r="I31" s="34">
        <v>41949</v>
      </c>
      <c r="J31" s="35">
        <v>0.70694444444444438</v>
      </c>
      <c r="K31" s="36">
        <v>41956</v>
      </c>
      <c r="L31" s="35">
        <v>0.67708333333333337</v>
      </c>
      <c r="M31" s="37">
        <v>10037</v>
      </c>
      <c r="N31" s="38">
        <f t="shared" si="0"/>
        <v>167.28333333333333</v>
      </c>
      <c r="O31" s="37">
        <v>5</v>
      </c>
      <c r="P31" s="18" t="s">
        <v>277</v>
      </c>
      <c r="Q31" s="26">
        <v>41952</v>
      </c>
      <c r="R31" s="27">
        <v>0.80763888888888891</v>
      </c>
      <c r="S31" s="18">
        <v>1</v>
      </c>
      <c r="T31" s="18">
        <v>2</v>
      </c>
      <c r="U31" s="18">
        <v>2</v>
      </c>
      <c r="V31" s="22">
        <v>2</v>
      </c>
      <c r="W31" s="20">
        <v>0</v>
      </c>
      <c r="X31" s="24">
        <v>0</v>
      </c>
      <c r="Y31" s="18">
        <v>0</v>
      </c>
      <c r="Z31" s="18">
        <v>0</v>
      </c>
      <c r="AA31" s="18">
        <v>0</v>
      </c>
      <c r="AB31" s="18">
        <v>60</v>
      </c>
      <c r="AC31" s="18">
        <v>3.59</v>
      </c>
      <c r="AD31" s="18">
        <v>5.6</v>
      </c>
      <c r="AE31" s="38">
        <v>0.187</v>
      </c>
      <c r="AO31" s="77">
        <f>AVERAGEIFS(T:T,S:S,1)</f>
        <v>1.9921259842519685</v>
      </c>
    </row>
    <row r="32" spans="1:42" ht="30">
      <c r="A32" s="121">
        <v>31</v>
      </c>
      <c r="B32" s="18">
        <v>22</v>
      </c>
      <c r="C32" s="18" t="s">
        <v>106</v>
      </c>
      <c r="D32" s="18">
        <v>7</v>
      </c>
      <c r="E32" s="18">
        <v>0</v>
      </c>
      <c r="F32" s="18">
        <v>968</v>
      </c>
      <c r="G32" s="18">
        <v>678489</v>
      </c>
      <c r="H32" s="18">
        <v>9358344</v>
      </c>
      <c r="I32" s="34">
        <v>41949</v>
      </c>
      <c r="J32" s="35">
        <v>0.70694444444444438</v>
      </c>
      <c r="K32" s="36">
        <v>41956</v>
      </c>
      <c r="L32" s="35">
        <v>0.67708333333333337</v>
      </c>
      <c r="M32" s="37">
        <v>10037</v>
      </c>
      <c r="N32" s="38">
        <f t="shared" si="0"/>
        <v>167.28333333333333</v>
      </c>
      <c r="O32" s="37">
        <v>5</v>
      </c>
      <c r="P32" s="18" t="s">
        <v>278</v>
      </c>
      <c r="Q32" s="26">
        <v>41953</v>
      </c>
      <c r="R32" s="27">
        <v>0.85138888888888886</v>
      </c>
      <c r="S32" s="18">
        <v>1</v>
      </c>
      <c r="T32" s="18">
        <v>3</v>
      </c>
      <c r="U32" s="18">
        <v>3</v>
      </c>
      <c r="V32" s="22">
        <v>2</v>
      </c>
      <c r="W32" s="20">
        <v>0</v>
      </c>
      <c r="X32" s="24">
        <v>0</v>
      </c>
      <c r="Y32" s="18">
        <v>0</v>
      </c>
      <c r="Z32" s="18">
        <v>0</v>
      </c>
      <c r="AA32" s="18">
        <v>1</v>
      </c>
      <c r="AO32" s="78" t="s">
        <v>215</v>
      </c>
    </row>
    <row r="33" spans="1:31">
      <c r="A33" s="121">
        <v>32</v>
      </c>
      <c r="B33" s="18">
        <v>22</v>
      </c>
      <c r="C33" s="18" t="s">
        <v>106</v>
      </c>
      <c r="D33" s="18">
        <v>7</v>
      </c>
      <c r="E33" s="18">
        <v>0</v>
      </c>
      <c r="F33" s="18">
        <v>968</v>
      </c>
      <c r="G33" s="18">
        <v>678489</v>
      </c>
      <c r="H33" s="18">
        <v>9358344</v>
      </c>
      <c r="I33" s="34">
        <v>41949</v>
      </c>
      <c r="J33" s="35">
        <v>0.70694444444444438</v>
      </c>
      <c r="K33" s="36">
        <v>41956</v>
      </c>
      <c r="L33" s="35">
        <v>0.67708333333333337</v>
      </c>
      <c r="M33" s="37">
        <v>10037</v>
      </c>
      <c r="N33" s="38">
        <f t="shared" si="0"/>
        <v>167.28333333333333</v>
      </c>
      <c r="O33" s="37">
        <v>5</v>
      </c>
      <c r="P33" s="18" t="s">
        <v>279</v>
      </c>
      <c r="Q33" s="26">
        <v>41954</v>
      </c>
      <c r="R33" s="27">
        <v>0.16250000000000001</v>
      </c>
      <c r="S33" s="18">
        <v>1</v>
      </c>
      <c r="T33" s="18">
        <v>2</v>
      </c>
      <c r="U33" s="18">
        <v>2</v>
      </c>
      <c r="V33" s="22">
        <v>2</v>
      </c>
      <c r="W33" s="20">
        <v>0</v>
      </c>
      <c r="X33" s="24">
        <v>0</v>
      </c>
      <c r="Y33" s="18">
        <v>0</v>
      </c>
      <c r="Z33" s="18">
        <v>0</v>
      </c>
      <c r="AA33" s="18">
        <v>0</v>
      </c>
    </row>
    <row r="34" spans="1:31">
      <c r="A34" s="121">
        <v>33</v>
      </c>
      <c r="B34" s="18">
        <v>16</v>
      </c>
      <c r="C34" s="18" t="s">
        <v>77</v>
      </c>
      <c r="D34" s="18">
        <v>7</v>
      </c>
      <c r="E34" s="18">
        <v>0</v>
      </c>
      <c r="F34" s="18">
        <v>1940</v>
      </c>
      <c r="G34" s="18">
        <v>684738</v>
      </c>
      <c r="H34" s="18">
        <v>9358139</v>
      </c>
      <c r="I34" s="34">
        <v>41951</v>
      </c>
      <c r="J34" s="35">
        <v>0.4236111111111111</v>
      </c>
      <c r="K34" s="36">
        <v>41958</v>
      </c>
      <c r="L34" s="35">
        <v>0.43472222222222223</v>
      </c>
      <c r="M34" s="37">
        <v>10106</v>
      </c>
      <c r="N34" s="38">
        <f t="shared" ref="N34:N65" si="1">VALUE(M34/60)</f>
        <v>168.43333333333334</v>
      </c>
      <c r="O34" s="37">
        <v>3</v>
      </c>
      <c r="P34" s="18" t="s">
        <v>270</v>
      </c>
      <c r="Q34" s="26">
        <v>41952</v>
      </c>
      <c r="R34" s="27">
        <v>0.63680555555555551</v>
      </c>
      <c r="S34" s="18">
        <v>1</v>
      </c>
      <c r="T34" s="18">
        <v>1</v>
      </c>
      <c r="U34" s="18">
        <v>1</v>
      </c>
      <c r="V34" s="22">
        <v>0</v>
      </c>
      <c r="W34" s="20">
        <v>1</v>
      </c>
      <c r="X34" s="24">
        <v>0</v>
      </c>
      <c r="Y34" s="18">
        <v>0</v>
      </c>
      <c r="Z34" s="18">
        <v>0</v>
      </c>
      <c r="AA34" s="18">
        <v>0</v>
      </c>
      <c r="AB34" s="18">
        <v>40</v>
      </c>
      <c r="AC34" s="18">
        <v>0.8</v>
      </c>
      <c r="AD34" s="18">
        <v>10.3</v>
      </c>
      <c r="AE34" s="38">
        <v>1.47</v>
      </c>
    </row>
    <row r="35" spans="1:31">
      <c r="A35" s="121">
        <v>34</v>
      </c>
      <c r="B35" s="18">
        <v>16</v>
      </c>
      <c r="C35" s="18" t="s">
        <v>77</v>
      </c>
      <c r="D35" s="18">
        <v>7</v>
      </c>
      <c r="E35" s="18">
        <v>0</v>
      </c>
      <c r="F35" s="18">
        <v>1940</v>
      </c>
      <c r="G35" s="18">
        <v>684738</v>
      </c>
      <c r="H35" s="18">
        <v>9358139</v>
      </c>
      <c r="I35" s="34">
        <v>41951</v>
      </c>
      <c r="J35" s="35">
        <v>0.4236111111111111</v>
      </c>
      <c r="K35" s="36">
        <v>41958</v>
      </c>
      <c r="L35" s="35">
        <v>0.43472222222222223</v>
      </c>
      <c r="M35" s="37">
        <v>10106</v>
      </c>
      <c r="N35" s="38">
        <f t="shared" si="1"/>
        <v>168.43333333333334</v>
      </c>
      <c r="O35" s="37">
        <v>3</v>
      </c>
      <c r="P35" s="18" t="s">
        <v>271</v>
      </c>
      <c r="Q35" s="26">
        <v>41953</v>
      </c>
      <c r="R35" s="27">
        <v>0.15902777777777777</v>
      </c>
      <c r="S35" s="18">
        <v>1</v>
      </c>
      <c r="T35" s="18">
        <v>1</v>
      </c>
      <c r="U35" s="18">
        <v>1</v>
      </c>
      <c r="V35" s="22">
        <v>0</v>
      </c>
      <c r="W35" s="20">
        <v>1</v>
      </c>
      <c r="X35" s="24">
        <v>0</v>
      </c>
      <c r="Y35" s="18">
        <v>0</v>
      </c>
      <c r="Z35" s="18">
        <v>0</v>
      </c>
      <c r="AA35" s="18">
        <v>0</v>
      </c>
      <c r="AB35" s="18">
        <v>40</v>
      </c>
      <c r="AC35" s="18">
        <v>0.8</v>
      </c>
      <c r="AD35" s="18">
        <v>9.1</v>
      </c>
      <c r="AE35" s="38">
        <v>1.82</v>
      </c>
    </row>
    <row r="36" spans="1:31">
      <c r="A36" s="121">
        <v>35</v>
      </c>
      <c r="B36" s="18">
        <v>16</v>
      </c>
      <c r="C36" s="18" t="s">
        <v>77</v>
      </c>
      <c r="D36" s="18">
        <v>7</v>
      </c>
      <c r="E36" s="18">
        <v>0</v>
      </c>
      <c r="F36" s="18">
        <v>1940</v>
      </c>
      <c r="G36" s="18">
        <v>684738</v>
      </c>
      <c r="H36" s="18">
        <v>9358139</v>
      </c>
      <c r="I36" s="34">
        <v>41951</v>
      </c>
      <c r="J36" s="35">
        <v>0.4236111111111111</v>
      </c>
      <c r="K36" s="36">
        <v>41958</v>
      </c>
      <c r="L36" s="35">
        <v>0.43472222222222223</v>
      </c>
      <c r="M36" s="37">
        <v>10106</v>
      </c>
      <c r="N36" s="38">
        <f t="shared" si="1"/>
        <v>168.43333333333334</v>
      </c>
      <c r="O36" s="37">
        <v>3</v>
      </c>
      <c r="P36" s="18" t="s">
        <v>272</v>
      </c>
      <c r="Q36" s="26">
        <v>41954</v>
      </c>
      <c r="R36" s="27">
        <v>0.36388888888888887</v>
      </c>
      <c r="S36" s="18">
        <v>3</v>
      </c>
      <c r="T36" s="18">
        <v>1</v>
      </c>
      <c r="U36" s="18">
        <v>1</v>
      </c>
      <c r="V36" s="22">
        <v>0</v>
      </c>
      <c r="W36" s="20">
        <v>1</v>
      </c>
      <c r="X36" s="24">
        <v>0</v>
      </c>
      <c r="Y36" s="18">
        <v>0</v>
      </c>
      <c r="Z36" s="18">
        <v>0</v>
      </c>
      <c r="AA36" s="18">
        <v>0</v>
      </c>
      <c r="AB36" s="18">
        <v>20</v>
      </c>
      <c r="AC36" s="18">
        <v>2.08</v>
      </c>
      <c r="AD36" s="18">
        <v>2.2999999999999998</v>
      </c>
      <c r="AE36" s="38">
        <v>0.12</v>
      </c>
    </row>
    <row r="37" spans="1:31">
      <c r="A37" s="121">
        <v>36</v>
      </c>
      <c r="B37" s="18">
        <v>17</v>
      </c>
      <c r="C37" s="18" t="s">
        <v>78</v>
      </c>
      <c r="D37" s="18">
        <v>7</v>
      </c>
      <c r="E37" s="18">
        <v>0</v>
      </c>
      <c r="F37" s="18">
        <v>1631</v>
      </c>
      <c r="G37" s="18">
        <v>684546</v>
      </c>
      <c r="H37" s="18">
        <v>9358838</v>
      </c>
      <c r="I37" s="34">
        <v>41951</v>
      </c>
      <c r="J37" s="35">
        <v>0.47916666666666669</v>
      </c>
      <c r="K37" s="36">
        <v>41958</v>
      </c>
      <c r="L37" s="35">
        <v>0.46249999999999997</v>
      </c>
      <c r="M37" s="37">
        <v>10056</v>
      </c>
      <c r="N37" s="38">
        <f t="shared" si="1"/>
        <v>167.6</v>
      </c>
      <c r="O37" s="37">
        <v>2</v>
      </c>
      <c r="P37" s="18" t="s">
        <v>268</v>
      </c>
      <c r="Q37" s="26">
        <v>41953</v>
      </c>
      <c r="R37" s="27">
        <v>0.67152777777777783</v>
      </c>
      <c r="S37" s="18">
        <v>3</v>
      </c>
      <c r="T37" s="18">
        <v>7</v>
      </c>
      <c r="U37" s="18">
        <v>3</v>
      </c>
      <c r="V37" s="22">
        <v>3</v>
      </c>
      <c r="W37" s="20">
        <v>0</v>
      </c>
      <c r="X37" s="24">
        <v>4</v>
      </c>
      <c r="Y37" s="18">
        <v>0</v>
      </c>
      <c r="Z37" s="18">
        <v>2</v>
      </c>
      <c r="AA37" s="18">
        <v>0</v>
      </c>
      <c r="AB37" s="18">
        <v>20</v>
      </c>
      <c r="AC37" s="18">
        <v>4.4000000000000004</v>
      </c>
      <c r="AD37" s="18">
        <v>2.7</v>
      </c>
      <c r="AE37" s="38">
        <v>0.09</v>
      </c>
    </row>
    <row r="38" spans="1:31">
      <c r="A38" s="121">
        <v>37</v>
      </c>
      <c r="B38" s="18">
        <v>17</v>
      </c>
      <c r="C38" s="18" t="s">
        <v>78</v>
      </c>
      <c r="D38" s="18">
        <v>7</v>
      </c>
      <c r="E38" s="18">
        <v>0</v>
      </c>
      <c r="F38" s="18">
        <v>1631</v>
      </c>
      <c r="G38" s="18">
        <v>684546</v>
      </c>
      <c r="H38" s="18">
        <v>9358838</v>
      </c>
      <c r="I38" s="34">
        <v>41951</v>
      </c>
      <c r="J38" s="35">
        <v>0.47916666666666669</v>
      </c>
      <c r="K38" s="36">
        <v>41958</v>
      </c>
      <c r="L38" s="35">
        <v>0.46249999999999997</v>
      </c>
      <c r="M38" s="37">
        <v>10056</v>
      </c>
      <c r="N38" s="38">
        <f t="shared" si="1"/>
        <v>167.6</v>
      </c>
      <c r="O38" s="37">
        <v>2</v>
      </c>
      <c r="P38" s="18" t="s">
        <v>280</v>
      </c>
      <c r="Q38" s="26">
        <v>41958</v>
      </c>
      <c r="R38" s="27">
        <v>0.41250000000000003</v>
      </c>
      <c r="S38" s="18">
        <v>3</v>
      </c>
      <c r="T38" s="18">
        <v>1</v>
      </c>
      <c r="U38" s="18">
        <v>1</v>
      </c>
      <c r="V38" s="22">
        <v>0</v>
      </c>
      <c r="W38" s="20">
        <v>1</v>
      </c>
      <c r="X38" s="24">
        <v>0</v>
      </c>
      <c r="Y38" s="18">
        <v>0</v>
      </c>
      <c r="Z38" s="18">
        <v>0</v>
      </c>
      <c r="AA38" s="18">
        <v>0</v>
      </c>
    </row>
    <row r="39" spans="1:31">
      <c r="A39" s="121">
        <v>38</v>
      </c>
      <c r="B39" s="18">
        <v>18</v>
      </c>
      <c r="C39" s="18" t="s">
        <v>79</v>
      </c>
      <c r="D39" s="18">
        <v>7</v>
      </c>
      <c r="E39" s="18">
        <v>0</v>
      </c>
      <c r="F39" s="18">
        <v>1214</v>
      </c>
      <c r="G39" s="18">
        <v>684183</v>
      </c>
      <c r="H39" s="18">
        <v>9358406</v>
      </c>
      <c r="I39" s="34">
        <v>41951</v>
      </c>
      <c r="J39" s="35">
        <v>0.52083333333333337</v>
      </c>
      <c r="K39" s="36">
        <v>41958</v>
      </c>
      <c r="L39" s="35">
        <v>0.5</v>
      </c>
      <c r="M39" s="37">
        <v>10050</v>
      </c>
      <c r="N39" s="38">
        <f t="shared" si="1"/>
        <v>167.5</v>
      </c>
      <c r="O39" s="37">
        <v>3</v>
      </c>
      <c r="P39" s="18" t="s">
        <v>273</v>
      </c>
      <c r="Q39" s="26">
        <v>41953</v>
      </c>
      <c r="R39" s="27">
        <v>0.55555555555555558</v>
      </c>
      <c r="S39" s="18">
        <v>3</v>
      </c>
      <c r="T39" s="18">
        <v>1</v>
      </c>
      <c r="U39" s="18">
        <v>1</v>
      </c>
      <c r="V39" s="22">
        <v>0</v>
      </c>
      <c r="W39" s="20">
        <v>1</v>
      </c>
      <c r="X39" s="24">
        <v>0</v>
      </c>
      <c r="Y39" s="18">
        <v>0</v>
      </c>
      <c r="Z39" s="18">
        <v>0</v>
      </c>
      <c r="AA39" s="18">
        <v>0</v>
      </c>
      <c r="AB39" s="18">
        <v>10</v>
      </c>
      <c r="AC39" s="18">
        <v>4.3</v>
      </c>
      <c r="AD39" s="18">
        <v>1.5</v>
      </c>
      <c r="AE39" s="38">
        <v>0.21</v>
      </c>
    </row>
    <row r="40" spans="1:31">
      <c r="A40" s="121">
        <v>39</v>
      </c>
      <c r="B40" s="18">
        <v>18</v>
      </c>
      <c r="C40" s="18" t="s">
        <v>79</v>
      </c>
      <c r="D40" s="18">
        <v>7</v>
      </c>
      <c r="E40" s="18">
        <v>0</v>
      </c>
      <c r="F40" s="18">
        <v>1214</v>
      </c>
      <c r="G40" s="18">
        <v>684183</v>
      </c>
      <c r="H40" s="18">
        <v>9358406</v>
      </c>
      <c r="I40" s="34">
        <v>41951</v>
      </c>
      <c r="J40" s="35">
        <v>0.52083333333333337</v>
      </c>
      <c r="K40" s="36">
        <v>41958</v>
      </c>
      <c r="L40" s="35">
        <v>0.5</v>
      </c>
      <c r="M40" s="37">
        <v>10050</v>
      </c>
      <c r="N40" s="38">
        <f t="shared" si="1"/>
        <v>167.5</v>
      </c>
      <c r="O40" s="37">
        <v>3</v>
      </c>
      <c r="P40" s="18" t="s">
        <v>268</v>
      </c>
      <c r="Q40" s="26">
        <v>41957</v>
      </c>
      <c r="R40" s="27">
        <v>0.4201388888888889</v>
      </c>
      <c r="S40" s="18">
        <v>3</v>
      </c>
      <c r="T40" s="18">
        <v>1</v>
      </c>
      <c r="U40" s="18">
        <v>1</v>
      </c>
      <c r="V40" s="22">
        <v>0</v>
      </c>
      <c r="W40" s="20">
        <v>2</v>
      </c>
      <c r="X40" s="24">
        <v>0</v>
      </c>
      <c r="Y40" s="18">
        <v>0</v>
      </c>
      <c r="Z40" s="18">
        <v>0</v>
      </c>
      <c r="AA40" s="18">
        <v>0</v>
      </c>
    </row>
    <row r="41" spans="1:31">
      <c r="A41" s="121">
        <v>40</v>
      </c>
      <c r="B41" s="18">
        <v>18</v>
      </c>
      <c r="C41" s="18" t="s">
        <v>79</v>
      </c>
      <c r="D41" s="18">
        <v>7</v>
      </c>
      <c r="E41" s="18">
        <v>0</v>
      </c>
      <c r="F41" s="18">
        <v>1214</v>
      </c>
      <c r="G41" s="18">
        <v>684183</v>
      </c>
      <c r="H41" s="18">
        <v>9358406</v>
      </c>
      <c r="I41" s="34">
        <v>41951</v>
      </c>
      <c r="J41" s="35">
        <v>0.52083333333333337</v>
      </c>
      <c r="K41" s="36">
        <v>41958</v>
      </c>
      <c r="L41" s="35">
        <v>0.5</v>
      </c>
      <c r="M41" s="37">
        <v>10050</v>
      </c>
      <c r="N41" s="38">
        <f t="shared" si="1"/>
        <v>167.5</v>
      </c>
      <c r="O41" s="37">
        <v>3</v>
      </c>
      <c r="P41" s="18" t="s">
        <v>281</v>
      </c>
      <c r="Q41" s="26">
        <v>41958</v>
      </c>
      <c r="R41" s="27">
        <v>0.10277777777777779</v>
      </c>
      <c r="S41" s="18">
        <v>1</v>
      </c>
      <c r="T41" s="18">
        <v>1</v>
      </c>
      <c r="U41" s="18">
        <v>1</v>
      </c>
      <c r="V41" s="22">
        <v>0</v>
      </c>
      <c r="W41" s="20">
        <v>1</v>
      </c>
      <c r="X41" s="24">
        <v>0</v>
      </c>
      <c r="Y41" s="18">
        <v>0</v>
      </c>
      <c r="Z41" s="18">
        <v>0</v>
      </c>
      <c r="AA41" s="18">
        <v>0</v>
      </c>
      <c r="AB41" s="18">
        <v>30</v>
      </c>
      <c r="AC41" s="18">
        <v>4.9000000000000004</v>
      </c>
      <c r="AD41" s="18">
        <v>2.8</v>
      </c>
      <c r="AE41" s="38">
        <v>0.2</v>
      </c>
    </row>
    <row r="42" spans="1:31">
      <c r="A42" s="121">
        <v>41</v>
      </c>
      <c r="B42" s="18">
        <v>19</v>
      </c>
      <c r="C42" s="18" t="s">
        <v>80</v>
      </c>
      <c r="D42" s="18">
        <v>7</v>
      </c>
      <c r="E42" s="18">
        <v>0</v>
      </c>
      <c r="F42" s="18">
        <v>744</v>
      </c>
      <c r="G42" s="18">
        <v>684636</v>
      </c>
      <c r="H42" s="18">
        <v>9357989</v>
      </c>
      <c r="I42" s="34">
        <v>41951</v>
      </c>
      <c r="J42" s="35">
        <v>0.5625</v>
      </c>
      <c r="K42" s="36">
        <v>41958</v>
      </c>
      <c r="L42" s="35">
        <v>0.52777777777777779</v>
      </c>
      <c r="M42" s="37">
        <v>10030</v>
      </c>
      <c r="N42" s="38">
        <f t="shared" si="1"/>
        <v>167.16666666666666</v>
      </c>
      <c r="O42" s="37">
        <v>2</v>
      </c>
      <c r="P42" s="18" t="s">
        <v>272</v>
      </c>
      <c r="Q42" s="26">
        <v>41952</v>
      </c>
      <c r="R42" s="27">
        <v>0.8340277777777777</v>
      </c>
      <c r="S42" s="18">
        <v>1</v>
      </c>
      <c r="T42" s="18">
        <v>1</v>
      </c>
      <c r="U42" s="18">
        <v>1</v>
      </c>
      <c r="V42" s="22">
        <v>0</v>
      </c>
      <c r="W42" s="20">
        <v>1</v>
      </c>
      <c r="X42" s="24">
        <v>0</v>
      </c>
      <c r="Y42" s="18">
        <v>0</v>
      </c>
      <c r="Z42" s="18">
        <v>0</v>
      </c>
      <c r="AA42" s="18">
        <v>0</v>
      </c>
      <c r="AB42" s="18">
        <v>15</v>
      </c>
      <c r="AC42" s="18">
        <v>3.7</v>
      </c>
      <c r="AD42" s="18">
        <v>6.4</v>
      </c>
      <c r="AE42" s="38">
        <v>0.57999999999999996</v>
      </c>
    </row>
    <row r="43" spans="1:31">
      <c r="A43" s="121">
        <v>42</v>
      </c>
      <c r="B43" s="18">
        <v>19</v>
      </c>
      <c r="C43" s="18" t="s">
        <v>80</v>
      </c>
      <c r="D43" s="18">
        <v>7</v>
      </c>
      <c r="E43" s="18">
        <v>0</v>
      </c>
      <c r="F43" s="18">
        <v>744</v>
      </c>
      <c r="G43" s="18">
        <v>684636</v>
      </c>
      <c r="H43" s="18">
        <v>9357989</v>
      </c>
      <c r="I43" s="34">
        <v>41951</v>
      </c>
      <c r="J43" s="35">
        <v>0.5625</v>
      </c>
      <c r="K43" s="36">
        <v>41958</v>
      </c>
      <c r="L43" s="35">
        <v>0.52777777777777779</v>
      </c>
      <c r="M43" s="37">
        <v>10030</v>
      </c>
      <c r="N43" s="38">
        <f t="shared" si="1"/>
        <v>167.16666666666666</v>
      </c>
      <c r="O43" s="37">
        <v>2</v>
      </c>
      <c r="P43" s="18" t="s">
        <v>273</v>
      </c>
      <c r="Q43" s="26">
        <v>41958</v>
      </c>
      <c r="R43" s="27">
        <v>0.27013888888888887</v>
      </c>
      <c r="S43" s="18">
        <v>1</v>
      </c>
      <c r="T43" s="18">
        <v>3</v>
      </c>
      <c r="U43" s="18">
        <v>1</v>
      </c>
      <c r="V43" s="22">
        <v>1</v>
      </c>
      <c r="W43" s="20">
        <v>0</v>
      </c>
      <c r="X43" s="24">
        <v>2</v>
      </c>
      <c r="Y43" s="18">
        <v>0</v>
      </c>
      <c r="Z43" s="18">
        <v>0</v>
      </c>
      <c r="AA43" s="18">
        <v>0</v>
      </c>
      <c r="AB43" s="18">
        <v>10</v>
      </c>
      <c r="AC43" s="18">
        <v>2</v>
      </c>
      <c r="AD43" s="18">
        <v>5.3</v>
      </c>
      <c r="AE43" s="38">
        <v>0.53</v>
      </c>
    </row>
    <row r="44" spans="1:31">
      <c r="A44" s="121">
        <v>43</v>
      </c>
      <c r="B44" s="18">
        <v>20</v>
      </c>
      <c r="C44" s="18" t="s">
        <v>81</v>
      </c>
      <c r="D44" s="18">
        <v>7</v>
      </c>
      <c r="E44" s="18">
        <v>0</v>
      </c>
      <c r="F44" s="18">
        <v>582</v>
      </c>
      <c r="G44" s="18">
        <v>684681</v>
      </c>
      <c r="H44" s="18">
        <v>9357731</v>
      </c>
      <c r="I44" s="34">
        <v>41951</v>
      </c>
      <c r="J44" s="35">
        <v>0.57986111111111105</v>
      </c>
      <c r="K44" s="36">
        <v>41958</v>
      </c>
      <c r="L44" s="35">
        <v>0.54166666666666663</v>
      </c>
      <c r="M44" s="37">
        <v>10025</v>
      </c>
      <c r="N44" s="38">
        <f t="shared" si="1"/>
        <v>167.08333333333334</v>
      </c>
      <c r="O44" s="37">
        <v>5</v>
      </c>
      <c r="P44" s="18" t="s">
        <v>270</v>
      </c>
      <c r="Q44" s="26">
        <v>41952</v>
      </c>
      <c r="R44" s="27">
        <v>0.82916666666666661</v>
      </c>
      <c r="S44" s="18">
        <v>1</v>
      </c>
      <c r="T44" s="18">
        <v>1</v>
      </c>
      <c r="U44" s="18">
        <v>1</v>
      </c>
      <c r="V44" s="22">
        <v>0</v>
      </c>
      <c r="W44" s="20">
        <v>1</v>
      </c>
      <c r="X44" s="24">
        <v>0</v>
      </c>
      <c r="Y44" s="18">
        <v>0</v>
      </c>
      <c r="Z44" s="18">
        <v>0</v>
      </c>
      <c r="AA44" s="18">
        <v>0</v>
      </c>
      <c r="AB44" s="18">
        <v>45</v>
      </c>
      <c r="AC44" s="18">
        <v>2.5</v>
      </c>
      <c r="AD44" s="18">
        <v>3.7</v>
      </c>
      <c r="AE44" s="38">
        <v>0.46</v>
      </c>
    </row>
    <row r="45" spans="1:31">
      <c r="A45" s="121">
        <v>44</v>
      </c>
      <c r="B45" s="18">
        <v>20</v>
      </c>
      <c r="C45" s="18" t="s">
        <v>81</v>
      </c>
      <c r="D45" s="18">
        <v>7</v>
      </c>
      <c r="E45" s="18">
        <v>0</v>
      </c>
      <c r="F45" s="18">
        <v>582</v>
      </c>
      <c r="G45" s="18">
        <v>684681</v>
      </c>
      <c r="H45" s="18">
        <v>9357731</v>
      </c>
      <c r="I45" s="34">
        <v>41951</v>
      </c>
      <c r="J45" s="35">
        <v>0.57986111111111105</v>
      </c>
      <c r="K45" s="36">
        <v>41958</v>
      </c>
      <c r="L45" s="35">
        <v>0.54166666666666663</v>
      </c>
      <c r="M45" s="37">
        <v>10025</v>
      </c>
      <c r="N45" s="38">
        <f t="shared" si="1"/>
        <v>167.08333333333334</v>
      </c>
      <c r="O45" s="37">
        <v>5</v>
      </c>
      <c r="P45" s="18" t="s">
        <v>271</v>
      </c>
      <c r="Q45" s="26">
        <v>41952</v>
      </c>
      <c r="R45" s="27">
        <v>0.96875</v>
      </c>
      <c r="S45" s="18">
        <v>1</v>
      </c>
      <c r="T45" s="18">
        <v>1</v>
      </c>
      <c r="U45" s="18">
        <v>1</v>
      </c>
      <c r="V45" s="22">
        <v>0</v>
      </c>
      <c r="W45" s="20">
        <v>1</v>
      </c>
      <c r="X45" s="24">
        <v>0</v>
      </c>
      <c r="Y45" s="18">
        <v>0</v>
      </c>
      <c r="Z45" s="18">
        <v>0</v>
      </c>
      <c r="AA45" s="18">
        <v>0</v>
      </c>
      <c r="AB45" s="18">
        <v>40</v>
      </c>
      <c r="AC45" s="18">
        <v>1.6</v>
      </c>
      <c r="AD45" s="18">
        <v>4.4000000000000004</v>
      </c>
      <c r="AE45" s="38">
        <v>0.49</v>
      </c>
    </row>
    <row r="46" spans="1:31">
      <c r="A46" s="121">
        <v>45</v>
      </c>
      <c r="B46" s="18">
        <v>20</v>
      </c>
      <c r="C46" s="18" t="s">
        <v>81</v>
      </c>
      <c r="D46" s="18">
        <v>7</v>
      </c>
      <c r="E46" s="18">
        <v>0</v>
      </c>
      <c r="F46" s="18">
        <v>582</v>
      </c>
      <c r="G46" s="18">
        <v>684681</v>
      </c>
      <c r="H46" s="18">
        <v>9357731</v>
      </c>
      <c r="I46" s="34">
        <v>41951</v>
      </c>
      <c r="J46" s="35">
        <v>0.57986111111111105</v>
      </c>
      <c r="K46" s="36">
        <v>41958</v>
      </c>
      <c r="L46" s="35">
        <v>0.54166666666666663</v>
      </c>
      <c r="M46" s="37">
        <v>10025</v>
      </c>
      <c r="N46" s="38">
        <f t="shared" si="1"/>
        <v>167.08333333333334</v>
      </c>
      <c r="O46" s="37">
        <v>5</v>
      </c>
      <c r="P46" s="18" t="s">
        <v>273</v>
      </c>
      <c r="Q46" s="26">
        <v>41953</v>
      </c>
      <c r="R46" s="27">
        <v>0.68888888888888899</v>
      </c>
      <c r="S46" s="18">
        <v>1</v>
      </c>
      <c r="T46" s="18">
        <v>1</v>
      </c>
      <c r="U46" s="18">
        <v>1</v>
      </c>
      <c r="V46" s="22">
        <v>0</v>
      </c>
      <c r="W46" s="20">
        <v>1</v>
      </c>
      <c r="X46" s="24">
        <v>0</v>
      </c>
      <c r="Y46" s="18">
        <v>0</v>
      </c>
      <c r="Z46" s="18">
        <v>0</v>
      </c>
      <c r="AA46" s="18">
        <v>0</v>
      </c>
      <c r="AB46" s="18">
        <v>10</v>
      </c>
      <c r="AC46" s="18">
        <v>2.2999999999999998</v>
      </c>
      <c r="AD46" s="18">
        <v>2.4</v>
      </c>
      <c r="AE46" s="38">
        <v>0.8</v>
      </c>
    </row>
    <row r="47" spans="1:31">
      <c r="A47" s="121">
        <v>46</v>
      </c>
      <c r="B47" s="18">
        <v>20</v>
      </c>
      <c r="C47" s="18" t="s">
        <v>81</v>
      </c>
      <c r="D47" s="18">
        <v>7</v>
      </c>
      <c r="E47" s="18">
        <v>0</v>
      </c>
      <c r="F47" s="18">
        <v>582</v>
      </c>
      <c r="G47" s="18">
        <v>684681</v>
      </c>
      <c r="H47" s="18">
        <v>9357731</v>
      </c>
      <c r="I47" s="34">
        <v>41951</v>
      </c>
      <c r="J47" s="35">
        <v>0.57986111111111105</v>
      </c>
      <c r="K47" s="36">
        <v>41958</v>
      </c>
      <c r="L47" s="35">
        <v>0.54166666666666663</v>
      </c>
      <c r="M47" s="37">
        <v>10025</v>
      </c>
      <c r="N47" s="38">
        <f t="shared" si="1"/>
        <v>167.08333333333334</v>
      </c>
      <c r="O47" s="37">
        <v>5</v>
      </c>
      <c r="P47" s="18" t="s">
        <v>269</v>
      </c>
      <c r="Q47" s="26">
        <v>41957</v>
      </c>
      <c r="R47" s="27">
        <v>0.72916666666666663</v>
      </c>
      <c r="S47" s="18">
        <v>3</v>
      </c>
      <c r="T47" s="18">
        <v>1</v>
      </c>
      <c r="U47" s="18">
        <v>1</v>
      </c>
      <c r="V47" s="22">
        <v>0</v>
      </c>
      <c r="W47" s="20">
        <v>1</v>
      </c>
      <c r="X47" s="24">
        <v>0</v>
      </c>
      <c r="Y47" s="18">
        <v>0</v>
      </c>
      <c r="Z47" s="18">
        <v>0</v>
      </c>
      <c r="AA47" s="18">
        <v>0</v>
      </c>
      <c r="AB47" s="18">
        <v>20</v>
      </c>
      <c r="AC47" s="18">
        <v>5.3</v>
      </c>
      <c r="AD47" s="18">
        <v>0</v>
      </c>
      <c r="AE47" s="38">
        <v>0</v>
      </c>
    </row>
    <row r="48" spans="1:31">
      <c r="A48" s="121">
        <v>47</v>
      </c>
      <c r="B48" s="18">
        <v>20</v>
      </c>
      <c r="C48" s="18" t="s">
        <v>81</v>
      </c>
      <c r="D48" s="18">
        <v>7</v>
      </c>
      <c r="E48" s="18">
        <v>0</v>
      </c>
      <c r="F48" s="18">
        <v>582</v>
      </c>
      <c r="G48" s="18">
        <v>684681</v>
      </c>
      <c r="H48" s="18">
        <v>9357731</v>
      </c>
      <c r="I48" s="34">
        <v>41951</v>
      </c>
      <c r="J48" s="35">
        <v>0.57986111111111105</v>
      </c>
      <c r="K48" s="36">
        <v>41958</v>
      </c>
      <c r="L48" s="35">
        <v>0.54166666666666663</v>
      </c>
      <c r="M48" s="37">
        <v>10025</v>
      </c>
      <c r="N48" s="38">
        <f t="shared" si="1"/>
        <v>167.08333333333334</v>
      </c>
      <c r="O48" s="37">
        <v>5</v>
      </c>
      <c r="P48" s="18" t="s">
        <v>282</v>
      </c>
      <c r="Q48" s="26">
        <v>41958</v>
      </c>
      <c r="R48" s="27">
        <v>0.26874999999999999</v>
      </c>
      <c r="S48" s="18">
        <v>1</v>
      </c>
      <c r="T48" s="18">
        <v>1</v>
      </c>
      <c r="U48" s="18">
        <v>1</v>
      </c>
      <c r="V48" s="22">
        <v>0</v>
      </c>
      <c r="W48" s="20">
        <v>1</v>
      </c>
      <c r="X48" s="24">
        <v>0</v>
      </c>
      <c r="Y48" s="18">
        <v>0</v>
      </c>
      <c r="Z48" s="18">
        <v>0</v>
      </c>
      <c r="AA48" s="18">
        <v>0</v>
      </c>
    </row>
    <row r="49" spans="1:42">
      <c r="A49" s="121">
        <v>48</v>
      </c>
      <c r="B49" s="18">
        <v>1</v>
      </c>
      <c r="C49" s="18" t="s">
        <v>121</v>
      </c>
      <c r="D49" s="18">
        <v>7</v>
      </c>
      <c r="E49" s="18">
        <v>0</v>
      </c>
      <c r="F49" s="18">
        <v>3271</v>
      </c>
      <c r="G49" s="18">
        <v>682355</v>
      </c>
      <c r="H49" s="18">
        <v>9360986</v>
      </c>
      <c r="I49" s="34">
        <v>41961</v>
      </c>
      <c r="J49" s="35">
        <v>0.34236111111111112</v>
      </c>
      <c r="K49" s="36">
        <v>41968</v>
      </c>
      <c r="L49" s="35">
        <v>0.34722222222222227</v>
      </c>
      <c r="M49" s="37">
        <v>10087</v>
      </c>
      <c r="N49" s="38">
        <f t="shared" si="1"/>
        <v>168.11666666666667</v>
      </c>
      <c r="O49" s="37">
        <v>0</v>
      </c>
    </row>
    <row r="50" spans="1:42">
      <c r="A50" s="121">
        <v>49</v>
      </c>
      <c r="B50" s="18">
        <v>2</v>
      </c>
      <c r="C50" s="18" t="s">
        <v>123</v>
      </c>
      <c r="D50" s="18">
        <v>7</v>
      </c>
      <c r="E50" s="18">
        <v>0</v>
      </c>
      <c r="F50" s="18">
        <v>3232</v>
      </c>
      <c r="G50" s="18">
        <v>682535</v>
      </c>
      <c r="H50" s="18">
        <v>9360938</v>
      </c>
      <c r="I50" s="34">
        <v>41961</v>
      </c>
      <c r="J50" s="35">
        <v>0.43124999999999997</v>
      </c>
      <c r="K50" s="36">
        <v>41968</v>
      </c>
      <c r="L50" s="35">
        <v>0.35347222222222219</v>
      </c>
      <c r="M50" s="37">
        <v>9962</v>
      </c>
      <c r="N50" s="38">
        <f t="shared" si="1"/>
        <v>166.03333333333333</v>
      </c>
      <c r="O50" s="37">
        <v>2</v>
      </c>
      <c r="P50" s="18" t="s">
        <v>272</v>
      </c>
      <c r="Q50" s="26">
        <v>41964</v>
      </c>
      <c r="R50" s="27">
        <v>0.86388888888888893</v>
      </c>
      <c r="S50" s="18">
        <v>1</v>
      </c>
      <c r="T50" s="18">
        <v>1</v>
      </c>
      <c r="U50" s="18">
        <v>1</v>
      </c>
      <c r="V50" s="22">
        <v>1</v>
      </c>
      <c r="W50" s="20">
        <v>0</v>
      </c>
      <c r="X50" s="24">
        <v>0</v>
      </c>
      <c r="Y50" s="18">
        <v>0</v>
      </c>
      <c r="Z50" s="18">
        <v>0</v>
      </c>
      <c r="AA50" s="18">
        <v>0</v>
      </c>
      <c r="AB50" s="18">
        <v>5</v>
      </c>
      <c r="AC50" s="18">
        <v>4</v>
      </c>
      <c r="AD50" s="18">
        <v>2.7</v>
      </c>
      <c r="AE50" s="38">
        <v>0.09</v>
      </c>
    </row>
    <row r="51" spans="1:42">
      <c r="A51" s="121">
        <v>50</v>
      </c>
      <c r="B51" s="18">
        <v>2</v>
      </c>
      <c r="C51" s="18" t="s">
        <v>123</v>
      </c>
      <c r="D51" s="18">
        <v>7</v>
      </c>
      <c r="E51" s="18">
        <v>0</v>
      </c>
      <c r="F51" s="18">
        <v>3232</v>
      </c>
      <c r="G51" s="18">
        <v>682535</v>
      </c>
      <c r="H51" s="18">
        <v>9360938</v>
      </c>
      <c r="I51" s="34">
        <v>41961</v>
      </c>
      <c r="J51" s="35">
        <v>0.43124999999999997</v>
      </c>
      <c r="K51" s="36">
        <v>41968</v>
      </c>
      <c r="L51" s="35">
        <v>0.35347222222222219</v>
      </c>
      <c r="M51" s="37">
        <v>9962</v>
      </c>
      <c r="N51" s="38">
        <f t="shared" si="1"/>
        <v>166.03333333333333</v>
      </c>
      <c r="O51" s="37">
        <v>2</v>
      </c>
      <c r="P51" s="18" t="s">
        <v>274</v>
      </c>
      <c r="Q51" s="26">
        <v>41965</v>
      </c>
      <c r="R51" s="27">
        <v>3.4027777777777775E-2</v>
      </c>
      <c r="S51" s="18">
        <v>1</v>
      </c>
      <c r="T51" s="18">
        <v>4</v>
      </c>
      <c r="U51" s="18">
        <v>1</v>
      </c>
      <c r="V51" s="22">
        <v>1</v>
      </c>
      <c r="W51" s="20">
        <v>0</v>
      </c>
      <c r="X51" s="24">
        <v>3</v>
      </c>
      <c r="Y51" s="18">
        <v>0</v>
      </c>
      <c r="Z51" s="18">
        <v>0</v>
      </c>
      <c r="AA51" s="18">
        <v>0</v>
      </c>
      <c r="AB51" s="18">
        <v>10</v>
      </c>
      <c r="AC51" s="18">
        <v>4.5</v>
      </c>
      <c r="AD51" s="18">
        <v>3.73</v>
      </c>
      <c r="AE51" s="38">
        <v>0.46</v>
      </c>
    </row>
    <row r="52" spans="1:42">
      <c r="A52" s="121">
        <v>51</v>
      </c>
      <c r="B52" s="18">
        <v>3</v>
      </c>
      <c r="C52" s="18" t="s">
        <v>124</v>
      </c>
      <c r="D52" s="18">
        <v>7</v>
      </c>
      <c r="E52" s="18">
        <v>0</v>
      </c>
      <c r="F52" s="18">
        <v>3237</v>
      </c>
      <c r="G52" s="18">
        <v>683018</v>
      </c>
      <c r="H52" s="18">
        <v>9360884</v>
      </c>
      <c r="I52" s="34">
        <v>41961</v>
      </c>
      <c r="J52" s="35">
        <v>0.47638888888888892</v>
      </c>
      <c r="K52" s="36">
        <v>41968</v>
      </c>
      <c r="L52" s="35">
        <v>0.3833333333333333</v>
      </c>
      <c r="M52" s="37">
        <v>9956</v>
      </c>
      <c r="N52" s="38">
        <f t="shared" si="1"/>
        <v>165.93333333333334</v>
      </c>
      <c r="O52" s="37">
        <v>0</v>
      </c>
    </row>
    <row r="53" spans="1:42">
      <c r="A53" s="121">
        <v>52</v>
      </c>
      <c r="B53" s="18">
        <v>4</v>
      </c>
      <c r="C53" s="18" t="s">
        <v>125</v>
      </c>
      <c r="D53" s="18">
        <v>7</v>
      </c>
      <c r="E53" s="18">
        <v>0</v>
      </c>
      <c r="F53" s="18">
        <v>3153</v>
      </c>
      <c r="G53" s="18">
        <v>683292</v>
      </c>
      <c r="H53" s="18">
        <v>9360665</v>
      </c>
      <c r="I53" s="34">
        <v>41961</v>
      </c>
      <c r="J53" s="35">
        <v>0.50208333333333333</v>
      </c>
      <c r="K53" s="36">
        <v>41968</v>
      </c>
      <c r="L53" s="35">
        <v>0.40347222222222223</v>
      </c>
      <c r="M53" s="37">
        <v>9951</v>
      </c>
      <c r="N53" s="38">
        <f t="shared" si="1"/>
        <v>165.85</v>
      </c>
      <c r="O53" s="37">
        <v>0</v>
      </c>
    </row>
    <row r="54" spans="1:42">
      <c r="A54" s="121">
        <v>53</v>
      </c>
      <c r="B54" s="18">
        <v>5</v>
      </c>
      <c r="C54" s="18" t="s">
        <v>126</v>
      </c>
      <c r="D54" s="18">
        <v>7</v>
      </c>
      <c r="E54" s="18">
        <v>0</v>
      </c>
      <c r="F54" s="18">
        <v>3004</v>
      </c>
      <c r="G54" s="18">
        <v>682374</v>
      </c>
      <c r="H54" s="18">
        <v>9360437</v>
      </c>
      <c r="I54" s="34">
        <v>41961</v>
      </c>
      <c r="J54" s="35">
        <v>0.5541666666666667</v>
      </c>
      <c r="K54" s="36">
        <v>41968</v>
      </c>
      <c r="L54" s="35">
        <v>0.4375</v>
      </c>
      <c r="M54" s="37">
        <v>9942</v>
      </c>
      <c r="N54" s="38">
        <f t="shared" si="1"/>
        <v>165.7</v>
      </c>
      <c r="O54" s="37">
        <v>0</v>
      </c>
    </row>
    <row r="55" spans="1:42">
      <c r="A55" s="121">
        <v>54</v>
      </c>
      <c r="B55" s="18">
        <v>6</v>
      </c>
      <c r="C55" s="18" t="s">
        <v>127</v>
      </c>
      <c r="D55" s="18">
        <v>7</v>
      </c>
      <c r="E55" s="18">
        <v>0</v>
      </c>
      <c r="F55" s="18">
        <v>2297</v>
      </c>
      <c r="G55" s="18">
        <v>682274</v>
      </c>
      <c r="H55" s="18">
        <v>9359484</v>
      </c>
      <c r="I55" s="34">
        <v>41962</v>
      </c>
      <c r="J55" s="35">
        <v>0.35069444444444442</v>
      </c>
      <c r="K55" s="36">
        <v>41969</v>
      </c>
      <c r="L55" s="35">
        <v>0.34513888888888888</v>
      </c>
      <c r="M55" s="37">
        <v>10072</v>
      </c>
      <c r="N55" s="38">
        <f t="shared" si="1"/>
        <v>167.86666666666667</v>
      </c>
      <c r="O55" s="37">
        <v>0</v>
      </c>
    </row>
    <row r="56" spans="1:42">
      <c r="A56" s="121">
        <v>55</v>
      </c>
      <c r="B56" s="18">
        <v>7</v>
      </c>
      <c r="C56" s="18" t="s">
        <v>128</v>
      </c>
      <c r="D56" s="18">
        <v>7</v>
      </c>
      <c r="E56" s="18">
        <v>0</v>
      </c>
      <c r="F56" s="18">
        <v>1917</v>
      </c>
      <c r="G56" s="18">
        <v>682437</v>
      </c>
      <c r="H56" s="18">
        <v>9359153</v>
      </c>
      <c r="I56" s="34">
        <v>41962</v>
      </c>
      <c r="J56" s="35">
        <v>0.37916666666666665</v>
      </c>
      <c r="K56" s="36">
        <v>41969</v>
      </c>
      <c r="L56" s="35">
        <v>0.36249999999999999</v>
      </c>
      <c r="M56" s="37">
        <v>10056</v>
      </c>
      <c r="N56" s="38">
        <f t="shared" si="1"/>
        <v>167.6</v>
      </c>
      <c r="O56" s="37">
        <v>0</v>
      </c>
    </row>
    <row r="57" spans="1:42">
      <c r="A57" s="121">
        <v>56</v>
      </c>
      <c r="B57" s="18">
        <v>8</v>
      </c>
      <c r="C57" s="18" t="s">
        <v>129</v>
      </c>
      <c r="D57" s="18">
        <v>7</v>
      </c>
      <c r="E57" s="18">
        <v>0</v>
      </c>
      <c r="F57" s="18">
        <v>1822</v>
      </c>
      <c r="G57" s="18">
        <v>682893</v>
      </c>
      <c r="H57" s="18">
        <v>9358998</v>
      </c>
      <c r="I57" s="34">
        <v>41962</v>
      </c>
      <c r="J57" s="35">
        <v>0.40763888888888888</v>
      </c>
      <c r="K57" s="36">
        <v>41969</v>
      </c>
      <c r="L57" s="35">
        <v>0.38194444444444442</v>
      </c>
      <c r="M57" s="37">
        <v>10043</v>
      </c>
      <c r="N57" s="38">
        <f t="shared" si="1"/>
        <v>167.38333333333333</v>
      </c>
      <c r="O57" s="37">
        <v>2</v>
      </c>
      <c r="P57" s="18" t="s">
        <v>272</v>
      </c>
      <c r="Q57" s="26">
        <v>41966</v>
      </c>
      <c r="R57" s="27">
        <v>0.6430555555555556</v>
      </c>
      <c r="S57" s="18">
        <v>3</v>
      </c>
      <c r="T57" s="18">
        <v>7</v>
      </c>
      <c r="U57" s="18">
        <v>1</v>
      </c>
      <c r="V57" s="22">
        <v>0</v>
      </c>
      <c r="W57" s="20">
        <v>0</v>
      </c>
      <c r="X57" s="24">
        <v>5</v>
      </c>
      <c r="Y57" s="18">
        <v>0</v>
      </c>
      <c r="Z57" s="18">
        <v>1</v>
      </c>
      <c r="AA57" s="18">
        <v>1</v>
      </c>
      <c r="AB57" s="18">
        <v>25</v>
      </c>
      <c r="AC57" s="18">
        <v>2.08</v>
      </c>
      <c r="AD57" s="18">
        <v>0</v>
      </c>
      <c r="AE57" s="38">
        <v>0</v>
      </c>
    </row>
    <row r="58" spans="1:42">
      <c r="A58" s="121">
        <v>57</v>
      </c>
      <c r="B58" s="18">
        <v>8</v>
      </c>
      <c r="C58" s="18" t="s">
        <v>129</v>
      </c>
      <c r="D58" s="18">
        <v>7</v>
      </c>
      <c r="E58" s="18">
        <v>0</v>
      </c>
      <c r="F58" s="18">
        <v>1822</v>
      </c>
      <c r="G58" s="18">
        <v>682893</v>
      </c>
      <c r="H58" s="18">
        <v>9358998</v>
      </c>
      <c r="I58" s="34">
        <v>41962</v>
      </c>
      <c r="J58" s="35">
        <v>0.40763888888888888</v>
      </c>
      <c r="K58" s="36">
        <v>41969</v>
      </c>
      <c r="L58" s="35">
        <v>0.38194444444444442</v>
      </c>
      <c r="M58" s="37">
        <v>10043</v>
      </c>
      <c r="N58" s="38">
        <f t="shared" si="1"/>
        <v>167.38333333333333</v>
      </c>
      <c r="O58" s="37">
        <v>2</v>
      </c>
      <c r="P58" s="18" t="s">
        <v>268</v>
      </c>
      <c r="Q58" s="26">
        <v>41968</v>
      </c>
      <c r="R58" s="27">
        <v>0.5708333333333333</v>
      </c>
      <c r="S58" s="18">
        <v>1</v>
      </c>
      <c r="T58" s="18">
        <v>1</v>
      </c>
      <c r="U58" s="18">
        <v>1</v>
      </c>
      <c r="V58" s="22">
        <v>0</v>
      </c>
      <c r="W58" s="20">
        <v>1</v>
      </c>
      <c r="X58" s="24">
        <v>0</v>
      </c>
      <c r="Y58" s="18">
        <v>0</v>
      </c>
      <c r="Z58" s="18">
        <v>0</v>
      </c>
      <c r="AA58" s="18">
        <v>0</v>
      </c>
      <c r="AB58" s="18">
        <v>5</v>
      </c>
      <c r="AC58" s="18">
        <v>5.72</v>
      </c>
      <c r="AD58" s="18">
        <v>4.5599999999999996</v>
      </c>
      <c r="AE58" s="38">
        <v>0.18</v>
      </c>
    </row>
    <row r="59" spans="1:42">
      <c r="A59" s="121">
        <v>58</v>
      </c>
      <c r="B59" s="18">
        <v>9</v>
      </c>
      <c r="C59" s="18" t="s">
        <v>130</v>
      </c>
      <c r="D59" s="18">
        <v>7</v>
      </c>
      <c r="E59" s="18">
        <v>0</v>
      </c>
      <c r="F59" s="18">
        <v>1922</v>
      </c>
      <c r="G59" s="18">
        <v>682999</v>
      </c>
      <c r="H59" s="18">
        <v>9359153</v>
      </c>
      <c r="I59" s="34">
        <v>41962</v>
      </c>
      <c r="J59" s="35">
        <v>0.45763888888888887</v>
      </c>
      <c r="K59" s="36">
        <v>41969</v>
      </c>
      <c r="L59" s="35">
        <v>0.3979166666666667</v>
      </c>
      <c r="M59" s="37">
        <v>9994</v>
      </c>
      <c r="N59" s="38">
        <f t="shared" si="1"/>
        <v>166.56666666666666</v>
      </c>
      <c r="O59" s="37">
        <v>1</v>
      </c>
      <c r="P59" s="18" t="s">
        <v>273</v>
      </c>
      <c r="Q59" s="26">
        <v>41963</v>
      </c>
      <c r="R59" s="27">
        <v>0.64374999999999993</v>
      </c>
      <c r="S59" s="18">
        <v>3</v>
      </c>
      <c r="T59" s="18">
        <v>2</v>
      </c>
      <c r="U59" s="18">
        <v>0</v>
      </c>
      <c r="V59" s="22">
        <v>0</v>
      </c>
      <c r="W59" s="20">
        <v>0</v>
      </c>
      <c r="X59" s="24">
        <v>2</v>
      </c>
      <c r="Y59" s="18">
        <v>0</v>
      </c>
      <c r="Z59" s="18">
        <v>0</v>
      </c>
      <c r="AA59" s="18">
        <v>0</v>
      </c>
      <c r="AB59" s="18">
        <v>5</v>
      </c>
      <c r="AC59" s="18">
        <v>1.45</v>
      </c>
      <c r="AD59" s="18">
        <v>2.23</v>
      </c>
      <c r="AE59" s="38">
        <v>0.21</v>
      </c>
    </row>
    <row r="60" spans="1:42">
      <c r="A60" s="121">
        <v>59</v>
      </c>
      <c r="B60" s="18">
        <v>10</v>
      </c>
      <c r="C60" s="18" t="s">
        <v>131</v>
      </c>
      <c r="D60" s="18">
        <v>7</v>
      </c>
      <c r="E60" s="18">
        <v>0</v>
      </c>
      <c r="F60" s="18">
        <v>1411</v>
      </c>
      <c r="G60" s="18">
        <v>683310</v>
      </c>
      <c r="H60" s="18">
        <v>9358658</v>
      </c>
      <c r="I60" s="34">
        <v>41962</v>
      </c>
      <c r="J60" s="35">
        <v>0.50277777777777777</v>
      </c>
      <c r="K60" s="36">
        <v>41969</v>
      </c>
      <c r="L60" s="35">
        <v>0.4201388888888889</v>
      </c>
      <c r="M60" s="37">
        <v>9961</v>
      </c>
      <c r="N60" s="38">
        <f t="shared" si="1"/>
        <v>166.01666666666668</v>
      </c>
      <c r="O60" s="37">
        <v>1</v>
      </c>
      <c r="P60" s="18" t="s">
        <v>272</v>
      </c>
      <c r="Q60" s="26">
        <v>41964</v>
      </c>
      <c r="R60" s="27">
        <v>0.52083333333333337</v>
      </c>
      <c r="S60" s="18">
        <v>3</v>
      </c>
      <c r="T60" s="18">
        <v>2</v>
      </c>
      <c r="U60" s="18">
        <v>1</v>
      </c>
      <c r="V60" s="22">
        <v>0</v>
      </c>
      <c r="W60" s="20">
        <v>1</v>
      </c>
      <c r="X60" s="24">
        <v>0</v>
      </c>
      <c r="Y60" s="18">
        <v>0</v>
      </c>
      <c r="Z60" s="18">
        <v>0</v>
      </c>
      <c r="AA60" s="18">
        <v>1</v>
      </c>
      <c r="AB60" s="18">
        <v>20</v>
      </c>
      <c r="AC60" s="18">
        <v>4.42</v>
      </c>
      <c r="AD60" s="18">
        <v>2</v>
      </c>
      <c r="AE60" s="38">
        <v>0.22</v>
      </c>
    </row>
    <row r="61" spans="1:42">
      <c r="A61" s="121">
        <v>60</v>
      </c>
      <c r="B61" s="18">
        <v>11</v>
      </c>
      <c r="C61" s="18" t="s">
        <v>132</v>
      </c>
      <c r="D61" s="18">
        <v>5</v>
      </c>
      <c r="E61" s="18">
        <v>0</v>
      </c>
      <c r="F61" s="18">
        <v>63</v>
      </c>
      <c r="G61" s="18">
        <v>681975</v>
      </c>
      <c r="H61" s="18">
        <v>9356882</v>
      </c>
      <c r="I61" s="34">
        <v>41963</v>
      </c>
      <c r="J61" s="35">
        <v>0.38541666666666669</v>
      </c>
      <c r="K61" s="36">
        <v>41970</v>
      </c>
      <c r="L61" s="35">
        <v>0.41180555555555554</v>
      </c>
      <c r="M61" s="37">
        <v>10118</v>
      </c>
      <c r="N61" s="38">
        <f t="shared" si="1"/>
        <v>168.63333333333333</v>
      </c>
      <c r="O61" s="37">
        <v>0</v>
      </c>
    </row>
    <row r="62" spans="1:42">
      <c r="A62" s="121">
        <v>61</v>
      </c>
      <c r="B62" s="18">
        <v>12</v>
      </c>
      <c r="C62" s="18" t="s">
        <v>133</v>
      </c>
      <c r="D62" s="18">
        <v>7</v>
      </c>
      <c r="E62" s="18">
        <v>0</v>
      </c>
      <c r="F62" s="18">
        <v>168</v>
      </c>
      <c r="G62" s="18">
        <v>682052</v>
      </c>
      <c r="H62" s="18">
        <v>9357185</v>
      </c>
      <c r="I62" s="34">
        <v>41963</v>
      </c>
      <c r="J62" s="35">
        <v>0.41736111111111113</v>
      </c>
      <c r="K62" s="36">
        <v>41970</v>
      </c>
      <c r="L62" s="35">
        <v>0.41180555555555554</v>
      </c>
      <c r="M62" s="37">
        <v>10072</v>
      </c>
      <c r="N62" s="38">
        <f t="shared" si="1"/>
        <v>167.86666666666667</v>
      </c>
      <c r="O62" s="37">
        <v>5</v>
      </c>
      <c r="P62" s="18" t="s">
        <v>283</v>
      </c>
      <c r="Q62" s="26">
        <v>41965</v>
      </c>
      <c r="R62" s="27">
        <v>0.24305555555555555</v>
      </c>
      <c r="S62" s="18">
        <v>3</v>
      </c>
      <c r="T62" s="18">
        <v>1</v>
      </c>
      <c r="U62" s="18">
        <v>1</v>
      </c>
      <c r="V62" s="22">
        <v>0</v>
      </c>
      <c r="W62" s="20">
        <v>1</v>
      </c>
      <c r="X62" s="24">
        <v>0</v>
      </c>
      <c r="Y62" s="18">
        <v>0</v>
      </c>
      <c r="Z62" s="18">
        <v>0</v>
      </c>
      <c r="AA62" s="18">
        <v>0</v>
      </c>
      <c r="AB62" s="18">
        <v>10</v>
      </c>
      <c r="AC62" s="18">
        <v>5</v>
      </c>
      <c r="AD62" s="18">
        <v>1</v>
      </c>
      <c r="AE62" s="38">
        <v>7.0000000000000007E-2</v>
      </c>
    </row>
    <row r="63" spans="1:42">
      <c r="A63" s="119">
        <v>62</v>
      </c>
      <c r="B63" s="25">
        <v>12</v>
      </c>
      <c r="C63" s="25" t="s">
        <v>133</v>
      </c>
      <c r="D63" s="25">
        <v>7</v>
      </c>
      <c r="E63" s="25">
        <v>0</v>
      </c>
      <c r="F63" s="25">
        <v>168</v>
      </c>
      <c r="G63" s="25">
        <v>682052</v>
      </c>
      <c r="H63" s="25">
        <v>9357185</v>
      </c>
      <c r="I63" s="42">
        <v>41963</v>
      </c>
      <c r="J63" s="43">
        <v>0.41736111111111113</v>
      </c>
      <c r="K63" s="44">
        <v>41970</v>
      </c>
      <c r="L63" s="43">
        <v>0.41180555555555554</v>
      </c>
      <c r="M63" s="28">
        <v>10072</v>
      </c>
      <c r="N63" s="45">
        <f t="shared" si="1"/>
        <v>167.86666666666667</v>
      </c>
      <c r="O63" s="28">
        <v>5</v>
      </c>
      <c r="P63" s="25" t="s">
        <v>284</v>
      </c>
      <c r="Q63" s="46">
        <v>41965</v>
      </c>
      <c r="R63" s="47">
        <v>0.29305555555555557</v>
      </c>
      <c r="S63" s="25">
        <v>3</v>
      </c>
      <c r="T63" s="25">
        <v>3</v>
      </c>
      <c r="U63" s="25">
        <v>1</v>
      </c>
      <c r="V63" s="22">
        <v>0</v>
      </c>
      <c r="W63" s="20">
        <v>0</v>
      </c>
      <c r="X63" s="24">
        <v>0</v>
      </c>
      <c r="Y63" s="25">
        <v>0</v>
      </c>
      <c r="Z63" s="25">
        <v>1</v>
      </c>
      <c r="AA63" s="25">
        <v>1</v>
      </c>
      <c r="AB63" s="25">
        <v>10</v>
      </c>
      <c r="AC63" s="25">
        <v>9</v>
      </c>
      <c r="AD63" s="25">
        <v>0</v>
      </c>
      <c r="AE63" s="45">
        <v>0</v>
      </c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</row>
    <row r="64" spans="1:42">
      <c r="A64" s="119">
        <v>63</v>
      </c>
      <c r="B64" s="18">
        <v>12</v>
      </c>
      <c r="C64" s="18" t="s">
        <v>133</v>
      </c>
      <c r="D64" s="18">
        <v>7</v>
      </c>
      <c r="E64" s="18">
        <v>0</v>
      </c>
      <c r="F64" s="18">
        <v>168</v>
      </c>
      <c r="G64" s="18">
        <v>682052</v>
      </c>
      <c r="H64" s="18">
        <v>9357185</v>
      </c>
      <c r="I64" s="34">
        <v>41963</v>
      </c>
      <c r="J64" s="35">
        <v>0.41736111111111113</v>
      </c>
      <c r="K64" s="36">
        <v>41970</v>
      </c>
      <c r="L64" s="35">
        <v>0.41180555555555554</v>
      </c>
      <c r="M64" s="37">
        <v>10072</v>
      </c>
      <c r="N64" s="38">
        <f t="shared" si="1"/>
        <v>167.86666666666667</v>
      </c>
      <c r="O64" s="37">
        <v>5</v>
      </c>
      <c r="P64" s="18" t="s">
        <v>285</v>
      </c>
      <c r="Q64" s="26">
        <v>41966</v>
      </c>
      <c r="R64" s="27">
        <v>0.38750000000000001</v>
      </c>
      <c r="S64" s="18">
        <v>3</v>
      </c>
      <c r="T64" s="18">
        <v>2</v>
      </c>
      <c r="U64" s="18">
        <v>2</v>
      </c>
      <c r="V64" s="22">
        <v>0</v>
      </c>
      <c r="W64" s="20">
        <v>1</v>
      </c>
      <c r="X64" s="24">
        <v>0</v>
      </c>
      <c r="Y64" s="18">
        <v>0</v>
      </c>
      <c r="Z64" s="18">
        <v>0</v>
      </c>
      <c r="AA64" s="18">
        <v>1</v>
      </c>
      <c r="AG64" s="25"/>
      <c r="AH64" s="25"/>
      <c r="AI64" s="25"/>
      <c r="AJ64" s="25"/>
      <c r="AK64" s="25"/>
      <c r="AL64" s="25"/>
      <c r="AM64" s="25"/>
      <c r="AN64" s="25"/>
      <c r="AO64" s="25"/>
      <c r="AP64" s="25"/>
    </row>
    <row r="65" spans="1:42">
      <c r="A65" s="119">
        <v>64</v>
      </c>
      <c r="B65" s="18">
        <v>12</v>
      </c>
      <c r="C65" s="18" t="s">
        <v>133</v>
      </c>
      <c r="D65" s="18">
        <v>7</v>
      </c>
      <c r="E65" s="18">
        <v>0</v>
      </c>
      <c r="F65" s="18">
        <v>168</v>
      </c>
      <c r="G65" s="18">
        <v>682052</v>
      </c>
      <c r="H65" s="18">
        <v>9357185</v>
      </c>
      <c r="I65" s="34">
        <v>41963</v>
      </c>
      <c r="J65" s="35">
        <v>0.41736111111111113</v>
      </c>
      <c r="K65" s="36">
        <v>41970</v>
      </c>
      <c r="L65" s="35">
        <v>0.41180555555555554</v>
      </c>
      <c r="M65" s="37">
        <v>10072</v>
      </c>
      <c r="N65" s="38">
        <f t="shared" si="1"/>
        <v>167.86666666666667</v>
      </c>
      <c r="O65" s="37">
        <v>5</v>
      </c>
      <c r="P65" s="18" t="s">
        <v>286</v>
      </c>
      <c r="Q65" s="26">
        <v>41967</v>
      </c>
      <c r="R65" s="27">
        <v>0.25138888888888888</v>
      </c>
      <c r="S65" s="18">
        <v>3</v>
      </c>
      <c r="T65" s="18">
        <v>2</v>
      </c>
      <c r="U65" s="18">
        <v>1</v>
      </c>
      <c r="V65" s="22">
        <v>1</v>
      </c>
      <c r="W65" s="20">
        <v>0</v>
      </c>
      <c r="X65" s="24">
        <v>0</v>
      </c>
      <c r="Y65" s="18">
        <v>0</v>
      </c>
      <c r="Z65" s="18">
        <v>1</v>
      </c>
      <c r="AA65" s="18">
        <v>0</v>
      </c>
      <c r="AG65" s="25"/>
      <c r="AH65" s="25"/>
      <c r="AI65" s="25"/>
      <c r="AJ65" s="25"/>
      <c r="AK65" s="25"/>
      <c r="AL65" s="25"/>
      <c r="AM65" s="25"/>
      <c r="AN65" s="25"/>
      <c r="AO65" s="25"/>
      <c r="AP65" s="25"/>
    </row>
    <row r="66" spans="1:42">
      <c r="A66" s="119">
        <v>65</v>
      </c>
      <c r="B66" s="18">
        <v>12</v>
      </c>
      <c r="C66" s="18" t="s">
        <v>133</v>
      </c>
      <c r="D66" s="18">
        <v>7</v>
      </c>
      <c r="E66" s="18">
        <v>0</v>
      </c>
      <c r="F66" s="18">
        <v>168</v>
      </c>
      <c r="G66" s="18">
        <v>682052</v>
      </c>
      <c r="H66" s="18">
        <v>9357185</v>
      </c>
      <c r="I66" s="34">
        <v>41963</v>
      </c>
      <c r="J66" s="35">
        <v>0.41736111111111113</v>
      </c>
      <c r="K66" s="36">
        <v>41970</v>
      </c>
      <c r="L66" s="35">
        <v>0.41180555555555554</v>
      </c>
      <c r="M66" s="37">
        <v>10072</v>
      </c>
      <c r="N66" s="38">
        <f t="shared" ref="N66:N97" si="2">VALUE(M66/60)</f>
        <v>167.86666666666667</v>
      </c>
      <c r="O66" s="37">
        <v>5</v>
      </c>
      <c r="P66" s="18" t="s">
        <v>287</v>
      </c>
      <c r="Q66" s="26">
        <v>41967</v>
      </c>
      <c r="R66" s="27">
        <v>0.30486111111111108</v>
      </c>
      <c r="S66" s="18">
        <v>3</v>
      </c>
      <c r="T66" s="18">
        <v>1</v>
      </c>
      <c r="U66" s="18">
        <v>1</v>
      </c>
      <c r="V66" s="22">
        <v>1</v>
      </c>
      <c r="W66" s="20">
        <v>0</v>
      </c>
      <c r="X66" s="24">
        <v>0</v>
      </c>
      <c r="Y66" s="18">
        <v>0</v>
      </c>
      <c r="Z66" s="18">
        <v>0</v>
      </c>
      <c r="AA66" s="18">
        <v>0</v>
      </c>
      <c r="AG66" s="25"/>
      <c r="AH66" s="25"/>
      <c r="AI66" s="25"/>
      <c r="AJ66" s="25"/>
      <c r="AK66" s="25"/>
      <c r="AL66" s="25"/>
      <c r="AM66" s="25"/>
      <c r="AN66" s="25"/>
      <c r="AO66" s="25"/>
      <c r="AP66" s="25"/>
    </row>
    <row r="67" spans="1:42">
      <c r="A67" s="121">
        <v>66</v>
      </c>
      <c r="B67" s="18">
        <v>13</v>
      </c>
      <c r="C67" s="18" t="s">
        <v>135</v>
      </c>
      <c r="D67" s="18">
        <v>7</v>
      </c>
      <c r="E67" s="18">
        <v>0</v>
      </c>
      <c r="F67" s="18">
        <v>567</v>
      </c>
      <c r="G67" s="18">
        <v>682669</v>
      </c>
      <c r="H67" s="18">
        <v>9357715</v>
      </c>
      <c r="I67" s="34">
        <v>41963</v>
      </c>
      <c r="J67" s="35">
        <v>0.47916666666666669</v>
      </c>
      <c r="K67" s="36">
        <v>41970</v>
      </c>
      <c r="L67" s="35">
        <v>0.51736111111111105</v>
      </c>
      <c r="M67" s="37">
        <v>10135</v>
      </c>
      <c r="N67" s="38">
        <f t="shared" si="2"/>
        <v>168.91666666666666</v>
      </c>
      <c r="O67" s="37">
        <v>0</v>
      </c>
    </row>
    <row r="68" spans="1:42">
      <c r="A68" s="121">
        <v>67</v>
      </c>
      <c r="B68" s="18">
        <v>14</v>
      </c>
      <c r="C68" s="18" t="s">
        <v>138</v>
      </c>
      <c r="D68" s="18">
        <v>6</v>
      </c>
      <c r="E68" s="18">
        <v>0</v>
      </c>
      <c r="F68" s="18" t="s">
        <v>157</v>
      </c>
      <c r="G68" s="18">
        <v>682359</v>
      </c>
      <c r="H68" s="18">
        <v>9356640</v>
      </c>
      <c r="I68" s="34">
        <v>41963</v>
      </c>
      <c r="J68" s="35">
        <v>0.54722222222222217</v>
      </c>
      <c r="K68" s="36">
        <v>41970</v>
      </c>
      <c r="L68" s="35">
        <v>0.36805555555555558</v>
      </c>
      <c r="M68" s="37">
        <v>9798</v>
      </c>
      <c r="N68" s="38">
        <f t="shared" si="2"/>
        <v>163.30000000000001</v>
      </c>
      <c r="O68" s="37">
        <v>1</v>
      </c>
      <c r="P68" s="18" t="s">
        <v>288</v>
      </c>
      <c r="Q68" s="26">
        <v>41969</v>
      </c>
      <c r="R68" s="27">
        <v>0.98263888888888884</v>
      </c>
      <c r="S68" s="18">
        <v>1</v>
      </c>
      <c r="T68" s="18">
        <v>2</v>
      </c>
      <c r="U68" s="18">
        <v>2</v>
      </c>
      <c r="V68" s="22">
        <v>1</v>
      </c>
      <c r="W68" s="20">
        <v>1</v>
      </c>
      <c r="X68" s="24">
        <v>0</v>
      </c>
      <c r="Y68" s="18">
        <v>0</v>
      </c>
      <c r="Z68" s="18">
        <v>0</v>
      </c>
      <c r="AA68" s="18">
        <v>0</v>
      </c>
      <c r="AB68" s="18">
        <v>10</v>
      </c>
      <c r="AC68" s="18" t="s">
        <v>140</v>
      </c>
      <c r="AD68" s="18">
        <v>0.9</v>
      </c>
      <c r="AE68" s="38">
        <v>0.23</v>
      </c>
    </row>
    <row r="69" spans="1:42">
      <c r="A69" s="119">
        <v>68</v>
      </c>
      <c r="B69" s="18">
        <v>15</v>
      </c>
      <c r="C69" s="18" t="s">
        <v>141</v>
      </c>
      <c r="D69" s="18">
        <v>8</v>
      </c>
      <c r="E69" s="18">
        <v>0</v>
      </c>
      <c r="F69" s="18" t="s">
        <v>157</v>
      </c>
      <c r="G69" s="18">
        <v>682167</v>
      </c>
      <c r="H69" s="18">
        <v>9356708</v>
      </c>
      <c r="I69" s="34">
        <v>41963</v>
      </c>
      <c r="J69" s="35">
        <v>0.5625</v>
      </c>
      <c r="K69" s="36">
        <v>41970</v>
      </c>
      <c r="L69" s="35">
        <v>0.3888888888888889</v>
      </c>
      <c r="M69" s="37">
        <v>9830</v>
      </c>
      <c r="N69" s="38">
        <f t="shared" si="2"/>
        <v>163.83333333333334</v>
      </c>
      <c r="O69" s="37">
        <v>4</v>
      </c>
      <c r="P69" s="18" t="s">
        <v>283</v>
      </c>
      <c r="Q69" s="26">
        <v>41964</v>
      </c>
      <c r="R69" s="27">
        <v>0.21180555555555555</v>
      </c>
      <c r="S69" s="18">
        <v>3</v>
      </c>
      <c r="T69" s="18">
        <v>5</v>
      </c>
      <c r="U69" s="18">
        <v>2</v>
      </c>
      <c r="V69" s="22">
        <v>1</v>
      </c>
      <c r="W69" s="20">
        <v>0</v>
      </c>
      <c r="X69" s="24">
        <v>2</v>
      </c>
      <c r="Y69" s="18">
        <v>0</v>
      </c>
      <c r="Z69" s="18">
        <v>1</v>
      </c>
      <c r="AA69" s="18">
        <v>1</v>
      </c>
      <c r="AB69" s="18">
        <v>20</v>
      </c>
      <c r="AC69" s="18">
        <v>3.5</v>
      </c>
      <c r="AD69" s="18">
        <v>1</v>
      </c>
      <c r="AE69" s="38">
        <v>0.2</v>
      </c>
      <c r="AG69" s="25"/>
      <c r="AH69" s="25"/>
      <c r="AI69" s="25"/>
      <c r="AJ69" s="25"/>
      <c r="AK69" s="25"/>
      <c r="AL69" s="25"/>
      <c r="AM69" s="25"/>
      <c r="AN69" s="25"/>
      <c r="AO69" s="25"/>
      <c r="AP69" s="25"/>
    </row>
    <row r="70" spans="1:42">
      <c r="A70" s="119">
        <v>69</v>
      </c>
      <c r="B70" s="18">
        <v>15</v>
      </c>
      <c r="C70" s="18" t="s">
        <v>141</v>
      </c>
      <c r="D70" s="18">
        <v>8</v>
      </c>
      <c r="E70" s="18">
        <v>0</v>
      </c>
      <c r="F70" s="18" t="s">
        <v>157</v>
      </c>
      <c r="G70" s="18">
        <v>682167</v>
      </c>
      <c r="H70" s="18">
        <v>9356708</v>
      </c>
      <c r="I70" s="34">
        <v>41963</v>
      </c>
      <c r="J70" s="35">
        <v>0.5625</v>
      </c>
      <c r="K70" s="36">
        <v>41970</v>
      </c>
      <c r="L70" s="35">
        <v>0.3888888888888889</v>
      </c>
      <c r="M70" s="37">
        <v>9830</v>
      </c>
      <c r="N70" s="38">
        <f t="shared" si="2"/>
        <v>163.83333333333334</v>
      </c>
      <c r="O70" s="37">
        <v>4</v>
      </c>
      <c r="P70" s="18" t="s">
        <v>289</v>
      </c>
      <c r="Q70" s="26">
        <v>41965</v>
      </c>
      <c r="R70" s="27">
        <v>0.20138888888888887</v>
      </c>
      <c r="S70" s="18">
        <v>3</v>
      </c>
      <c r="T70" s="18">
        <v>2</v>
      </c>
      <c r="U70" s="18">
        <v>1</v>
      </c>
      <c r="V70" s="22">
        <v>1</v>
      </c>
      <c r="W70" s="20">
        <v>0</v>
      </c>
      <c r="X70" s="24">
        <v>0</v>
      </c>
      <c r="Y70" s="18">
        <v>0</v>
      </c>
      <c r="Z70" s="18">
        <v>1</v>
      </c>
      <c r="AA70" s="18">
        <v>0</v>
      </c>
      <c r="AG70" s="25"/>
      <c r="AH70" s="25"/>
      <c r="AI70" s="25"/>
      <c r="AJ70" s="25"/>
      <c r="AK70" s="25"/>
      <c r="AL70" s="25"/>
      <c r="AM70" s="25"/>
      <c r="AN70" s="25"/>
      <c r="AO70" s="25"/>
      <c r="AP70" s="25"/>
    </row>
    <row r="71" spans="1:42">
      <c r="A71" s="119">
        <v>70</v>
      </c>
      <c r="B71" s="18">
        <v>15</v>
      </c>
      <c r="C71" s="18" t="s">
        <v>141</v>
      </c>
      <c r="D71" s="18">
        <v>8</v>
      </c>
      <c r="E71" s="18">
        <v>0</v>
      </c>
      <c r="F71" s="18" t="s">
        <v>157</v>
      </c>
      <c r="G71" s="18">
        <v>682167</v>
      </c>
      <c r="H71" s="18">
        <v>9356708</v>
      </c>
      <c r="I71" s="34">
        <v>41963</v>
      </c>
      <c r="J71" s="35">
        <v>0.5625</v>
      </c>
      <c r="K71" s="36">
        <v>41970</v>
      </c>
      <c r="L71" s="35">
        <v>0.3888888888888889</v>
      </c>
      <c r="M71" s="37">
        <v>9830</v>
      </c>
      <c r="N71" s="38">
        <f t="shared" si="2"/>
        <v>163.83333333333334</v>
      </c>
      <c r="O71" s="37">
        <v>4</v>
      </c>
      <c r="P71" s="18" t="s">
        <v>290</v>
      </c>
      <c r="Q71" s="26">
        <v>41966</v>
      </c>
      <c r="R71" s="27">
        <v>0.23958333333333334</v>
      </c>
      <c r="S71" s="18">
        <v>3</v>
      </c>
      <c r="T71" s="18">
        <v>1</v>
      </c>
      <c r="U71" s="18">
        <v>1</v>
      </c>
      <c r="V71" s="22">
        <v>0</v>
      </c>
      <c r="W71" s="20">
        <v>0</v>
      </c>
      <c r="X71" s="24">
        <v>0</v>
      </c>
      <c r="Y71" s="18">
        <v>0</v>
      </c>
      <c r="Z71" s="18">
        <v>0</v>
      </c>
      <c r="AA71" s="18">
        <v>1</v>
      </c>
      <c r="AG71" s="25"/>
      <c r="AH71" s="25"/>
      <c r="AI71" s="25"/>
      <c r="AJ71" s="25"/>
      <c r="AK71" s="25"/>
      <c r="AL71" s="25"/>
      <c r="AM71" s="25"/>
      <c r="AN71" s="25"/>
      <c r="AO71" s="25"/>
      <c r="AP71" s="25"/>
    </row>
    <row r="72" spans="1:42">
      <c r="A72" s="119">
        <v>71</v>
      </c>
      <c r="B72" s="18">
        <v>15</v>
      </c>
      <c r="C72" s="18" t="s">
        <v>141</v>
      </c>
      <c r="D72" s="18">
        <v>8</v>
      </c>
      <c r="E72" s="18">
        <v>0</v>
      </c>
      <c r="F72" s="18" t="s">
        <v>157</v>
      </c>
      <c r="G72" s="18">
        <v>682167</v>
      </c>
      <c r="H72" s="18">
        <v>9356708</v>
      </c>
      <c r="I72" s="34">
        <v>41963</v>
      </c>
      <c r="J72" s="35">
        <v>0.5625</v>
      </c>
      <c r="K72" s="36">
        <v>41970</v>
      </c>
      <c r="L72" s="35">
        <v>0.3888888888888889</v>
      </c>
      <c r="M72" s="37">
        <v>9830</v>
      </c>
      <c r="N72" s="38">
        <f t="shared" si="2"/>
        <v>163.83333333333334</v>
      </c>
      <c r="O72" s="37">
        <v>4</v>
      </c>
      <c r="P72" s="18" t="s">
        <v>291</v>
      </c>
      <c r="Q72" s="26">
        <v>41969</v>
      </c>
      <c r="R72" s="27">
        <v>0.29375000000000001</v>
      </c>
      <c r="S72" s="18">
        <v>3</v>
      </c>
      <c r="T72" s="18">
        <v>1</v>
      </c>
      <c r="U72" s="18">
        <v>1</v>
      </c>
      <c r="V72" s="22">
        <v>0</v>
      </c>
      <c r="W72" s="20">
        <v>0</v>
      </c>
      <c r="X72" s="24">
        <v>0</v>
      </c>
      <c r="Y72" s="18">
        <v>0</v>
      </c>
      <c r="Z72" s="18">
        <v>0</v>
      </c>
      <c r="AA72" s="18">
        <v>1</v>
      </c>
      <c r="AG72" s="25"/>
      <c r="AH72" s="25"/>
      <c r="AI72" s="25"/>
      <c r="AJ72" s="25"/>
      <c r="AK72" s="25"/>
      <c r="AL72" s="25"/>
      <c r="AM72" s="25"/>
      <c r="AN72" s="25"/>
      <c r="AO72" s="25"/>
      <c r="AP72" s="25"/>
    </row>
    <row r="73" spans="1:42">
      <c r="A73" s="121">
        <v>72</v>
      </c>
      <c r="B73" s="18">
        <v>16</v>
      </c>
      <c r="C73" s="18" t="s">
        <v>145</v>
      </c>
      <c r="D73" s="18">
        <v>6</v>
      </c>
      <c r="E73" s="18">
        <v>0</v>
      </c>
      <c r="F73" s="18">
        <v>2870</v>
      </c>
      <c r="G73" s="18">
        <v>681019</v>
      </c>
      <c r="H73" s="18">
        <v>9360212</v>
      </c>
      <c r="I73" s="34">
        <v>41965</v>
      </c>
      <c r="J73" s="35">
        <v>0.3125</v>
      </c>
      <c r="K73" s="36">
        <v>41972</v>
      </c>
      <c r="L73" s="35">
        <v>0.3430555555555555</v>
      </c>
      <c r="M73" s="37">
        <v>10124</v>
      </c>
      <c r="N73" s="38">
        <f t="shared" si="2"/>
        <v>168.73333333333332</v>
      </c>
      <c r="O73" s="37">
        <v>0</v>
      </c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</row>
    <row r="74" spans="1:42">
      <c r="A74" s="121">
        <v>73</v>
      </c>
      <c r="B74" s="18">
        <v>17</v>
      </c>
      <c r="C74" s="18" t="s">
        <v>146</v>
      </c>
      <c r="D74" s="18">
        <v>7</v>
      </c>
      <c r="E74" s="18">
        <v>0</v>
      </c>
      <c r="F74" s="18">
        <v>2478</v>
      </c>
      <c r="G74" s="18">
        <v>680943</v>
      </c>
      <c r="H74" s="18">
        <v>9359716</v>
      </c>
      <c r="I74" s="34">
        <v>41965</v>
      </c>
      <c r="J74" s="35">
        <v>0.3347222222222222</v>
      </c>
      <c r="K74" s="36">
        <v>41972</v>
      </c>
      <c r="L74" s="35">
        <v>0.35555555555555557</v>
      </c>
      <c r="M74" s="37">
        <v>10110</v>
      </c>
      <c r="N74" s="38">
        <f t="shared" si="2"/>
        <v>168.5</v>
      </c>
      <c r="O74" s="37">
        <v>0</v>
      </c>
    </row>
    <row r="75" spans="1:42">
      <c r="A75" s="121">
        <v>74</v>
      </c>
      <c r="B75" s="18">
        <v>18</v>
      </c>
      <c r="C75" s="18" t="s">
        <v>147</v>
      </c>
      <c r="D75" s="18">
        <v>7</v>
      </c>
      <c r="E75" s="18">
        <v>0</v>
      </c>
      <c r="F75" s="18">
        <v>2090</v>
      </c>
      <c r="G75" s="18">
        <v>681206</v>
      </c>
      <c r="H75" s="18">
        <v>9359309</v>
      </c>
      <c r="I75" s="34">
        <v>41965</v>
      </c>
      <c r="J75" s="35">
        <v>0.35416666666666669</v>
      </c>
      <c r="K75" s="36">
        <v>41972</v>
      </c>
      <c r="L75" s="35">
        <v>0.36805555555555558</v>
      </c>
      <c r="M75" s="37">
        <v>10100</v>
      </c>
      <c r="N75" s="38">
        <f t="shared" si="2"/>
        <v>168.33333333333334</v>
      </c>
      <c r="O75" s="37">
        <v>9</v>
      </c>
      <c r="P75" s="18" t="s">
        <v>292</v>
      </c>
      <c r="Q75" s="26">
        <v>41965</v>
      </c>
      <c r="R75" s="27">
        <v>0.40347222222222223</v>
      </c>
      <c r="S75" s="18">
        <v>1</v>
      </c>
      <c r="T75" s="18">
        <v>1</v>
      </c>
      <c r="U75" s="18">
        <v>1</v>
      </c>
      <c r="V75" s="22">
        <v>0</v>
      </c>
      <c r="W75" s="20">
        <v>1</v>
      </c>
      <c r="X75" s="24">
        <v>0</v>
      </c>
      <c r="Y75" s="18">
        <v>0</v>
      </c>
      <c r="Z75" s="18">
        <v>0</v>
      </c>
      <c r="AA75" s="18">
        <v>0</v>
      </c>
      <c r="AB75" s="18">
        <v>5</v>
      </c>
      <c r="AC75" s="18">
        <v>9.6</v>
      </c>
      <c r="AD75" s="18">
        <v>3.8</v>
      </c>
      <c r="AE75" s="38">
        <v>0.42</v>
      </c>
    </row>
    <row r="76" spans="1:42">
      <c r="A76" s="119">
        <v>75</v>
      </c>
      <c r="B76" s="18">
        <v>18</v>
      </c>
      <c r="C76" s="18" t="s">
        <v>147</v>
      </c>
      <c r="D76" s="18">
        <v>7</v>
      </c>
      <c r="E76" s="18">
        <v>0</v>
      </c>
      <c r="F76" s="18">
        <v>2090</v>
      </c>
      <c r="G76" s="18">
        <v>681206</v>
      </c>
      <c r="H76" s="18">
        <v>9359309</v>
      </c>
      <c r="I76" s="34">
        <v>41965</v>
      </c>
      <c r="J76" s="35">
        <v>0.35416666666666669</v>
      </c>
      <c r="K76" s="36">
        <v>41972</v>
      </c>
      <c r="L76" s="35">
        <v>0.36805555555555558</v>
      </c>
      <c r="M76" s="37">
        <v>10100</v>
      </c>
      <c r="N76" s="38">
        <f t="shared" si="2"/>
        <v>168.33333333333334</v>
      </c>
      <c r="O76" s="37">
        <v>9</v>
      </c>
      <c r="P76" s="18" t="s">
        <v>293</v>
      </c>
      <c r="Q76" s="26">
        <v>41966</v>
      </c>
      <c r="R76" s="27">
        <v>0.46666666666666662</v>
      </c>
      <c r="S76" s="18">
        <v>3</v>
      </c>
      <c r="T76" s="18">
        <v>1</v>
      </c>
      <c r="U76" s="18">
        <v>0</v>
      </c>
      <c r="V76" s="22">
        <v>0</v>
      </c>
      <c r="W76" s="20">
        <v>0</v>
      </c>
      <c r="X76" s="24">
        <v>1</v>
      </c>
      <c r="Y76" s="18">
        <v>0</v>
      </c>
      <c r="Z76" s="18">
        <v>0</v>
      </c>
      <c r="AA76" s="18">
        <v>0</v>
      </c>
      <c r="AB76" s="18">
        <v>30</v>
      </c>
      <c r="AC76" s="18">
        <v>3.6</v>
      </c>
      <c r="AD76" s="18">
        <v>4.7</v>
      </c>
      <c r="AE76" s="38">
        <v>0.2</v>
      </c>
      <c r="AG76" s="25"/>
      <c r="AH76" s="25"/>
      <c r="AI76" s="25"/>
      <c r="AJ76" s="25"/>
      <c r="AK76" s="25"/>
      <c r="AL76" s="25"/>
      <c r="AM76" s="25"/>
      <c r="AN76" s="25"/>
      <c r="AO76" s="25"/>
      <c r="AP76" s="25"/>
    </row>
    <row r="77" spans="1:42">
      <c r="A77" s="119">
        <v>76</v>
      </c>
      <c r="B77" s="25">
        <v>18</v>
      </c>
      <c r="C77" s="25" t="s">
        <v>147</v>
      </c>
      <c r="D77" s="25">
        <v>7</v>
      </c>
      <c r="E77" s="18">
        <v>0</v>
      </c>
      <c r="F77" s="25">
        <v>2090</v>
      </c>
      <c r="G77" s="25">
        <v>681206</v>
      </c>
      <c r="H77" s="25">
        <v>9359309</v>
      </c>
      <c r="I77" s="42">
        <v>41965</v>
      </c>
      <c r="J77" s="43">
        <v>0.35416666666666669</v>
      </c>
      <c r="K77" s="44">
        <v>41972</v>
      </c>
      <c r="L77" s="43">
        <v>0.36805555555555558</v>
      </c>
      <c r="M77" s="28">
        <v>10100</v>
      </c>
      <c r="N77" s="45">
        <f t="shared" si="2"/>
        <v>168.33333333333334</v>
      </c>
      <c r="O77" s="28">
        <v>9</v>
      </c>
      <c r="P77" s="25" t="s">
        <v>283</v>
      </c>
      <c r="Q77" s="46">
        <v>41967</v>
      </c>
      <c r="R77" s="47">
        <v>0.25972222222222224</v>
      </c>
      <c r="S77" s="25">
        <v>3</v>
      </c>
      <c r="T77" s="25">
        <v>1</v>
      </c>
      <c r="U77" s="25">
        <v>1</v>
      </c>
      <c r="V77" s="22">
        <v>0</v>
      </c>
      <c r="W77" s="20">
        <v>0</v>
      </c>
      <c r="X77" s="24">
        <v>0</v>
      </c>
      <c r="Y77" s="25">
        <v>0</v>
      </c>
      <c r="Z77" s="25">
        <v>0</v>
      </c>
      <c r="AA77" s="25">
        <v>1</v>
      </c>
      <c r="AB77" s="25">
        <v>20</v>
      </c>
      <c r="AC77" s="25">
        <v>2</v>
      </c>
      <c r="AD77" s="25">
        <v>0.3</v>
      </c>
      <c r="AE77" s="45">
        <v>0.15</v>
      </c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</row>
    <row r="78" spans="1:42">
      <c r="A78" s="121">
        <v>77</v>
      </c>
      <c r="B78" s="18">
        <v>18</v>
      </c>
      <c r="C78" s="18" t="s">
        <v>147</v>
      </c>
      <c r="D78" s="18">
        <v>7</v>
      </c>
      <c r="E78" s="18">
        <v>0</v>
      </c>
      <c r="F78" s="18">
        <v>2090</v>
      </c>
      <c r="G78" s="18">
        <v>681206</v>
      </c>
      <c r="H78" s="18">
        <v>9359309</v>
      </c>
      <c r="I78" s="34">
        <v>41965</v>
      </c>
      <c r="J78" s="35">
        <v>0.35416666666666669</v>
      </c>
      <c r="K78" s="36">
        <v>41972</v>
      </c>
      <c r="L78" s="35">
        <v>0.36805555555555558</v>
      </c>
      <c r="M78" s="37">
        <v>10100</v>
      </c>
      <c r="N78" s="38">
        <f t="shared" si="2"/>
        <v>168.33333333333334</v>
      </c>
      <c r="O78" s="37">
        <v>9</v>
      </c>
      <c r="P78" s="18" t="s">
        <v>284</v>
      </c>
      <c r="Q78" s="26">
        <v>41967</v>
      </c>
      <c r="R78" s="27">
        <v>0.9604166666666667</v>
      </c>
      <c r="S78" s="18">
        <v>4</v>
      </c>
      <c r="T78" s="18">
        <v>1</v>
      </c>
      <c r="U78" s="18">
        <v>1</v>
      </c>
      <c r="V78" s="22">
        <v>0</v>
      </c>
      <c r="W78" s="20">
        <v>0</v>
      </c>
      <c r="X78" s="24">
        <v>0</v>
      </c>
      <c r="Y78" s="18">
        <v>0</v>
      </c>
      <c r="Z78" s="18">
        <v>0</v>
      </c>
      <c r="AA78" s="18">
        <v>1</v>
      </c>
      <c r="AB78" s="18">
        <v>5</v>
      </c>
      <c r="AC78" s="18">
        <v>3.8</v>
      </c>
      <c r="AD78" s="18">
        <v>1.8</v>
      </c>
      <c r="AE78" s="38">
        <v>0.3</v>
      </c>
    </row>
    <row r="79" spans="1:42">
      <c r="A79" s="121">
        <v>78</v>
      </c>
      <c r="B79" s="18">
        <v>18</v>
      </c>
      <c r="C79" s="18" t="s">
        <v>147</v>
      </c>
      <c r="D79" s="18">
        <v>7</v>
      </c>
      <c r="E79" s="18">
        <v>0</v>
      </c>
      <c r="F79" s="18">
        <v>2090</v>
      </c>
      <c r="G79" s="18">
        <v>681206</v>
      </c>
      <c r="H79" s="18">
        <v>9359309</v>
      </c>
      <c r="I79" s="34">
        <v>41965</v>
      </c>
      <c r="J79" s="35">
        <v>0.35416666666666669</v>
      </c>
      <c r="K79" s="36">
        <v>41972</v>
      </c>
      <c r="L79" s="35">
        <v>0.36805555555555558</v>
      </c>
      <c r="M79" s="37">
        <v>10100</v>
      </c>
      <c r="N79" s="38">
        <f t="shared" si="2"/>
        <v>168.33333333333334</v>
      </c>
      <c r="O79" s="37">
        <v>9</v>
      </c>
      <c r="P79" s="18" t="s">
        <v>294</v>
      </c>
      <c r="Q79" s="26">
        <v>41968</v>
      </c>
      <c r="R79" s="27">
        <v>0.87916666666666676</v>
      </c>
      <c r="S79" s="18">
        <v>1</v>
      </c>
      <c r="T79" s="18">
        <v>1</v>
      </c>
      <c r="U79" s="18">
        <v>1</v>
      </c>
      <c r="V79" s="22">
        <v>1</v>
      </c>
      <c r="W79" s="20">
        <v>0</v>
      </c>
      <c r="X79" s="24">
        <v>0</v>
      </c>
      <c r="Y79" s="18">
        <v>0</v>
      </c>
      <c r="Z79" s="18">
        <v>0</v>
      </c>
      <c r="AA79" s="18">
        <v>0</v>
      </c>
      <c r="AB79" s="18">
        <v>30</v>
      </c>
      <c r="AC79" s="18">
        <v>5.7</v>
      </c>
      <c r="AD79" s="18">
        <v>1.8</v>
      </c>
      <c r="AE79" s="38">
        <v>0.36</v>
      </c>
      <c r="AF79" s="18" t="s">
        <v>151</v>
      </c>
    </row>
    <row r="80" spans="1:42">
      <c r="A80" s="119">
        <v>79</v>
      </c>
      <c r="B80" s="18">
        <v>18</v>
      </c>
      <c r="C80" s="18" t="s">
        <v>147</v>
      </c>
      <c r="D80" s="18">
        <v>7</v>
      </c>
      <c r="E80" s="18">
        <v>0</v>
      </c>
      <c r="F80" s="18">
        <v>2090</v>
      </c>
      <c r="G80" s="18">
        <v>681206</v>
      </c>
      <c r="H80" s="18">
        <v>9359309</v>
      </c>
      <c r="I80" s="34">
        <v>41965</v>
      </c>
      <c r="J80" s="35">
        <v>0.35416666666666669</v>
      </c>
      <c r="K80" s="36">
        <v>41972</v>
      </c>
      <c r="L80" s="35">
        <v>0.36805555555555558</v>
      </c>
      <c r="M80" s="37">
        <v>10100</v>
      </c>
      <c r="N80" s="38">
        <f t="shared" si="2"/>
        <v>168.33333333333334</v>
      </c>
      <c r="O80" s="37">
        <v>9</v>
      </c>
      <c r="P80" s="18" t="s">
        <v>289</v>
      </c>
      <c r="Q80" s="26">
        <v>41969</v>
      </c>
      <c r="R80" s="27">
        <v>0.49791666666666662</v>
      </c>
      <c r="S80" s="18">
        <v>3</v>
      </c>
      <c r="T80" s="18">
        <v>1</v>
      </c>
      <c r="U80" s="18">
        <v>1</v>
      </c>
      <c r="V80" s="22">
        <v>0</v>
      </c>
      <c r="W80" s="20">
        <v>0</v>
      </c>
      <c r="X80" s="24">
        <v>0</v>
      </c>
      <c r="Y80" s="18">
        <v>0</v>
      </c>
      <c r="Z80" s="18">
        <v>0</v>
      </c>
      <c r="AA80" s="18">
        <v>1</v>
      </c>
      <c r="AG80" s="25"/>
      <c r="AH80" s="25"/>
      <c r="AI80" s="25"/>
      <c r="AJ80" s="25"/>
      <c r="AK80" s="25"/>
      <c r="AL80" s="25"/>
      <c r="AM80" s="25"/>
      <c r="AN80" s="25"/>
      <c r="AO80" s="25"/>
      <c r="AP80" s="25"/>
    </row>
    <row r="81" spans="1:42">
      <c r="A81" s="121">
        <v>80</v>
      </c>
      <c r="B81" s="18">
        <v>18</v>
      </c>
      <c r="C81" s="18" t="s">
        <v>147</v>
      </c>
      <c r="D81" s="18">
        <v>7</v>
      </c>
      <c r="E81" s="18">
        <v>0</v>
      </c>
      <c r="F81" s="18">
        <v>2090</v>
      </c>
      <c r="G81" s="18">
        <v>681206</v>
      </c>
      <c r="H81" s="18">
        <v>9359309</v>
      </c>
      <c r="I81" s="34">
        <v>41965</v>
      </c>
      <c r="J81" s="35">
        <v>0.35416666666666669</v>
      </c>
      <c r="K81" s="36">
        <v>41972</v>
      </c>
      <c r="L81" s="35">
        <v>0.36805555555555558</v>
      </c>
      <c r="M81" s="37">
        <v>10100</v>
      </c>
      <c r="N81" s="38">
        <f t="shared" si="2"/>
        <v>168.33333333333334</v>
      </c>
      <c r="O81" s="37">
        <v>9</v>
      </c>
      <c r="P81" s="18" t="s">
        <v>295</v>
      </c>
      <c r="Q81" s="26">
        <v>41970</v>
      </c>
      <c r="R81" s="27">
        <v>0.74513888888888891</v>
      </c>
      <c r="S81" s="18">
        <v>1</v>
      </c>
      <c r="T81" s="18">
        <v>1</v>
      </c>
      <c r="U81" s="18">
        <v>1</v>
      </c>
      <c r="V81" s="22">
        <v>0</v>
      </c>
      <c r="W81" s="20">
        <v>0</v>
      </c>
      <c r="X81" s="24">
        <v>0</v>
      </c>
      <c r="Y81" s="18">
        <v>0</v>
      </c>
      <c r="Z81" s="18">
        <v>0</v>
      </c>
      <c r="AA81" s="18">
        <v>1</v>
      </c>
      <c r="AB81" s="18">
        <v>15</v>
      </c>
      <c r="AC81" s="18">
        <v>3.4</v>
      </c>
      <c r="AD81" s="18">
        <v>0.3</v>
      </c>
      <c r="AE81" s="38">
        <v>0.03</v>
      </c>
    </row>
    <row r="82" spans="1:42">
      <c r="A82" s="119">
        <v>81</v>
      </c>
      <c r="B82" s="18">
        <v>18</v>
      </c>
      <c r="C82" s="18" t="s">
        <v>147</v>
      </c>
      <c r="D82" s="18">
        <v>7</v>
      </c>
      <c r="E82" s="18">
        <v>0</v>
      </c>
      <c r="F82" s="18">
        <v>2090</v>
      </c>
      <c r="G82" s="18">
        <v>681206</v>
      </c>
      <c r="H82" s="18">
        <v>9359309</v>
      </c>
      <c r="I82" s="34">
        <v>41965</v>
      </c>
      <c r="J82" s="35">
        <v>0.35416666666666669</v>
      </c>
      <c r="K82" s="36">
        <v>41972</v>
      </c>
      <c r="L82" s="35">
        <v>0.36805555555555558</v>
      </c>
      <c r="M82" s="37">
        <v>10100</v>
      </c>
      <c r="N82" s="38">
        <f t="shared" si="2"/>
        <v>168.33333333333334</v>
      </c>
      <c r="O82" s="37">
        <v>9</v>
      </c>
      <c r="P82" s="18" t="s">
        <v>290</v>
      </c>
      <c r="Q82" s="26">
        <v>41971</v>
      </c>
      <c r="R82" s="27">
        <v>0.2298611111111111</v>
      </c>
      <c r="S82" s="18">
        <v>3</v>
      </c>
      <c r="T82" s="18">
        <v>1</v>
      </c>
      <c r="U82" s="18">
        <v>1</v>
      </c>
      <c r="V82" s="22">
        <v>0</v>
      </c>
      <c r="W82" s="20">
        <v>0</v>
      </c>
      <c r="X82" s="24">
        <v>0</v>
      </c>
      <c r="Y82" s="18">
        <v>0</v>
      </c>
      <c r="Z82" s="18">
        <v>0</v>
      </c>
      <c r="AA82" s="18">
        <v>1</v>
      </c>
      <c r="AG82" s="25"/>
      <c r="AH82" s="25"/>
      <c r="AI82" s="25"/>
      <c r="AJ82" s="25"/>
      <c r="AK82" s="25"/>
      <c r="AL82" s="25"/>
      <c r="AM82" s="25"/>
      <c r="AN82" s="25"/>
      <c r="AO82" s="25"/>
      <c r="AP82" s="25"/>
    </row>
    <row r="83" spans="1:42">
      <c r="A83" s="119">
        <v>82</v>
      </c>
      <c r="B83" s="18">
        <v>18</v>
      </c>
      <c r="C83" s="18" t="s">
        <v>147</v>
      </c>
      <c r="D83" s="18">
        <v>7</v>
      </c>
      <c r="E83" s="18">
        <v>0</v>
      </c>
      <c r="F83" s="18">
        <v>2090</v>
      </c>
      <c r="G83" s="18">
        <v>681206</v>
      </c>
      <c r="H83" s="18">
        <v>9359309</v>
      </c>
      <c r="I83" s="34">
        <v>41965</v>
      </c>
      <c r="J83" s="35">
        <v>0.35416666666666669</v>
      </c>
      <c r="K83" s="36">
        <v>41972</v>
      </c>
      <c r="L83" s="35">
        <v>0.36805555555555558</v>
      </c>
      <c r="M83" s="37">
        <v>10100</v>
      </c>
      <c r="N83" s="38">
        <f t="shared" si="2"/>
        <v>168.33333333333334</v>
      </c>
      <c r="O83" s="37">
        <v>9</v>
      </c>
      <c r="P83" s="18" t="s">
        <v>291</v>
      </c>
      <c r="Q83" s="26">
        <v>41972</v>
      </c>
      <c r="R83" s="27">
        <v>0.32291666666666669</v>
      </c>
      <c r="S83" s="18">
        <v>3</v>
      </c>
      <c r="T83" s="18">
        <v>1</v>
      </c>
      <c r="U83" s="18">
        <v>1</v>
      </c>
      <c r="V83" s="22">
        <v>0</v>
      </c>
      <c r="W83" s="20">
        <v>0</v>
      </c>
      <c r="X83" s="24">
        <v>0</v>
      </c>
      <c r="Y83" s="18">
        <v>0</v>
      </c>
      <c r="Z83" s="18">
        <v>0</v>
      </c>
      <c r="AA83" s="18">
        <v>1</v>
      </c>
      <c r="AG83" s="25"/>
      <c r="AH83" s="25"/>
      <c r="AI83" s="25"/>
      <c r="AJ83" s="25"/>
      <c r="AK83" s="25"/>
      <c r="AL83" s="25"/>
      <c r="AM83" s="25"/>
      <c r="AN83" s="25"/>
      <c r="AO83" s="25"/>
      <c r="AP83" s="25"/>
    </row>
    <row r="84" spans="1:42">
      <c r="A84" s="121">
        <v>83</v>
      </c>
      <c r="B84" s="18">
        <v>19</v>
      </c>
      <c r="C84" s="18" t="s">
        <v>153</v>
      </c>
      <c r="D84" s="18">
        <v>6</v>
      </c>
      <c r="E84" s="18">
        <v>0</v>
      </c>
      <c r="F84" s="18">
        <v>1598</v>
      </c>
      <c r="G84" s="18">
        <v>681277</v>
      </c>
      <c r="H84" s="18">
        <v>9358806</v>
      </c>
      <c r="I84" s="34">
        <v>41965</v>
      </c>
      <c r="J84" s="35">
        <v>0.38194444444444442</v>
      </c>
      <c r="K84" s="36">
        <v>41972</v>
      </c>
      <c r="L84" s="35">
        <v>0.39930555555555558</v>
      </c>
      <c r="M84" s="37">
        <v>10105</v>
      </c>
      <c r="N84" s="38">
        <f t="shared" si="2"/>
        <v>168.41666666666666</v>
      </c>
      <c r="O84" s="37">
        <v>2</v>
      </c>
      <c r="P84" s="18" t="s">
        <v>92</v>
      </c>
      <c r="Q84" s="26">
        <v>41966</v>
      </c>
      <c r="R84" s="27">
        <v>0.79236111111111107</v>
      </c>
      <c r="S84" s="18">
        <v>1</v>
      </c>
      <c r="T84" s="18">
        <v>1</v>
      </c>
      <c r="U84" s="18">
        <v>1</v>
      </c>
      <c r="V84" s="22">
        <v>0</v>
      </c>
      <c r="W84" s="20">
        <v>1</v>
      </c>
      <c r="X84" s="24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2.5</v>
      </c>
      <c r="AD84" s="18">
        <v>0.9</v>
      </c>
      <c r="AE84" s="38">
        <v>0.9</v>
      </c>
    </row>
    <row r="85" spans="1:42">
      <c r="A85" s="121">
        <v>84</v>
      </c>
      <c r="B85" s="18">
        <v>19</v>
      </c>
      <c r="C85" s="18" t="s">
        <v>153</v>
      </c>
      <c r="D85" s="18">
        <v>6</v>
      </c>
      <c r="E85" s="18">
        <v>0</v>
      </c>
      <c r="F85" s="18">
        <v>1598</v>
      </c>
      <c r="G85" s="18">
        <v>681277</v>
      </c>
      <c r="H85" s="18">
        <v>9358806</v>
      </c>
      <c r="I85" s="34">
        <v>41965</v>
      </c>
      <c r="J85" s="35">
        <v>0.38194444444444442</v>
      </c>
      <c r="K85" s="36">
        <v>41972</v>
      </c>
      <c r="L85" s="35">
        <v>0.39930555555555558</v>
      </c>
      <c r="M85" s="37">
        <v>10105</v>
      </c>
      <c r="N85" s="38">
        <f t="shared" si="2"/>
        <v>168.41666666666666</v>
      </c>
      <c r="O85" s="37">
        <v>2</v>
      </c>
      <c r="P85" s="18" t="s">
        <v>119</v>
      </c>
      <c r="Q85" s="26">
        <v>41968</v>
      </c>
      <c r="R85" s="27">
        <v>0.82708333333333339</v>
      </c>
      <c r="S85" s="18">
        <v>1</v>
      </c>
      <c r="T85" s="18">
        <v>1</v>
      </c>
      <c r="U85" s="18">
        <v>1</v>
      </c>
      <c r="V85" s="22">
        <v>0</v>
      </c>
      <c r="W85" s="20">
        <v>1</v>
      </c>
      <c r="X85" s="24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1.8</v>
      </c>
      <c r="AD85" s="18">
        <v>0</v>
      </c>
      <c r="AE85" s="38">
        <v>0</v>
      </c>
    </row>
    <row r="86" spans="1:42">
      <c r="A86" s="119">
        <v>85</v>
      </c>
      <c r="B86" s="25">
        <v>20</v>
      </c>
      <c r="C86" s="25" t="s">
        <v>155</v>
      </c>
      <c r="D86" s="25">
        <v>7</v>
      </c>
      <c r="E86" s="25">
        <v>0</v>
      </c>
      <c r="F86" s="25">
        <v>806</v>
      </c>
      <c r="G86" s="25">
        <v>681053</v>
      </c>
      <c r="H86" s="25">
        <v>9358070</v>
      </c>
      <c r="I86" s="42">
        <v>41965</v>
      </c>
      <c r="J86" s="43">
        <v>0.4236111111111111</v>
      </c>
      <c r="K86" s="44">
        <v>41972</v>
      </c>
      <c r="L86" s="43">
        <v>0.4458333333333333</v>
      </c>
      <c r="M86" s="28">
        <v>10112</v>
      </c>
      <c r="N86" s="45">
        <f t="shared" si="2"/>
        <v>168.53333333333333</v>
      </c>
      <c r="O86" s="28">
        <v>5</v>
      </c>
      <c r="P86" s="25" t="s">
        <v>296</v>
      </c>
      <c r="Q86" s="46">
        <v>41965</v>
      </c>
      <c r="R86" s="47">
        <v>0.6791666666666667</v>
      </c>
      <c r="S86" s="25">
        <v>3</v>
      </c>
      <c r="T86" s="25">
        <v>1</v>
      </c>
      <c r="U86" s="25">
        <v>1</v>
      </c>
      <c r="V86" s="22">
        <v>0</v>
      </c>
      <c r="W86" s="20">
        <v>1</v>
      </c>
      <c r="X86" s="24">
        <v>0</v>
      </c>
      <c r="Y86" s="25">
        <v>0</v>
      </c>
      <c r="Z86" s="25">
        <v>0</v>
      </c>
      <c r="AA86" s="25">
        <v>0</v>
      </c>
      <c r="AB86" s="25">
        <v>10</v>
      </c>
      <c r="AC86" s="25">
        <v>2.9</v>
      </c>
      <c r="AD86" s="25">
        <v>1.8</v>
      </c>
      <c r="AE86" s="45">
        <v>0.6</v>
      </c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</row>
    <row r="87" spans="1:42">
      <c r="A87" s="119">
        <v>86</v>
      </c>
      <c r="B87" s="18">
        <v>20</v>
      </c>
      <c r="C87" s="18" t="s">
        <v>155</v>
      </c>
      <c r="D87" s="18">
        <v>7</v>
      </c>
      <c r="E87" s="18">
        <v>0</v>
      </c>
      <c r="F87" s="18">
        <v>806</v>
      </c>
      <c r="G87" s="18">
        <v>681053</v>
      </c>
      <c r="H87" s="18">
        <v>9358070</v>
      </c>
      <c r="I87" s="34">
        <v>41965</v>
      </c>
      <c r="J87" s="35">
        <v>0.4236111111111111</v>
      </c>
      <c r="K87" s="36">
        <v>41972</v>
      </c>
      <c r="L87" s="35">
        <v>0.4458333333333333</v>
      </c>
      <c r="M87" s="37">
        <v>10112</v>
      </c>
      <c r="N87" s="38">
        <f t="shared" si="2"/>
        <v>168.53333333333333</v>
      </c>
      <c r="O87" s="37">
        <v>5</v>
      </c>
      <c r="P87" s="18" t="s">
        <v>292</v>
      </c>
      <c r="Q87" s="26">
        <v>41966</v>
      </c>
      <c r="R87" s="27">
        <v>0.68680555555555556</v>
      </c>
      <c r="S87" s="18">
        <v>3</v>
      </c>
      <c r="T87" s="18">
        <v>1</v>
      </c>
      <c r="U87" s="18">
        <v>1</v>
      </c>
      <c r="V87" s="22">
        <v>0</v>
      </c>
      <c r="W87" s="20">
        <v>1</v>
      </c>
      <c r="X87" s="24">
        <v>0</v>
      </c>
      <c r="Y87" s="18">
        <v>0</v>
      </c>
      <c r="Z87" s="18">
        <v>0</v>
      </c>
      <c r="AA87" s="18">
        <v>0</v>
      </c>
      <c r="AB87" s="18">
        <v>15</v>
      </c>
      <c r="AC87" s="18">
        <v>3.4</v>
      </c>
      <c r="AD87" s="18">
        <v>0.3</v>
      </c>
      <c r="AE87" s="38">
        <v>0.02</v>
      </c>
      <c r="AG87" s="25"/>
      <c r="AH87" s="25"/>
      <c r="AI87" s="25"/>
      <c r="AJ87" s="25"/>
      <c r="AK87" s="25"/>
      <c r="AL87" s="25"/>
      <c r="AM87" s="25"/>
      <c r="AN87" s="25"/>
      <c r="AO87" s="25"/>
      <c r="AP87" s="25"/>
    </row>
    <row r="88" spans="1:42">
      <c r="A88" s="119">
        <v>87</v>
      </c>
      <c r="B88" s="18">
        <v>20</v>
      </c>
      <c r="C88" s="18" t="s">
        <v>155</v>
      </c>
      <c r="D88" s="18">
        <v>7</v>
      </c>
      <c r="E88" s="18">
        <v>0</v>
      </c>
      <c r="F88" s="18">
        <v>806</v>
      </c>
      <c r="G88" s="18">
        <v>681053</v>
      </c>
      <c r="H88" s="18">
        <v>9358070</v>
      </c>
      <c r="I88" s="34">
        <v>41965</v>
      </c>
      <c r="J88" s="35">
        <v>0.4236111111111111</v>
      </c>
      <c r="K88" s="36">
        <v>41972</v>
      </c>
      <c r="L88" s="35">
        <v>0.4458333333333333</v>
      </c>
      <c r="M88" s="37">
        <v>10112</v>
      </c>
      <c r="N88" s="38">
        <f t="shared" si="2"/>
        <v>168.53333333333333</v>
      </c>
      <c r="O88" s="37">
        <v>5</v>
      </c>
      <c r="P88" s="18" t="s">
        <v>293</v>
      </c>
      <c r="Q88" s="26">
        <v>41968</v>
      </c>
      <c r="R88" s="27">
        <v>0.31666666666666665</v>
      </c>
      <c r="S88" s="18">
        <v>3</v>
      </c>
      <c r="T88" s="18">
        <v>1</v>
      </c>
      <c r="U88" s="18">
        <v>1</v>
      </c>
      <c r="V88" s="22">
        <v>0</v>
      </c>
      <c r="W88" s="20">
        <v>1</v>
      </c>
      <c r="X88" s="24">
        <v>0</v>
      </c>
      <c r="Y88" s="18">
        <v>0</v>
      </c>
      <c r="Z88" s="18">
        <v>0</v>
      </c>
      <c r="AA88" s="18">
        <v>0</v>
      </c>
      <c r="AG88" s="25"/>
      <c r="AH88" s="25"/>
      <c r="AI88" s="25"/>
      <c r="AJ88" s="25"/>
      <c r="AK88" s="25"/>
      <c r="AL88" s="25"/>
      <c r="AM88" s="25"/>
      <c r="AN88" s="25"/>
      <c r="AO88" s="25"/>
      <c r="AP88" s="25"/>
    </row>
    <row r="89" spans="1:42">
      <c r="A89" s="119">
        <v>88</v>
      </c>
      <c r="B89" s="18">
        <v>20</v>
      </c>
      <c r="C89" s="18" t="s">
        <v>155</v>
      </c>
      <c r="D89" s="18">
        <v>7</v>
      </c>
      <c r="E89" s="18">
        <v>0</v>
      </c>
      <c r="F89" s="18">
        <v>806</v>
      </c>
      <c r="G89" s="18">
        <v>681053</v>
      </c>
      <c r="H89" s="18">
        <v>9358070</v>
      </c>
      <c r="I89" s="34">
        <v>41965</v>
      </c>
      <c r="J89" s="35">
        <v>0.4236111111111111</v>
      </c>
      <c r="K89" s="36">
        <v>41972</v>
      </c>
      <c r="L89" s="35">
        <v>0.4458333333333333</v>
      </c>
      <c r="M89" s="37">
        <v>10112</v>
      </c>
      <c r="N89" s="38">
        <f t="shared" si="2"/>
        <v>168.53333333333333</v>
      </c>
      <c r="O89" s="37">
        <v>5</v>
      </c>
      <c r="P89" s="18" t="s">
        <v>283</v>
      </c>
      <c r="Q89" s="26">
        <v>41969</v>
      </c>
      <c r="R89" s="27">
        <v>0.54999999999999993</v>
      </c>
      <c r="S89" s="18">
        <v>3</v>
      </c>
      <c r="T89" s="18">
        <v>1</v>
      </c>
      <c r="U89" s="18">
        <v>1</v>
      </c>
      <c r="V89" s="22">
        <v>0</v>
      </c>
      <c r="W89" s="20">
        <v>0</v>
      </c>
      <c r="X89" s="24">
        <v>0</v>
      </c>
      <c r="Y89" s="18">
        <v>0</v>
      </c>
      <c r="Z89" s="18">
        <v>0</v>
      </c>
      <c r="AA89" s="18">
        <v>1</v>
      </c>
      <c r="AB89" s="18">
        <v>25</v>
      </c>
      <c r="AC89" s="18">
        <v>6.2</v>
      </c>
      <c r="AD89" s="18">
        <v>2</v>
      </c>
      <c r="AE89" s="38">
        <v>0.4</v>
      </c>
      <c r="AG89" s="25"/>
      <c r="AH89" s="25"/>
      <c r="AI89" s="25"/>
      <c r="AJ89" s="25"/>
      <c r="AK89" s="25"/>
      <c r="AL89" s="25"/>
      <c r="AM89" s="25"/>
      <c r="AN89" s="25"/>
      <c r="AO89" s="25"/>
      <c r="AP89" s="25"/>
    </row>
    <row r="90" spans="1:42">
      <c r="A90" s="119">
        <v>89</v>
      </c>
      <c r="B90" s="18">
        <v>20</v>
      </c>
      <c r="C90" s="18" t="s">
        <v>155</v>
      </c>
      <c r="D90" s="18">
        <v>7</v>
      </c>
      <c r="E90" s="18">
        <v>0</v>
      </c>
      <c r="F90" s="18">
        <v>806</v>
      </c>
      <c r="G90" s="18">
        <v>681053</v>
      </c>
      <c r="H90" s="18">
        <v>9358070</v>
      </c>
      <c r="I90" s="34">
        <v>41965</v>
      </c>
      <c r="J90" s="35">
        <v>0.4236111111111111</v>
      </c>
      <c r="K90" s="36">
        <v>41972</v>
      </c>
      <c r="L90" s="35">
        <v>0.4458333333333333</v>
      </c>
      <c r="M90" s="37">
        <v>10112</v>
      </c>
      <c r="N90" s="38">
        <f t="shared" si="2"/>
        <v>168.53333333333333</v>
      </c>
      <c r="O90" s="37">
        <v>5</v>
      </c>
      <c r="P90" s="18" t="s">
        <v>294</v>
      </c>
      <c r="Q90" s="26">
        <v>41970</v>
      </c>
      <c r="R90" s="27">
        <v>0.5</v>
      </c>
      <c r="S90" s="18">
        <v>3</v>
      </c>
      <c r="T90" s="18">
        <v>4</v>
      </c>
      <c r="U90" s="18">
        <v>1</v>
      </c>
      <c r="V90" s="22">
        <v>0</v>
      </c>
      <c r="W90" s="20">
        <v>1</v>
      </c>
      <c r="X90" s="24">
        <v>0</v>
      </c>
      <c r="Y90" s="18">
        <v>0</v>
      </c>
      <c r="Z90" s="18">
        <v>3</v>
      </c>
      <c r="AA90" s="18">
        <v>0</v>
      </c>
      <c r="AG90" s="25"/>
      <c r="AH90" s="25"/>
      <c r="AI90" s="25"/>
      <c r="AJ90" s="25"/>
      <c r="AK90" s="25"/>
      <c r="AL90" s="25"/>
      <c r="AM90" s="25"/>
      <c r="AN90" s="25"/>
      <c r="AO90" s="25"/>
      <c r="AP90" s="25"/>
    </row>
    <row r="91" spans="1:42">
      <c r="A91" s="121">
        <v>90</v>
      </c>
      <c r="B91" s="18">
        <v>1</v>
      </c>
      <c r="C91" s="18" t="s">
        <v>175</v>
      </c>
      <c r="D91" s="18">
        <v>7</v>
      </c>
      <c r="E91" s="18">
        <v>0</v>
      </c>
      <c r="F91" s="18">
        <v>462</v>
      </c>
      <c r="G91" s="18">
        <v>680093</v>
      </c>
      <c r="H91" s="18">
        <v>9357633</v>
      </c>
      <c r="I91" s="34">
        <v>41975</v>
      </c>
      <c r="J91" s="35">
        <v>0.66388888888888886</v>
      </c>
      <c r="K91" s="36">
        <v>41982</v>
      </c>
      <c r="L91" s="35">
        <v>0.52916666666666667</v>
      </c>
      <c r="M91" s="37">
        <v>9886</v>
      </c>
      <c r="N91" s="38">
        <f t="shared" si="2"/>
        <v>164.76666666666668</v>
      </c>
      <c r="O91" s="37">
        <v>0</v>
      </c>
    </row>
    <row r="92" spans="1:42">
      <c r="A92" s="119">
        <v>91</v>
      </c>
      <c r="B92" s="18">
        <v>2</v>
      </c>
      <c r="C92" s="18" t="s">
        <v>176</v>
      </c>
      <c r="D92" s="18">
        <v>7</v>
      </c>
      <c r="E92" s="18">
        <v>0</v>
      </c>
      <c r="F92" s="18">
        <v>395</v>
      </c>
      <c r="G92" s="18">
        <v>680422</v>
      </c>
      <c r="H92" s="18">
        <v>9357532</v>
      </c>
      <c r="I92" s="34">
        <v>41975</v>
      </c>
      <c r="J92" s="35">
        <v>0.52222222222222225</v>
      </c>
      <c r="K92" s="36">
        <v>41982</v>
      </c>
      <c r="L92" s="35">
        <v>0.54166666666666663</v>
      </c>
      <c r="M92" s="37">
        <v>10108</v>
      </c>
      <c r="N92" s="38">
        <f t="shared" si="2"/>
        <v>168.46666666666667</v>
      </c>
      <c r="O92" s="37">
        <v>6</v>
      </c>
      <c r="P92" s="18" t="s">
        <v>107</v>
      </c>
      <c r="Q92" s="26">
        <v>41978</v>
      </c>
      <c r="R92" s="27">
        <v>0.30833333333333335</v>
      </c>
      <c r="S92" s="18">
        <v>3</v>
      </c>
      <c r="T92" s="18">
        <v>1</v>
      </c>
      <c r="U92" s="18">
        <v>1</v>
      </c>
      <c r="V92" s="22">
        <v>0</v>
      </c>
      <c r="W92" s="20">
        <v>1</v>
      </c>
      <c r="X92" s="24">
        <v>0</v>
      </c>
      <c r="Y92" s="18">
        <v>0</v>
      </c>
      <c r="Z92" s="18">
        <v>0</v>
      </c>
      <c r="AA92" s="18">
        <v>0</v>
      </c>
      <c r="AB92" s="18">
        <v>5</v>
      </c>
      <c r="AC92" s="18">
        <v>1.69</v>
      </c>
      <c r="AD92" s="18">
        <v>4.4000000000000004</v>
      </c>
      <c r="AE92" s="38">
        <v>0.14000000000000001</v>
      </c>
      <c r="AG92" s="25"/>
      <c r="AH92" s="25"/>
      <c r="AI92" s="25"/>
      <c r="AJ92" s="25"/>
      <c r="AK92" s="25"/>
      <c r="AL92" s="25"/>
      <c r="AM92" s="25"/>
      <c r="AN92" s="25"/>
      <c r="AO92" s="25"/>
      <c r="AP92" s="25"/>
    </row>
    <row r="93" spans="1:42">
      <c r="A93" s="119">
        <v>92</v>
      </c>
      <c r="B93" s="25">
        <v>2</v>
      </c>
      <c r="C93" s="25" t="s">
        <v>176</v>
      </c>
      <c r="D93" s="25">
        <v>7</v>
      </c>
      <c r="E93" s="25">
        <v>0</v>
      </c>
      <c r="F93" s="25">
        <v>395</v>
      </c>
      <c r="G93" s="25">
        <v>680422</v>
      </c>
      <c r="H93" s="25">
        <v>9357532</v>
      </c>
      <c r="I93" s="42">
        <v>41975</v>
      </c>
      <c r="J93" s="43">
        <v>0.52222222222222225</v>
      </c>
      <c r="K93" s="44">
        <v>41982</v>
      </c>
      <c r="L93" s="43">
        <v>0.54166666666666663</v>
      </c>
      <c r="M93" s="28">
        <v>10108</v>
      </c>
      <c r="N93" s="45">
        <f t="shared" si="2"/>
        <v>168.46666666666667</v>
      </c>
      <c r="O93" s="28">
        <v>6</v>
      </c>
      <c r="P93" s="25" t="s">
        <v>92</v>
      </c>
      <c r="Q93" s="46">
        <v>41978</v>
      </c>
      <c r="R93" s="47">
        <v>0.65555555555555556</v>
      </c>
      <c r="S93" s="25">
        <v>3</v>
      </c>
      <c r="T93" s="25">
        <v>1</v>
      </c>
      <c r="U93" s="25">
        <v>1</v>
      </c>
      <c r="V93" s="22">
        <v>1</v>
      </c>
      <c r="W93" s="20">
        <v>0</v>
      </c>
      <c r="X93" s="24">
        <v>0</v>
      </c>
      <c r="Y93" s="25">
        <v>0</v>
      </c>
      <c r="Z93" s="25">
        <v>0</v>
      </c>
      <c r="AA93" s="25">
        <v>0</v>
      </c>
      <c r="AB93" s="25">
        <v>15</v>
      </c>
      <c r="AC93" s="25">
        <v>4.4000000000000004</v>
      </c>
      <c r="AD93" s="25">
        <v>4</v>
      </c>
      <c r="AE93" s="45">
        <v>0.27</v>
      </c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</row>
    <row r="94" spans="1:42">
      <c r="A94" s="119">
        <v>93</v>
      </c>
      <c r="B94" s="18">
        <v>2</v>
      </c>
      <c r="C94" s="18" t="s">
        <v>176</v>
      </c>
      <c r="D94" s="18">
        <v>7</v>
      </c>
      <c r="E94" s="18">
        <v>0</v>
      </c>
      <c r="F94" s="18">
        <v>395</v>
      </c>
      <c r="G94" s="18">
        <v>680422</v>
      </c>
      <c r="H94" s="18">
        <v>9357532</v>
      </c>
      <c r="I94" s="34">
        <v>41975</v>
      </c>
      <c r="J94" s="35">
        <v>0.52222222222222225</v>
      </c>
      <c r="K94" s="36">
        <v>41982</v>
      </c>
      <c r="L94" s="35">
        <v>0.54166666666666663</v>
      </c>
      <c r="M94" s="37">
        <v>10108</v>
      </c>
      <c r="N94" s="38">
        <f t="shared" si="2"/>
        <v>168.46666666666667</v>
      </c>
      <c r="O94" s="37">
        <v>6</v>
      </c>
      <c r="P94" s="18" t="s">
        <v>119</v>
      </c>
      <c r="Q94" s="26">
        <v>41978</v>
      </c>
      <c r="R94" s="27">
        <v>0.65972222222222221</v>
      </c>
      <c r="S94" s="18">
        <v>3</v>
      </c>
      <c r="T94" s="18">
        <v>1</v>
      </c>
      <c r="U94" s="18">
        <v>1</v>
      </c>
      <c r="V94" s="22">
        <v>1</v>
      </c>
      <c r="W94" s="20">
        <v>0</v>
      </c>
      <c r="X94" s="24">
        <v>0</v>
      </c>
      <c r="Y94" s="18">
        <v>0</v>
      </c>
      <c r="Z94" s="18">
        <v>0</v>
      </c>
      <c r="AA94" s="18">
        <v>0</v>
      </c>
      <c r="AB94" s="18">
        <v>20</v>
      </c>
      <c r="AC94" s="18">
        <v>3.45</v>
      </c>
      <c r="AD94" s="18">
        <v>4</v>
      </c>
      <c r="AE94" s="38">
        <v>0.13</v>
      </c>
      <c r="AG94" s="64"/>
      <c r="AH94" s="64"/>
      <c r="AI94" s="64"/>
      <c r="AJ94" s="64"/>
      <c r="AK94" s="64"/>
      <c r="AL94" s="64"/>
      <c r="AM94" s="64"/>
      <c r="AN94" s="64"/>
      <c r="AO94" s="64"/>
      <c r="AP94" s="64"/>
    </row>
    <row r="95" spans="1:42">
      <c r="A95" s="119">
        <v>94</v>
      </c>
      <c r="B95" s="18">
        <v>2</v>
      </c>
      <c r="C95" s="18" t="s">
        <v>176</v>
      </c>
      <c r="D95" s="18">
        <v>7</v>
      </c>
      <c r="E95" s="18">
        <v>0</v>
      </c>
      <c r="F95" s="18">
        <v>395</v>
      </c>
      <c r="G95" s="18">
        <v>680422</v>
      </c>
      <c r="H95" s="18">
        <v>9357532</v>
      </c>
      <c r="I95" s="34">
        <v>41975</v>
      </c>
      <c r="J95" s="35">
        <v>0.52222222222222225</v>
      </c>
      <c r="K95" s="36">
        <v>41982</v>
      </c>
      <c r="L95" s="35">
        <v>0.54166666666666663</v>
      </c>
      <c r="M95" s="37">
        <v>10108</v>
      </c>
      <c r="N95" s="38">
        <f t="shared" si="2"/>
        <v>168.46666666666667</v>
      </c>
      <c r="O95" s="37">
        <v>6</v>
      </c>
      <c r="P95" s="18" t="s">
        <v>118</v>
      </c>
      <c r="Q95" s="26">
        <v>41980</v>
      </c>
      <c r="R95" s="27">
        <v>0.57361111111111118</v>
      </c>
      <c r="S95" s="18">
        <v>3</v>
      </c>
      <c r="T95" s="18">
        <v>1</v>
      </c>
      <c r="U95" s="18">
        <v>1</v>
      </c>
      <c r="V95" s="22">
        <v>1</v>
      </c>
      <c r="W95" s="20">
        <v>0</v>
      </c>
      <c r="X95" s="24">
        <v>0</v>
      </c>
      <c r="Y95" s="18">
        <v>0</v>
      </c>
      <c r="Z95" s="18">
        <v>0</v>
      </c>
      <c r="AA95" s="18">
        <v>0</v>
      </c>
      <c r="AG95" s="64"/>
      <c r="AH95" s="64"/>
      <c r="AI95" s="64"/>
      <c r="AJ95" s="64"/>
      <c r="AK95" s="64"/>
      <c r="AL95" s="64"/>
      <c r="AM95" s="64"/>
      <c r="AN95" s="64"/>
      <c r="AO95" s="64"/>
      <c r="AP95" s="64"/>
    </row>
    <row r="96" spans="1:42">
      <c r="A96" s="119">
        <v>95</v>
      </c>
      <c r="B96" s="18">
        <v>2</v>
      </c>
      <c r="C96" s="18" t="s">
        <v>176</v>
      </c>
      <c r="D96" s="18">
        <v>7</v>
      </c>
      <c r="E96" s="18">
        <v>0</v>
      </c>
      <c r="F96" s="18">
        <v>395</v>
      </c>
      <c r="G96" s="18">
        <v>680422</v>
      </c>
      <c r="H96" s="18">
        <v>9357532</v>
      </c>
      <c r="I96" s="34">
        <v>41975</v>
      </c>
      <c r="J96" s="35">
        <v>0.52222222222222225</v>
      </c>
      <c r="K96" s="36">
        <v>41982</v>
      </c>
      <c r="L96" s="35">
        <v>0.54166666666666663</v>
      </c>
      <c r="M96" s="37">
        <v>10108</v>
      </c>
      <c r="N96" s="38">
        <f t="shared" si="2"/>
        <v>168.46666666666667</v>
      </c>
      <c r="O96" s="37">
        <v>6</v>
      </c>
      <c r="P96" s="18" t="s">
        <v>297</v>
      </c>
      <c r="Q96" s="26">
        <v>41980</v>
      </c>
      <c r="R96" s="27">
        <v>0.6</v>
      </c>
      <c r="S96" s="18">
        <v>3</v>
      </c>
      <c r="T96" s="18">
        <v>1</v>
      </c>
      <c r="U96" s="18">
        <v>1</v>
      </c>
      <c r="V96" s="22">
        <v>1</v>
      </c>
      <c r="W96" s="20">
        <v>0</v>
      </c>
      <c r="X96" s="24">
        <v>0</v>
      </c>
      <c r="Y96" s="18">
        <v>0</v>
      </c>
      <c r="Z96" s="18">
        <v>0</v>
      </c>
      <c r="AA96" s="18">
        <v>0</v>
      </c>
      <c r="AG96" s="64"/>
      <c r="AH96" s="64"/>
      <c r="AI96" s="64"/>
      <c r="AJ96" s="64"/>
      <c r="AK96" s="64"/>
      <c r="AL96" s="64"/>
      <c r="AM96" s="64"/>
      <c r="AN96" s="64"/>
      <c r="AO96" s="64"/>
      <c r="AP96" s="64"/>
    </row>
    <row r="97" spans="1:42" ht="15.75" customHeight="1">
      <c r="A97" s="119">
        <v>96</v>
      </c>
      <c r="B97" s="18">
        <v>2</v>
      </c>
      <c r="C97" s="18" t="s">
        <v>176</v>
      </c>
      <c r="D97" s="18">
        <v>7</v>
      </c>
      <c r="E97" s="18">
        <v>0</v>
      </c>
      <c r="F97" s="18">
        <v>395</v>
      </c>
      <c r="G97" s="18">
        <v>680422</v>
      </c>
      <c r="H97" s="18">
        <v>9357532</v>
      </c>
      <c r="I97" s="34">
        <v>41975</v>
      </c>
      <c r="J97" s="35">
        <v>0.52222222222222225</v>
      </c>
      <c r="K97" s="36">
        <v>41982</v>
      </c>
      <c r="L97" s="35">
        <v>0.54166666666666663</v>
      </c>
      <c r="M97" s="37">
        <v>10108</v>
      </c>
      <c r="N97" s="38">
        <f t="shared" si="2"/>
        <v>168.46666666666667</v>
      </c>
      <c r="O97" s="37">
        <v>6</v>
      </c>
      <c r="P97" s="18" t="s">
        <v>108</v>
      </c>
      <c r="Q97" s="26">
        <v>41982</v>
      </c>
      <c r="R97" s="27">
        <v>0.32013888888888892</v>
      </c>
      <c r="S97" s="18">
        <v>3</v>
      </c>
      <c r="T97" s="18">
        <v>3</v>
      </c>
      <c r="U97" s="18">
        <v>1</v>
      </c>
      <c r="V97" s="22">
        <v>1</v>
      </c>
      <c r="W97" s="20">
        <v>0</v>
      </c>
      <c r="X97" s="24">
        <v>0</v>
      </c>
      <c r="Y97" s="18">
        <v>0</v>
      </c>
      <c r="Z97" s="18">
        <v>3</v>
      </c>
      <c r="AA97" s="18">
        <v>0</v>
      </c>
      <c r="AG97" s="64"/>
      <c r="AH97" s="64"/>
      <c r="AI97" s="64"/>
      <c r="AJ97" s="64"/>
      <c r="AK97" s="64"/>
      <c r="AL97" s="64"/>
      <c r="AM97" s="64"/>
      <c r="AN97" s="64"/>
      <c r="AO97" s="64"/>
      <c r="AP97" s="64"/>
    </row>
    <row r="98" spans="1:42">
      <c r="A98" s="119">
        <v>97</v>
      </c>
      <c r="B98" s="18">
        <v>3</v>
      </c>
      <c r="C98" s="18" t="s">
        <v>177</v>
      </c>
      <c r="D98" s="18">
        <v>7</v>
      </c>
      <c r="E98" s="18">
        <v>0</v>
      </c>
      <c r="F98" s="18">
        <v>328</v>
      </c>
      <c r="G98" s="18">
        <v>680619</v>
      </c>
      <c r="H98" s="18">
        <v>9357425</v>
      </c>
      <c r="I98" s="34">
        <v>41975</v>
      </c>
      <c r="J98" s="35">
        <v>0.44513888888888892</v>
      </c>
      <c r="K98" s="36">
        <v>41982</v>
      </c>
      <c r="L98" s="35">
        <v>0.56111111111111112</v>
      </c>
      <c r="M98" s="37">
        <v>10247</v>
      </c>
      <c r="N98" s="38">
        <f t="shared" ref="N98:N124" si="3">VALUE(M98/60)</f>
        <v>170.78333333333333</v>
      </c>
      <c r="O98" s="37">
        <v>11</v>
      </c>
      <c r="P98" s="18" t="s">
        <v>101</v>
      </c>
      <c r="Q98" s="26">
        <v>41977</v>
      </c>
      <c r="R98" s="27">
        <v>0.37291666666666662</v>
      </c>
      <c r="S98" s="18">
        <v>3</v>
      </c>
      <c r="T98" s="18">
        <v>1</v>
      </c>
      <c r="U98" s="18">
        <v>1</v>
      </c>
      <c r="V98" s="22">
        <v>0</v>
      </c>
      <c r="W98" s="20">
        <v>1</v>
      </c>
      <c r="X98" s="24">
        <v>0</v>
      </c>
      <c r="Y98" s="18">
        <v>0</v>
      </c>
      <c r="Z98" s="18">
        <v>0</v>
      </c>
      <c r="AA98" s="18">
        <v>0</v>
      </c>
      <c r="AB98" s="18">
        <v>15</v>
      </c>
      <c r="AC98" s="18">
        <v>2.8</v>
      </c>
      <c r="AD98" s="18">
        <v>2.4</v>
      </c>
      <c r="AE98" s="38">
        <v>0.17</v>
      </c>
      <c r="AG98" s="64"/>
      <c r="AH98" s="64"/>
      <c r="AI98" s="64"/>
      <c r="AJ98" s="64"/>
      <c r="AK98" s="64"/>
      <c r="AL98" s="64"/>
      <c r="AM98" s="64"/>
      <c r="AN98" s="64"/>
      <c r="AO98" s="64"/>
      <c r="AP98" s="64"/>
    </row>
    <row r="99" spans="1:42">
      <c r="A99" s="119">
        <v>98</v>
      </c>
      <c r="C99" s="18" t="s">
        <v>177</v>
      </c>
      <c r="D99" s="18">
        <v>7</v>
      </c>
      <c r="E99" s="18">
        <v>0</v>
      </c>
      <c r="F99" s="18">
        <v>328</v>
      </c>
      <c r="G99" s="18">
        <v>680619</v>
      </c>
      <c r="H99" s="18">
        <v>9357425</v>
      </c>
      <c r="I99" s="34">
        <v>41975</v>
      </c>
      <c r="J99" s="35">
        <v>0.44513888888888892</v>
      </c>
      <c r="K99" s="36">
        <v>41982</v>
      </c>
      <c r="L99" s="35">
        <v>0.56111111111111112</v>
      </c>
      <c r="M99" s="37">
        <v>10247</v>
      </c>
      <c r="N99" s="38">
        <f t="shared" si="3"/>
        <v>170.78333333333333</v>
      </c>
      <c r="O99" s="37">
        <v>11</v>
      </c>
      <c r="P99" s="18" t="s">
        <v>84</v>
      </c>
      <c r="Q99" s="26">
        <v>41977</v>
      </c>
      <c r="R99" s="27">
        <v>0.40902777777777777</v>
      </c>
      <c r="S99" s="18">
        <v>3</v>
      </c>
      <c r="T99" s="18">
        <v>3</v>
      </c>
      <c r="U99" s="18">
        <v>2</v>
      </c>
      <c r="V99" s="22">
        <v>0</v>
      </c>
      <c r="W99" s="20">
        <v>2</v>
      </c>
      <c r="X99" s="24">
        <v>0</v>
      </c>
      <c r="Y99" s="18">
        <v>0</v>
      </c>
      <c r="Z99" s="18">
        <v>1</v>
      </c>
      <c r="AA99" s="18">
        <v>0</v>
      </c>
      <c r="AB99" s="18">
        <v>15</v>
      </c>
      <c r="AC99" s="18">
        <v>2.4</v>
      </c>
      <c r="AD99" s="18">
        <v>1.45</v>
      </c>
      <c r="AE99" s="38">
        <v>0.04</v>
      </c>
      <c r="AG99" s="64"/>
      <c r="AH99" s="64"/>
      <c r="AI99" s="64"/>
      <c r="AJ99" s="64"/>
      <c r="AK99" s="64"/>
      <c r="AL99" s="64"/>
      <c r="AM99" s="64"/>
      <c r="AN99" s="64"/>
      <c r="AO99" s="64"/>
      <c r="AP99" s="64"/>
    </row>
    <row r="100" spans="1:42">
      <c r="A100" s="121">
        <v>99</v>
      </c>
      <c r="C100" s="18" t="s">
        <v>177</v>
      </c>
      <c r="D100" s="18">
        <v>7</v>
      </c>
      <c r="E100" s="18">
        <v>0</v>
      </c>
      <c r="F100" s="18">
        <v>328</v>
      </c>
      <c r="G100" s="18">
        <v>680619</v>
      </c>
      <c r="H100" s="18">
        <v>9357425</v>
      </c>
      <c r="I100" s="34">
        <v>41975</v>
      </c>
      <c r="J100" s="35">
        <v>0.44513888888888892</v>
      </c>
      <c r="K100" s="36">
        <v>41982</v>
      </c>
      <c r="L100" s="35">
        <v>0.56111111111111112</v>
      </c>
      <c r="M100" s="37">
        <v>10247</v>
      </c>
      <c r="N100" s="38">
        <f t="shared" si="3"/>
        <v>170.78333333333333</v>
      </c>
      <c r="O100" s="37">
        <v>11</v>
      </c>
      <c r="P100" s="18" t="s">
        <v>92</v>
      </c>
      <c r="Q100" s="26">
        <v>41979</v>
      </c>
      <c r="R100" s="27">
        <v>0.2298611111111111</v>
      </c>
      <c r="S100" s="18">
        <v>1</v>
      </c>
      <c r="T100" s="18">
        <v>1</v>
      </c>
      <c r="U100" s="18">
        <v>1</v>
      </c>
      <c r="V100" s="22">
        <v>0</v>
      </c>
      <c r="W100" s="20">
        <v>1</v>
      </c>
      <c r="X100" s="24">
        <v>0</v>
      </c>
      <c r="Y100" s="18">
        <v>0</v>
      </c>
      <c r="Z100" s="18">
        <v>0</v>
      </c>
      <c r="AA100" s="18">
        <v>0</v>
      </c>
    </row>
    <row r="101" spans="1:42">
      <c r="A101" s="121">
        <v>100</v>
      </c>
      <c r="C101" s="18" t="s">
        <v>177</v>
      </c>
      <c r="D101" s="18">
        <v>7</v>
      </c>
      <c r="E101" s="18">
        <v>0</v>
      </c>
      <c r="F101" s="18">
        <v>328</v>
      </c>
      <c r="G101" s="18">
        <v>680619</v>
      </c>
      <c r="H101" s="18">
        <v>9357425</v>
      </c>
      <c r="I101" s="34">
        <v>41975</v>
      </c>
      <c r="J101" s="35">
        <v>0.44513888888888892</v>
      </c>
      <c r="K101" s="36">
        <v>41982</v>
      </c>
      <c r="L101" s="35">
        <v>0.56111111111111112</v>
      </c>
      <c r="M101" s="37">
        <v>10247</v>
      </c>
      <c r="N101" s="38">
        <f t="shared" si="3"/>
        <v>170.78333333333333</v>
      </c>
      <c r="O101" s="37">
        <v>11</v>
      </c>
      <c r="P101" s="18" t="s">
        <v>120</v>
      </c>
      <c r="Q101" s="26">
        <v>41979</v>
      </c>
      <c r="R101" s="27">
        <v>0.73402777777777783</v>
      </c>
      <c r="S101" s="18">
        <v>1</v>
      </c>
      <c r="T101" s="18">
        <v>1</v>
      </c>
      <c r="U101" s="18">
        <v>1</v>
      </c>
      <c r="V101" s="22">
        <v>1</v>
      </c>
      <c r="W101" s="20">
        <v>0</v>
      </c>
      <c r="X101" s="24">
        <v>0</v>
      </c>
      <c r="Y101" s="18">
        <v>0</v>
      </c>
      <c r="Z101" s="18">
        <v>0</v>
      </c>
      <c r="AA101" s="18">
        <v>0</v>
      </c>
      <c r="AB101" s="18">
        <v>30</v>
      </c>
      <c r="AC101" s="18">
        <v>3.4</v>
      </c>
      <c r="AD101" s="18">
        <v>4.0999999999999996</v>
      </c>
      <c r="AE101" s="38">
        <v>0.34</v>
      </c>
    </row>
    <row r="102" spans="1:42">
      <c r="A102" s="121">
        <v>101</v>
      </c>
      <c r="B102" s="18">
        <v>3</v>
      </c>
      <c r="C102" s="18" t="s">
        <v>177</v>
      </c>
      <c r="D102" s="18">
        <v>7</v>
      </c>
      <c r="E102" s="18">
        <v>0</v>
      </c>
      <c r="F102" s="18">
        <v>328</v>
      </c>
      <c r="G102" s="18">
        <v>680619</v>
      </c>
      <c r="H102" s="18">
        <v>9357425</v>
      </c>
      <c r="I102" s="34">
        <v>41975</v>
      </c>
      <c r="J102" s="35">
        <v>0.44513888888888892</v>
      </c>
      <c r="K102" s="36">
        <v>41982</v>
      </c>
      <c r="L102" s="35">
        <v>0.56111111111111112</v>
      </c>
      <c r="M102" s="37">
        <v>10247</v>
      </c>
      <c r="N102" s="38">
        <f t="shared" si="3"/>
        <v>170.78333333333333</v>
      </c>
      <c r="O102" s="37">
        <v>11</v>
      </c>
      <c r="P102" s="18" t="s">
        <v>297</v>
      </c>
      <c r="Q102" s="26">
        <v>41979</v>
      </c>
      <c r="R102" s="27">
        <v>0.85416666666666663</v>
      </c>
      <c r="S102" s="18">
        <v>1</v>
      </c>
      <c r="T102" s="18">
        <v>1</v>
      </c>
      <c r="U102" s="18">
        <v>1</v>
      </c>
      <c r="V102" s="22">
        <v>0</v>
      </c>
      <c r="W102" s="20">
        <v>1</v>
      </c>
      <c r="X102" s="24">
        <v>0</v>
      </c>
      <c r="Y102" s="18">
        <v>0</v>
      </c>
      <c r="Z102" s="18">
        <v>0</v>
      </c>
      <c r="AA102" s="18">
        <v>0</v>
      </c>
      <c r="AB102" s="18">
        <v>35</v>
      </c>
      <c r="AC102" s="18">
        <v>1</v>
      </c>
      <c r="AD102" s="18">
        <v>5.6</v>
      </c>
      <c r="AE102" s="38">
        <v>0.51</v>
      </c>
    </row>
    <row r="103" spans="1:42">
      <c r="A103" s="119">
        <v>102</v>
      </c>
      <c r="B103" s="18">
        <v>3</v>
      </c>
      <c r="C103" s="18" t="s">
        <v>177</v>
      </c>
      <c r="D103" s="18">
        <v>7</v>
      </c>
      <c r="E103" s="18">
        <v>0</v>
      </c>
      <c r="F103" s="18">
        <v>328</v>
      </c>
      <c r="G103" s="18">
        <v>680619</v>
      </c>
      <c r="H103" s="18">
        <v>9357425</v>
      </c>
      <c r="I103" s="34">
        <v>41975</v>
      </c>
      <c r="J103" s="35">
        <v>0.44513888888888892</v>
      </c>
      <c r="K103" s="36">
        <v>41982</v>
      </c>
      <c r="L103" s="35">
        <v>0.56111111111111112</v>
      </c>
      <c r="M103" s="37">
        <v>10247</v>
      </c>
      <c r="N103" s="38">
        <f t="shared" si="3"/>
        <v>170.78333333333333</v>
      </c>
      <c r="O103" s="37">
        <v>11</v>
      </c>
      <c r="P103" s="18" t="s">
        <v>139</v>
      </c>
      <c r="Q103" s="26">
        <v>41980</v>
      </c>
      <c r="R103" s="27">
        <v>0.30486111111111108</v>
      </c>
      <c r="S103" s="18">
        <v>3</v>
      </c>
      <c r="T103" s="18">
        <v>2</v>
      </c>
      <c r="U103" s="18">
        <v>1</v>
      </c>
      <c r="V103" s="22">
        <v>0</v>
      </c>
      <c r="W103" s="20">
        <v>0</v>
      </c>
      <c r="X103" s="24">
        <v>1</v>
      </c>
      <c r="Y103" s="18">
        <v>0</v>
      </c>
      <c r="Z103" s="18">
        <v>0</v>
      </c>
      <c r="AA103" s="18">
        <v>1</v>
      </c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</row>
    <row r="104" spans="1:42">
      <c r="A104" s="121">
        <v>103</v>
      </c>
      <c r="B104" s="18">
        <v>3</v>
      </c>
      <c r="C104" s="18" t="s">
        <v>177</v>
      </c>
      <c r="D104" s="18">
        <v>7</v>
      </c>
      <c r="E104" s="18">
        <v>0</v>
      </c>
      <c r="F104" s="18">
        <v>328</v>
      </c>
      <c r="G104" s="18">
        <v>680619</v>
      </c>
      <c r="H104" s="18">
        <v>9357425</v>
      </c>
      <c r="I104" s="34">
        <v>41975</v>
      </c>
      <c r="J104" s="35">
        <v>0.44513888888888892</v>
      </c>
      <c r="K104" s="36">
        <v>41982</v>
      </c>
      <c r="L104" s="35">
        <v>0.56111111111111112</v>
      </c>
      <c r="M104" s="37">
        <v>10247</v>
      </c>
      <c r="N104" s="38">
        <f t="shared" si="3"/>
        <v>170.78333333333333</v>
      </c>
      <c r="O104" s="37">
        <v>11</v>
      </c>
      <c r="P104" s="18" t="s">
        <v>108</v>
      </c>
      <c r="Q104" s="26">
        <v>41980</v>
      </c>
      <c r="R104" s="27">
        <v>0.40208333333333335</v>
      </c>
      <c r="S104" s="18">
        <v>1</v>
      </c>
      <c r="T104" s="18">
        <v>1</v>
      </c>
      <c r="U104" s="18">
        <v>1</v>
      </c>
      <c r="V104" s="22">
        <v>0</v>
      </c>
      <c r="W104" s="20">
        <v>0</v>
      </c>
      <c r="X104" s="24">
        <v>0</v>
      </c>
      <c r="Y104" s="25">
        <v>0</v>
      </c>
      <c r="Z104" s="25">
        <v>0</v>
      </c>
      <c r="AA104" s="25">
        <v>1</v>
      </c>
    </row>
    <row r="105" spans="1:42">
      <c r="A105" s="121">
        <v>104</v>
      </c>
      <c r="C105" s="18" t="s">
        <v>177</v>
      </c>
      <c r="D105" s="18">
        <v>7</v>
      </c>
      <c r="E105" s="18">
        <v>0</v>
      </c>
      <c r="F105" s="18">
        <v>328</v>
      </c>
      <c r="G105" s="18">
        <v>680619</v>
      </c>
      <c r="H105" s="18">
        <v>9357425</v>
      </c>
      <c r="I105" s="34">
        <v>41975</v>
      </c>
      <c r="J105" s="35">
        <v>0.44513888888888892</v>
      </c>
      <c r="K105" s="36">
        <v>41982</v>
      </c>
      <c r="L105" s="35">
        <v>0.56111111111111112</v>
      </c>
      <c r="M105" s="37">
        <v>10247</v>
      </c>
      <c r="N105" s="38">
        <f t="shared" si="3"/>
        <v>170.78333333333333</v>
      </c>
      <c r="O105" s="37">
        <v>11</v>
      </c>
      <c r="P105" s="18" t="s">
        <v>156</v>
      </c>
      <c r="Q105" s="26">
        <v>41980</v>
      </c>
      <c r="R105" s="27">
        <v>0.80555555555555547</v>
      </c>
      <c r="S105" s="18">
        <v>1</v>
      </c>
      <c r="T105" s="18">
        <v>1</v>
      </c>
      <c r="U105" s="18">
        <v>1</v>
      </c>
      <c r="V105" s="22">
        <v>0</v>
      </c>
      <c r="W105" s="20">
        <v>1</v>
      </c>
      <c r="X105" s="24">
        <v>0</v>
      </c>
      <c r="Y105" s="25">
        <v>0</v>
      </c>
      <c r="Z105" s="25">
        <v>0</v>
      </c>
      <c r="AA105" s="25">
        <v>0</v>
      </c>
      <c r="AB105" s="25">
        <v>10</v>
      </c>
      <c r="AC105" s="25">
        <v>4.5999999999999996</v>
      </c>
      <c r="AD105" s="25">
        <v>4.5999999999999996</v>
      </c>
      <c r="AE105" s="45">
        <v>0.26</v>
      </c>
    </row>
    <row r="106" spans="1:42">
      <c r="A106" s="119">
        <v>105</v>
      </c>
      <c r="C106" s="18" t="s">
        <v>177</v>
      </c>
      <c r="D106" s="18">
        <v>7</v>
      </c>
      <c r="E106" s="18">
        <v>0</v>
      </c>
      <c r="F106" s="18">
        <v>328</v>
      </c>
      <c r="G106" s="18">
        <v>680619</v>
      </c>
      <c r="H106" s="18">
        <v>9357425</v>
      </c>
      <c r="I106" s="34">
        <v>41975</v>
      </c>
      <c r="J106" s="35">
        <v>0.44513888888888892</v>
      </c>
      <c r="K106" s="36">
        <v>41982</v>
      </c>
      <c r="L106" s="35">
        <v>0.56111111111111112</v>
      </c>
      <c r="M106" s="37">
        <v>10247</v>
      </c>
      <c r="N106" s="38">
        <f t="shared" si="3"/>
        <v>170.78333333333333</v>
      </c>
      <c r="O106" s="37">
        <v>11</v>
      </c>
      <c r="P106" s="18" t="s">
        <v>148</v>
      </c>
      <c r="Q106" s="26">
        <v>41981</v>
      </c>
      <c r="R106" s="27">
        <v>0.2722222222222222</v>
      </c>
      <c r="S106" s="18">
        <v>3</v>
      </c>
      <c r="T106" s="18">
        <v>3</v>
      </c>
      <c r="U106" s="18">
        <v>2</v>
      </c>
      <c r="V106" s="22">
        <v>1</v>
      </c>
      <c r="W106" s="20">
        <v>1</v>
      </c>
      <c r="X106" s="24">
        <v>0</v>
      </c>
      <c r="Y106" s="25">
        <v>0</v>
      </c>
      <c r="Z106" s="25">
        <v>1</v>
      </c>
      <c r="AA106" s="25">
        <v>0</v>
      </c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</row>
    <row r="107" spans="1:42">
      <c r="A107" s="119">
        <v>106</v>
      </c>
      <c r="C107" s="18" t="s">
        <v>177</v>
      </c>
      <c r="D107" s="18">
        <v>7</v>
      </c>
      <c r="E107" s="18">
        <v>0</v>
      </c>
      <c r="F107" s="18">
        <v>328</v>
      </c>
      <c r="G107" s="18">
        <v>680619</v>
      </c>
      <c r="H107" s="18">
        <v>9357425</v>
      </c>
      <c r="I107" s="34">
        <v>41975</v>
      </c>
      <c r="J107" s="35">
        <v>0.44513888888888892</v>
      </c>
      <c r="K107" s="36">
        <v>41982</v>
      </c>
      <c r="L107" s="35">
        <v>0.56111111111111112</v>
      </c>
      <c r="M107" s="37">
        <v>10247</v>
      </c>
      <c r="N107" s="38">
        <f t="shared" si="3"/>
        <v>170.78333333333333</v>
      </c>
      <c r="O107" s="37">
        <v>11</v>
      </c>
      <c r="P107" s="18" t="s">
        <v>149</v>
      </c>
      <c r="Q107" s="26">
        <v>41981</v>
      </c>
      <c r="R107" s="27">
        <v>0.55486111111111114</v>
      </c>
      <c r="S107" s="18">
        <v>3</v>
      </c>
      <c r="T107" s="18">
        <v>2</v>
      </c>
      <c r="U107" s="18">
        <v>2</v>
      </c>
      <c r="V107" s="22">
        <v>0</v>
      </c>
      <c r="W107" s="20">
        <v>2</v>
      </c>
      <c r="X107" s="24">
        <v>0</v>
      </c>
      <c r="Y107" s="25">
        <v>0</v>
      </c>
      <c r="Z107" s="25">
        <v>0</v>
      </c>
      <c r="AA107" s="25">
        <v>0</v>
      </c>
      <c r="AG107" s="64"/>
      <c r="AH107" s="64"/>
      <c r="AI107" s="64"/>
      <c r="AJ107" s="64"/>
      <c r="AK107" s="64"/>
      <c r="AL107" s="64"/>
      <c r="AM107" s="64"/>
      <c r="AN107" s="64"/>
      <c r="AO107" s="64"/>
      <c r="AP107" s="64"/>
    </row>
    <row r="108" spans="1:42">
      <c r="A108" s="119">
        <v>107</v>
      </c>
      <c r="C108" s="18" t="s">
        <v>177</v>
      </c>
      <c r="D108" s="18">
        <v>7</v>
      </c>
      <c r="E108" s="18">
        <v>0</v>
      </c>
      <c r="F108" s="18">
        <v>328</v>
      </c>
      <c r="G108" s="18">
        <v>680619</v>
      </c>
      <c r="H108" s="18">
        <v>9357425</v>
      </c>
      <c r="I108" s="34">
        <v>41975</v>
      </c>
      <c r="J108" s="35">
        <v>0.44513888888888892</v>
      </c>
      <c r="K108" s="36">
        <v>41982</v>
      </c>
      <c r="L108" s="35">
        <v>0.56111111111111112</v>
      </c>
      <c r="M108" s="37">
        <v>10247</v>
      </c>
      <c r="N108" s="38">
        <f t="shared" si="3"/>
        <v>170.78333333333333</v>
      </c>
      <c r="O108" s="37">
        <v>11</v>
      </c>
      <c r="P108" s="18" t="s">
        <v>134</v>
      </c>
      <c r="Q108" s="26">
        <v>41982</v>
      </c>
      <c r="R108" s="27">
        <v>0.40208333333333335</v>
      </c>
      <c r="S108" s="18">
        <v>3</v>
      </c>
      <c r="T108" s="18">
        <v>1</v>
      </c>
      <c r="U108" s="18">
        <v>0</v>
      </c>
      <c r="V108" s="22">
        <v>0</v>
      </c>
      <c r="W108" s="20">
        <v>0</v>
      </c>
      <c r="X108" s="24">
        <v>0</v>
      </c>
      <c r="Y108" s="25">
        <v>0</v>
      </c>
      <c r="Z108" s="25">
        <v>0</v>
      </c>
      <c r="AA108" s="25">
        <v>1</v>
      </c>
      <c r="AG108" s="64"/>
      <c r="AH108" s="64"/>
      <c r="AI108" s="64"/>
      <c r="AJ108" s="64"/>
      <c r="AK108" s="64"/>
      <c r="AL108" s="64"/>
      <c r="AM108" s="64"/>
      <c r="AN108" s="64"/>
      <c r="AO108" s="64"/>
      <c r="AP108" s="64"/>
    </row>
    <row r="109" spans="1:42">
      <c r="A109" s="119">
        <v>108</v>
      </c>
      <c r="B109" s="18">
        <v>4</v>
      </c>
      <c r="C109" s="18" t="s">
        <v>178</v>
      </c>
      <c r="D109" s="18">
        <v>7</v>
      </c>
      <c r="E109" s="18">
        <v>0</v>
      </c>
      <c r="F109" s="18">
        <v>114</v>
      </c>
      <c r="G109" s="18">
        <v>680665</v>
      </c>
      <c r="H109" s="18">
        <v>9357118</v>
      </c>
      <c r="I109" s="34">
        <v>41975</v>
      </c>
      <c r="J109" s="35">
        <v>0.40347222222222223</v>
      </c>
      <c r="K109" s="36">
        <v>41982</v>
      </c>
      <c r="L109" s="35">
        <v>0.36458333333333331</v>
      </c>
      <c r="M109" s="37">
        <v>10027</v>
      </c>
      <c r="N109" s="38">
        <f t="shared" si="3"/>
        <v>167.11666666666667</v>
      </c>
      <c r="O109" s="37">
        <v>6</v>
      </c>
      <c r="P109" s="18" t="s">
        <v>101</v>
      </c>
      <c r="Q109" s="26">
        <v>41976</v>
      </c>
      <c r="R109" s="27">
        <v>0.55972222222222223</v>
      </c>
      <c r="S109" s="18">
        <v>3</v>
      </c>
      <c r="T109" s="18">
        <v>1</v>
      </c>
      <c r="U109" s="18">
        <v>0</v>
      </c>
      <c r="V109" s="22">
        <v>0</v>
      </c>
      <c r="W109" s="20">
        <v>0</v>
      </c>
      <c r="X109" s="24">
        <v>1</v>
      </c>
      <c r="Y109" s="25">
        <v>0</v>
      </c>
      <c r="Z109" s="25">
        <v>0</v>
      </c>
      <c r="AA109" s="25">
        <v>0</v>
      </c>
      <c r="AB109" s="25">
        <v>15</v>
      </c>
      <c r="AC109" s="25">
        <v>2.14</v>
      </c>
      <c r="AD109" s="25">
        <v>2.2400000000000002</v>
      </c>
      <c r="AE109" s="38">
        <v>0.45</v>
      </c>
      <c r="AG109" s="64"/>
      <c r="AH109" s="64"/>
      <c r="AI109" s="64"/>
      <c r="AJ109" s="64"/>
      <c r="AK109" s="64"/>
      <c r="AL109" s="64"/>
      <c r="AM109" s="64"/>
      <c r="AN109" s="64"/>
      <c r="AO109" s="64"/>
      <c r="AP109" s="64"/>
    </row>
    <row r="110" spans="1:42">
      <c r="A110" s="119">
        <v>109</v>
      </c>
      <c r="B110" s="18">
        <v>4</v>
      </c>
      <c r="C110" s="18" t="s">
        <v>178</v>
      </c>
      <c r="D110" s="18">
        <v>7</v>
      </c>
      <c r="E110" s="18">
        <v>0</v>
      </c>
      <c r="F110" s="18">
        <v>114</v>
      </c>
      <c r="G110" s="18">
        <v>680665</v>
      </c>
      <c r="H110" s="18">
        <v>9357118</v>
      </c>
      <c r="I110" s="34">
        <v>41975</v>
      </c>
      <c r="J110" s="35">
        <v>0.40347222222222223</v>
      </c>
      <c r="K110" s="36">
        <v>41982</v>
      </c>
      <c r="L110" s="35">
        <v>0.36458333333333331</v>
      </c>
      <c r="M110" s="37">
        <v>10027</v>
      </c>
      <c r="N110" s="38">
        <f t="shared" si="3"/>
        <v>167.11666666666667</v>
      </c>
      <c r="O110" s="37">
        <v>6</v>
      </c>
      <c r="P110" s="18" t="s">
        <v>104</v>
      </c>
      <c r="Q110" s="26">
        <v>41977</v>
      </c>
      <c r="R110" s="27">
        <v>0.51944444444444449</v>
      </c>
      <c r="S110" s="18">
        <v>3</v>
      </c>
      <c r="T110" s="18">
        <v>1</v>
      </c>
      <c r="U110" s="18">
        <v>0</v>
      </c>
      <c r="V110" s="22">
        <v>0</v>
      </c>
      <c r="W110" s="20">
        <v>0</v>
      </c>
      <c r="X110" s="24">
        <v>0</v>
      </c>
      <c r="Y110" s="25">
        <v>0</v>
      </c>
      <c r="Z110" s="25">
        <v>0</v>
      </c>
      <c r="AA110" s="25">
        <v>1</v>
      </c>
      <c r="AB110" s="25">
        <v>13</v>
      </c>
      <c r="AC110" s="25">
        <v>1.6</v>
      </c>
      <c r="AD110" s="25">
        <v>0.34</v>
      </c>
      <c r="AE110" s="45">
        <v>7.0000000000000007E-2</v>
      </c>
      <c r="AG110" s="64"/>
      <c r="AH110" s="64"/>
      <c r="AI110" s="64"/>
      <c r="AJ110" s="64"/>
      <c r="AK110" s="64"/>
      <c r="AL110" s="64"/>
      <c r="AM110" s="64"/>
      <c r="AN110" s="64"/>
      <c r="AO110" s="64"/>
      <c r="AP110" s="64"/>
    </row>
    <row r="111" spans="1:42">
      <c r="A111" s="121">
        <v>110</v>
      </c>
      <c r="B111" s="18">
        <v>4</v>
      </c>
      <c r="C111" s="18" t="s">
        <v>178</v>
      </c>
      <c r="D111" s="18">
        <v>7</v>
      </c>
      <c r="E111" s="18">
        <v>0</v>
      </c>
      <c r="F111" s="18">
        <v>114</v>
      </c>
      <c r="G111" s="18">
        <v>680665</v>
      </c>
      <c r="H111" s="18">
        <v>9357118</v>
      </c>
      <c r="I111" s="34">
        <v>41975</v>
      </c>
      <c r="J111" s="35">
        <v>0.40347222222222223</v>
      </c>
      <c r="K111" s="36">
        <v>41982</v>
      </c>
      <c r="L111" s="35">
        <v>0.36458333333333331</v>
      </c>
      <c r="M111" s="37">
        <v>10027</v>
      </c>
      <c r="N111" s="38">
        <f t="shared" si="3"/>
        <v>167.11666666666667</v>
      </c>
      <c r="O111" s="37">
        <v>6</v>
      </c>
      <c r="P111" s="18" t="s">
        <v>84</v>
      </c>
      <c r="Q111" s="26">
        <v>41977</v>
      </c>
      <c r="R111" s="27">
        <v>0.76388888888888884</v>
      </c>
      <c r="S111" s="18">
        <v>1</v>
      </c>
      <c r="T111" s="18">
        <v>1</v>
      </c>
      <c r="U111" s="18">
        <v>1</v>
      </c>
      <c r="V111" s="22">
        <v>0</v>
      </c>
      <c r="W111" s="20">
        <v>1</v>
      </c>
      <c r="X111" s="24">
        <v>0</v>
      </c>
      <c r="Y111" s="25">
        <v>0</v>
      </c>
      <c r="Z111" s="25">
        <v>0</v>
      </c>
      <c r="AA111" s="25">
        <v>0</v>
      </c>
      <c r="AB111" s="25">
        <v>5</v>
      </c>
      <c r="AC111" s="25">
        <v>2.23</v>
      </c>
      <c r="AD111" s="25">
        <v>5.4</v>
      </c>
      <c r="AE111" s="45">
        <v>0.22</v>
      </c>
    </row>
    <row r="112" spans="1:42">
      <c r="A112" s="119">
        <v>111</v>
      </c>
      <c r="B112" s="18">
        <v>4</v>
      </c>
      <c r="C112" s="18" t="s">
        <v>178</v>
      </c>
      <c r="D112" s="18">
        <v>7</v>
      </c>
      <c r="E112" s="18">
        <v>0</v>
      </c>
      <c r="F112" s="18">
        <v>114</v>
      </c>
      <c r="G112" s="18">
        <v>680665</v>
      </c>
      <c r="H112" s="18">
        <v>9357118</v>
      </c>
      <c r="I112" s="34">
        <v>41975</v>
      </c>
      <c r="J112" s="35">
        <v>0.40347222222222223</v>
      </c>
      <c r="K112" s="36">
        <v>41982</v>
      </c>
      <c r="L112" s="35">
        <v>0.36458333333333331</v>
      </c>
      <c r="M112" s="37">
        <v>10027</v>
      </c>
      <c r="N112" s="38">
        <f t="shared" si="3"/>
        <v>167.11666666666667</v>
      </c>
      <c r="O112" s="37">
        <v>6</v>
      </c>
      <c r="P112" s="18" t="s">
        <v>107</v>
      </c>
      <c r="Q112" s="26">
        <v>41978</v>
      </c>
      <c r="R112" s="27">
        <v>0.18124999999999999</v>
      </c>
      <c r="S112" s="18">
        <v>1</v>
      </c>
      <c r="T112" s="18">
        <v>1</v>
      </c>
      <c r="U112" s="18">
        <v>1</v>
      </c>
      <c r="V112" s="22">
        <v>0</v>
      </c>
      <c r="W112" s="20">
        <v>1</v>
      </c>
      <c r="X112" s="24">
        <v>0</v>
      </c>
      <c r="Y112" s="25">
        <v>0</v>
      </c>
      <c r="Z112" s="25">
        <v>0</v>
      </c>
      <c r="AA112" s="25">
        <v>0</v>
      </c>
      <c r="AB112" s="25">
        <v>35</v>
      </c>
      <c r="AC112" s="25">
        <v>4.66</v>
      </c>
      <c r="AD112" s="25">
        <v>4.5</v>
      </c>
      <c r="AE112" s="45">
        <v>0.38</v>
      </c>
    </row>
    <row r="113" spans="1:42">
      <c r="A113" s="119">
        <v>112</v>
      </c>
      <c r="B113" s="18">
        <v>4</v>
      </c>
      <c r="C113" s="18" t="s">
        <v>178</v>
      </c>
      <c r="D113" s="18">
        <v>7</v>
      </c>
      <c r="E113" s="18">
        <v>0</v>
      </c>
      <c r="F113" s="18">
        <v>114</v>
      </c>
      <c r="G113" s="18">
        <v>680665</v>
      </c>
      <c r="H113" s="18">
        <v>9357118</v>
      </c>
      <c r="I113" s="34">
        <v>41975</v>
      </c>
      <c r="J113" s="35">
        <v>0.40347222222222223</v>
      </c>
      <c r="K113" s="36">
        <v>41982</v>
      </c>
      <c r="L113" s="35">
        <v>0.36458333333333331</v>
      </c>
      <c r="M113" s="37">
        <v>10027</v>
      </c>
      <c r="N113" s="38">
        <f t="shared" si="3"/>
        <v>167.11666666666667</v>
      </c>
      <c r="O113" s="37">
        <v>6</v>
      </c>
      <c r="P113" s="18" t="s">
        <v>92</v>
      </c>
      <c r="Q113" s="26">
        <v>41979</v>
      </c>
      <c r="R113" s="27">
        <v>0.21597222222222223</v>
      </c>
      <c r="S113" s="18">
        <v>3</v>
      </c>
      <c r="T113" s="18">
        <v>1</v>
      </c>
      <c r="U113" s="18">
        <v>1</v>
      </c>
      <c r="V113" s="22">
        <v>1</v>
      </c>
      <c r="W113" s="20">
        <v>0</v>
      </c>
      <c r="X113" s="24">
        <v>0</v>
      </c>
      <c r="Y113" s="25">
        <v>0</v>
      </c>
      <c r="Z113" s="25">
        <v>0</v>
      </c>
      <c r="AA113" s="25">
        <v>0</v>
      </c>
      <c r="AB113" s="25">
        <v>10</v>
      </c>
      <c r="AC113" s="25">
        <v>4.25</v>
      </c>
      <c r="AD113" s="25">
        <v>3.3</v>
      </c>
      <c r="AE113" s="45">
        <v>0.11</v>
      </c>
      <c r="AG113" s="64"/>
      <c r="AH113" s="64"/>
      <c r="AI113" s="64"/>
      <c r="AJ113" s="64"/>
      <c r="AK113" s="64"/>
      <c r="AL113" s="64"/>
      <c r="AM113" s="64"/>
      <c r="AN113" s="64"/>
      <c r="AO113" s="64"/>
      <c r="AP113" s="64"/>
    </row>
    <row r="114" spans="1:42">
      <c r="A114" s="119">
        <v>113</v>
      </c>
      <c r="B114" s="18">
        <v>4</v>
      </c>
      <c r="C114" s="18" t="s">
        <v>178</v>
      </c>
      <c r="D114" s="18">
        <v>7</v>
      </c>
      <c r="E114" s="18">
        <v>0</v>
      </c>
      <c r="F114" s="18">
        <v>114</v>
      </c>
      <c r="G114" s="18">
        <v>680665</v>
      </c>
      <c r="H114" s="18">
        <v>9357118</v>
      </c>
      <c r="I114" s="34">
        <v>41975</v>
      </c>
      <c r="J114" s="35">
        <v>0.40347222222222223</v>
      </c>
      <c r="K114" s="36">
        <v>41982</v>
      </c>
      <c r="L114" s="35">
        <v>0.36458333333333331</v>
      </c>
      <c r="M114" s="37">
        <v>10027</v>
      </c>
      <c r="N114" s="38">
        <f t="shared" si="3"/>
        <v>167.11666666666667</v>
      </c>
      <c r="O114" s="37">
        <v>6</v>
      </c>
      <c r="P114" s="18" t="s">
        <v>118</v>
      </c>
      <c r="Q114" s="26">
        <v>41982</v>
      </c>
      <c r="R114" s="27">
        <v>0.34513888888888888</v>
      </c>
      <c r="S114" s="18">
        <v>3</v>
      </c>
      <c r="T114" s="18">
        <v>1</v>
      </c>
      <c r="U114" s="18">
        <v>1</v>
      </c>
      <c r="V114" s="22">
        <v>0</v>
      </c>
      <c r="W114" s="20">
        <v>0</v>
      </c>
      <c r="X114" s="24">
        <v>0</v>
      </c>
      <c r="Y114" s="25">
        <v>0</v>
      </c>
      <c r="Z114" s="25">
        <v>0</v>
      </c>
      <c r="AA114" s="25">
        <v>1</v>
      </c>
      <c r="AB114" s="25"/>
      <c r="AC114" s="25"/>
      <c r="AD114" s="25"/>
      <c r="AE114" s="45"/>
      <c r="AG114" s="64"/>
      <c r="AH114" s="64"/>
      <c r="AI114" s="64"/>
      <c r="AJ114" s="64"/>
      <c r="AK114" s="64"/>
      <c r="AL114" s="64"/>
      <c r="AM114" s="64"/>
      <c r="AN114" s="64"/>
      <c r="AO114" s="64"/>
      <c r="AP114" s="64"/>
    </row>
    <row r="115" spans="1:42">
      <c r="A115" s="119">
        <v>114</v>
      </c>
      <c r="B115" s="18">
        <v>5</v>
      </c>
      <c r="C115" s="18" t="s">
        <v>179</v>
      </c>
      <c r="D115" s="18">
        <v>7</v>
      </c>
      <c r="E115" s="18">
        <v>0</v>
      </c>
      <c r="F115" s="18">
        <v>55</v>
      </c>
      <c r="G115" s="18">
        <v>680936</v>
      </c>
      <c r="H115" s="18">
        <v>9356906</v>
      </c>
      <c r="I115" s="34">
        <v>41975</v>
      </c>
      <c r="J115" s="35">
        <v>0.42708333333333331</v>
      </c>
      <c r="K115" s="36">
        <v>41982</v>
      </c>
      <c r="L115" s="35">
        <v>0.39583333333333331</v>
      </c>
      <c r="M115" s="37">
        <v>10035</v>
      </c>
      <c r="N115" s="38">
        <f t="shared" si="3"/>
        <v>167.25</v>
      </c>
      <c r="O115" s="37">
        <v>0</v>
      </c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</row>
    <row r="116" spans="1:42">
      <c r="A116" s="119">
        <v>115</v>
      </c>
      <c r="B116" s="18">
        <v>6</v>
      </c>
      <c r="C116" s="18" t="s">
        <v>180</v>
      </c>
      <c r="D116" s="18">
        <v>7</v>
      </c>
      <c r="E116" s="18">
        <v>0</v>
      </c>
      <c r="F116" s="18">
        <v>55</v>
      </c>
      <c r="G116" s="18">
        <v>680936</v>
      </c>
      <c r="H116" s="18">
        <v>9356906</v>
      </c>
      <c r="I116" s="34">
        <v>41975</v>
      </c>
      <c r="J116" s="35">
        <v>0.42708333333333331</v>
      </c>
      <c r="K116" s="36">
        <v>41982</v>
      </c>
      <c r="L116" s="35">
        <v>0.39583333333333331</v>
      </c>
      <c r="M116" s="37">
        <v>10035</v>
      </c>
      <c r="N116" s="38">
        <f t="shared" si="3"/>
        <v>167.25</v>
      </c>
      <c r="O116" s="37">
        <v>2</v>
      </c>
      <c r="P116" s="18" t="s">
        <v>104</v>
      </c>
      <c r="Q116" s="26">
        <v>41977</v>
      </c>
      <c r="R116" s="27">
        <v>0.52430555555555558</v>
      </c>
      <c r="S116" s="18">
        <v>3</v>
      </c>
      <c r="T116" s="18">
        <v>2</v>
      </c>
      <c r="U116" s="18">
        <v>1</v>
      </c>
      <c r="V116" s="22">
        <v>0</v>
      </c>
      <c r="W116" s="20">
        <v>0</v>
      </c>
      <c r="X116" s="24">
        <v>0</v>
      </c>
      <c r="Y116" s="25">
        <v>0</v>
      </c>
      <c r="Z116" s="25">
        <v>1</v>
      </c>
      <c r="AA116" s="25">
        <v>1</v>
      </c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</row>
    <row r="117" spans="1:42">
      <c r="A117" s="119">
        <v>116</v>
      </c>
      <c r="B117" s="18">
        <v>6</v>
      </c>
      <c r="C117" s="18" t="s">
        <v>180</v>
      </c>
      <c r="D117" s="18">
        <v>7</v>
      </c>
      <c r="E117" s="18">
        <v>0</v>
      </c>
      <c r="F117" s="18">
        <v>982</v>
      </c>
      <c r="G117" s="18">
        <v>670890</v>
      </c>
      <c r="H117" s="18">
        <v>9358261</v>
      </c>
      <c r="I117" s="34">
        <v>41976</v>
      </c>
      <c r="J117" s="35">
        <v>0.37083333333333335</v>
      </c>
      <c r="K117" s="36">
        <v>41976</v>
      </c>
      <c r="L117" s="35">
        <v>0.44097222222222227</v>
      </c>
      <c r="M117" s="37">
        <v>10129</v>
      </c>
      <c r="N117" s="38">
        <f t="shared" si="3"/>
        <v>168.81666666666666</v>
      </c>
      <c r="O117" s="37">
        <v>2</v>
      </c>
      <c r="P117" s="18" t="s">
        <v>84</v>
      </c>
      <c r="Q117" s="26">
        <v>41979</v>
      </c>
      <c r="R117" s="27">
        <v>0.21597222222222223</v>
      </c>
      <c r="S117" s="18">
        <v>1</v>
      </c>
      <c r="T117" s="18">
        <v>3</v>
      </c>
      <c r="U117" s="18">
        <v>3</v>
      </c>
      <c r="V117" s="22">
        <v>2</v>
      </c>
      <c r="W117" s="20">
        <v>1</v>
      </c>
      <c r="X117" s="24">
        <v>0</v>
      </c>
      <c r="Y117" s="25">
        <v>0</v>
      </c>
      <c r="Z117" s="25">
        <v>0</v>
      </c>
      <c r="AA117" s="25">
        <v>0</v>
      </c>
      <c r="AB117" s="25">
        <v>30</v>
      </c>
      <c r="AC117" s="25">
        <v>1.9</v>
      </c>
      <c r="AD117" s="25">
        <v>0</v>
      </c>
      <c r="AE117" s="45">
        <v>0</v>
      </c>
    </row>
    <row r="118" spans="1:42">
      <c r="A118" s="119">
        <v>117</v>
      </c>
      <c r="B118" s="25">
        <v>7</v>
      </c>
      <c r="C118" s="25" t="s">
        <v>181</v>
      </c>
      <c r="D118" s="25">
        <v>7</v>
      </c>
      <c r="E118" s="25">
        <v>0</v>
      </c>
      <c r="F118" s="25">
        <v>1177</v>
      </c>
      <c r="G118" s="25">
        <v>680053</v>
      </c>
      <c r="H118" s="25">
        <v>9358402</v>
      </c>
      <c r="I118" s="42">
        <v>41976</v>
      </c>
      <c r="J118" s="43">
        <v>0.38750000000000001</v>
      </c>
      <c r="K118" s="44">
        <v>41983</v>
      </c>
      <c r="L118" s="43">
        <v>0.42708333333333331</v>
      </c>
      <c r="M118" s="28">
        <v>10137</v>
      </c>
      <c r="N118" s="45">
        <f t="shared" si="3"/>
        <v>168.95</v>
      </c>
      <c r="O118" s="28">
        <v>1</v>
      </c>
      <c r="P118" s="25" t="s">
        <v>101</v>
      </c>
      <c r="Q118" s="46">
        <v>41976</v>
      </c>
      <c r="R118" s="47">
        <v>0.54861111111111105</v>
      </c>
      <c r="S118" s="25">
        <v>3</v>
      </c>
      <c r="T118" s="25">
        <v>1</v>
      </c>
      <c r="U118" s="25">
        <v>1</v>
      </c>
      <c r="V118" s="22">
        <v>0</v>
      </c>
      <c r="W118" s="20">
        <v>0</v>
      </c>
      <c r="X118" s="24">
        <v>0</v>
      </c>
      <c r="Y118" s="25"/>
      <c r="Z118" s="25"/>
      <c r="AA118" s="25">
        <v>1</v>
      </c>
      <c r="AB118" s="25"/>
      <c r="AC118" s="25"/>
      <c r="AD118" s="25"/>
      <c r="AE118" s="45"/>
      <c r="AF118" s="25"/>
      <c r="AG118" s="64"/>
      <c r="AH118" s="64"/>
      <c r="AI118" s="64"/>
      <c r="AJ118" s="64"/>
      <c r="AK118" s="64"/>
      <c r="AL118" s="64"/>
      <c r="AM118" s="64"/>
      <c r="AN118" s="64"/>
      <c r="AO118" s="64"/>
      <c r="AP118" s="64"/>
    </row>
    <row r="119" spans="1:42">
      <c r="A119" s="119">
        <v>118</v>
      </c>
      <c r="B119" s="18">
        <v>8</v>
      </c>
      <c r="C119" s="18" t="s">
        <v>182</v>
      </c>
      <c r="D119" s="18">
        <v>7</v>
      </c>
      <c r="E119" s="18">
        <v>0</v>
      </c>
      <c r="F119" s="18">
        <v>1269</v>
      </c>
      <c r="G119" s="18">
        <v>679497</v>
      </c>
      <c r="H119" s="18">
        <v>9358551</v>
      </c>
      <c r="I119" s="34">
        <v>41976</v>
      </c>
      <c r="J119" s="35">
        <v>0.43402777777777773</v>
      </c>
      <c r="K119" s="36">
        <v>41983</v>
      </c>
      <c r="L119" s="35">
        <v>0.39583333333333331</v>
      </c>
      <c r="M119" s="37">
        <v>10025</v>
      </c>
      <c r="N119" s="38">
        <f t="shared" si="3"/>
        <v>167.08333333333334</v>
      </c>
      <c r="O119" s="37">
        <v>6</v>
      </c>
      <c r="P119" s="18" t="s">
        <v>104</v>
      </c>
      <c r="Q119" s="26">
        <v>41976</v>
      </c>
      <c r="R119" s="27">
        <v>0.65277777777777779</v>
      </c>
      <c r="S119" s="18">
        <v>3</v>
      </c>
      <c r="T119" s="18">
        <v>2</v>
      </c>
      <c r="U119" s="18">
        <v>1</v>
      </c>
      <c r="V119" s="22">
        <v>1</v>
      </c>
      <c r="W119" s="20">
        <v>1</v>
      </c>
      <c r="X119" s="24">
        <v>0</v>
      </c>
      <c r="Y119" s="25">
        <v>0</v>
      </c>
      <c r="Z119" s="25">
        <v>0</v>
      </c>
      <c r="AA119" s="25">
        <v>0</v>
      </c>
      <c r="AB119" s="25"/>
      <c r="AC119" s="25"/>
      <c r="AD119" s="25"/>
      <c r="AG119" s="64"/>
      <c r="AH119" s="64"/>
      <c r="AI119" s="64"/>
      <c r="AJ119" s="64"/>
      <c r="AK119" s="64"/>
      <c r="AL119" s="64"/>
      <c r="AM119" s="64"/>
      <c r="AN119" s="64"/>
      <c r="AO119" s="64"/>
      <c r="AP119" s="64"/>
    </row>
    <row r="120" spans="1:42">
      <c r="A120" s="119">
        <v>119</v>
      </c>
      <c r="B120" s="18">
        <v>8</v>
      </c>
      <c r="C120" s="18" t="s">
        <v>182</v>
      </c>
      <c r="D120" s="18">
        <v>7</v>
      </c>
      <c r="E120" s="18">
        <v>0</v>
      </c>
      <c r="F120" s="18">
        <v>1269</v>
      </c>
      <c r="G120" s="18">
        <v>679497</v>
      </c>
      <c r="H120" s="18">
        <v>9358551</v>
      </c>
      <c r="I120" s="34">
        <v>41976</v>
      </c>
      <c r="J120" s="35">
        <v>0.43402777777777773</v>
      </c>
      <c r="K120" s="36">
        <v>41983</v>
      </c>
      <c r="L120" s="35">
        <v>0.39583333333333331</v>
      </c>
      <c r="M120" s="37">
        <v>10025</v>
      </c>
      <c r="N120" s="38">
        <f t="shared" si="3"/>
        <v>167.08333333333334</v>
      </c>
      <c r="O120" s="37">
        <v>6</v>
      </c>
      <c r="P120" s="18" t="s">
        <v>84</v>
      </c>
      <c r="Q120" s="26">
        <v>41977</v>
      </c>
      <c r="R120" s="27">
        <v>0.3</v>
      </c>
      <c r="S120" s="18">
        <v>3</v>
      </c>
      <c r="T120" s="18">
        <v>1</v>
      </c>
      <c r="U120" s="18">
        <v>1</v>
      </c>
      <c r="V120" s="22">
        <v>0</v>
      </c>
      <c r="W120" s="20">
        <v>0</v>
      </c>
      <c r="X120" s="24">
        <v>0</v>
      </c>
      <c r="Y120" s="25">
        <v>0</v>
      </c>
      <c r="Z120" s="25">
        <v>0</v>
      </c>
      <c r="AA120" s="25">
        <v>1</v>
      </c>
      <c r="AB120" s="25">
        <v>20</v>
      </c>
      <c r="AC120" s="25">
        <v>3.4</v>
      </c>
      <c r="AD120" s="25">
        <v>0.3</v>
      </c>
      <c r="AE120" s="45">
        <v>0.3</v>
      </c>
      <c r="AG120" s="64"/>
      <c r="AH120" s="64"/>
      <c r="AI120" s="64"/>
      <c r="AJ120" s="64"/>
      <c r="AK120" s="64"/>
      <c r="AL120" s="64"/>
      <c r="AM120" s="64"/>
      <c r="AN120" s="64"/>
      <c r="AO120" s="64"/>
      <c r="AP120" s="64"/>
    </row>
    <row r="121" spans="1:42">
      <c r="A121" s="119">
        <v>120</v>
      </c>
      <c r="B121" s="18">
        <v>8</v>
      </c>
      <c r="C121" s="18" t="s">
        <v>182</v>
      </c>
      <c r="D121" s="18">
        <v>7</v>
      </c>
      <c r="E121" s="18">
        <v>0</v>
      </c>
      <c r="F121" s="18">
        <v>1269</v>
      </c>
      <c r="G121" s="18">
        <v>679497</v>
      </c>
      <c r="H121" s="18">
        <v>9358551</v>
      </c>
      <c r="I121" s="34">
        <v>41976</v>
      </c>
      <c r="J121" s="35">
        <v>0.43402777777777773</v>
      </c>
      <c r="K121" s="36">
        <v>41983</v>
      </c>
      <c r="L121" s="35">
        <v>0.39583333333333331</v>
      </c>
      <c r="M121" s="37">
        <v>10025</v>
      </c>
      <c r="N121" s="38">
        <f t="shared" si="3"/>
        <v>167.08333333333334</v>
      </c>
      <c r="O121" s="37">
        <v>6</v>
      </c>
      <c r="P121" s="18" t="s">
        <v>107</v>
      </c>
      <c r="Q121" s="26">
        <v>41978</v>
      </c>
      <c r="R121" s="27">
        <v>0.3979166666666667</v>
      </c>
      <c r="S121" s="18">
        <v>3</v>
      </c>
      <c r="T121" s="18">
        <v>1</v>
      </c>
      <c r="U121" s="18">
        <v>1</v>
      </c>
      <c r="V121" s="22">
        <v>0</v>
      </c>
      <c r="W121" s="20">
        <v>1</v>
      </c>
      <c r="X121" s="24">
        <v>0</v>
      </c>
      <c r="Y121" s="25">
        <v>0</v>
      </c>
      <c r="Z121" s="25">
        <v>0</v>
      </c>
      <c r="AA121" s="25">
        <v>0</v>
      </c>
      <c r="AB121" s="25"/>
      <c r="AC121" s="25"/>
      <c r="AD121" s="25"/>
      <c r="AE121" s="45"/>
      <c r="AG121" s="64"/>
      <c r="AH121" s="64"/>
      <c r="AI121" s="64"/>
      <c r="AJ121" s="64"/>
      <c r="AK121" s="64"/>
      <c r="AL121" s="191"/>
      <c r="AM121" s="64"/>
      <c r="AN121" s="64"/>
      <c r="AO121" s="64"/>
      <c r="AP121" s="64"/>
    </row>
    <row r="122" spans="1:42">
      <c r="A122" s="119">
        <v>121</v>
      </c>
      <c r="B122" s="18">
        <v>8</v>
      </c>
      <c r="C122" s="18" t="s">
        <v>182</v>
      </c>
      <c r="D122" s="18">
        <v>7</v>
      </c>
      <c r="E122" s="18">
        <v>0</v>
      </c>
      <c r="F122" s="18">
        <v>1269</v>
      </c>
      <c r="G122" s="18">
        <v>679497</v>
      </c>
      <c r="H122" s="18">
        <v>9358551</v>
      </c>
      <c r="I122" s="34">
        <v>41976</v>
      </c>
      <c r="J122" s="35">
        <v>0.43402777777777773</v>
      </c>
      <c r="K122" s="36">
        <v>41983</v>
      </c>
      <c r="L122" s="35">
        <v>0.39583333333333331</v>
      </c>
      <c r="M122" s="37">
        <v>10025</v>
      </c>
      <c r="N122" s="38">
        <f t="shared" si="3"/>
        <v>167.08333333333334</v>
      </c>
      <c r="O122" s="37">
        <v>6</v>
      </c>
      <c r="P122" s="18" t="s">
        <v>92</v>
      </c>
      <c r="Q122" s="26">
        <v>41978</v>
      </c>
      <c r="R122" s="27">
        <v>0.56736111111111109</v>
      </c>
      <c r="S122" s="18">
        <v>3</v>
      </c>
      <c r="T122" s="18">
        <v>1</v>
      </c>
      <c r="U122" s="18">
        <v>1</v>
      </c>
      <c r="V122" s="22">
        <v>1</v>
      </c>
      <c r="W122" s="20">
        <v>0</v>
      </c>
      <c r="X122" s="24">
        <v>0</v>
      </c>
      <c r="Y122" s="25">
        <v>0</v>
      </c>
      <c r="Z122" s="25">
        <v>0</v>
      </c>
      <c r="AA122" s="25">
        <v>0</v>
      </c>
      <c r="AB122" s="25"/>
      <c r="AC122" s="25"/>
      <c r="AD122" s="25"/>
      <c r="AE122" s="45"/>
      <c r="AG122" s="64"/>
      <c r="AH122" s="64"/>
      <c r="AI122" s="64"/>
      <c r="AJ122" s="64"/>
      <c r="AK122" s="64"/>
      <c r="AL122" s="64"/>
      <c r="AM122" s="64"/>
      <c r="AN122" s="64"/>
      <c r="AO122" s="64"/>
      <c r="AP122" s="64"/>
    </row>
    <row r="123" spans="1:42">
      <c r="A123" s="119">
        <v>122</v>
      </c>
      <c r="B123" s="18">
        <v>8</v>
      </c>
      <c r="C123" s="18" t="s">
        <v>182</v>
      </c>
      <c r="D123" s="18">
        <v>7</v>
      </c>
      <c r="E123" s="18">
        <v>0</v>
      </c>
      <c r="F123" s="18">
        <v>1269</v>
      </c>
      <c r="G123" s="18">
        <v>679497</v>
      </c>
      <c r="H123" s="18">
        <v>9358551</v>
      </c>
      <c r="I123" s="34">
        <v>41976</v>
      </c>
      <c r="J123" s="35">
        <v>0.43402777777777773</v>
      </c>
      <c r="K123" s="36">
        <v>41983</v>
      </c>
      <c r="L123" s="35">
        <v>0.39583333333333331</v>
      </c>
      <c r="M123" s="37">
        <v>10025</v>
      </c>
      <c r="N123" s="38">
        <f t="shared" si="3"/>
        <v>167.08333333333334</v>
      </c>
      <c r="O123" s="37">
        <v>6</v>
      </c>
      <c r="P123" s="18" t="s">
        <v>118</v>
      </c>
      <c r="Q123" s="26">
        <v>41981</v>
      </c>
      <c r="R123" s="27">
        <v>0.31041666666666667</v>
      </c>
      <c r="S123" s="18">
        <v>3</v>
      </c>
      <c r="T123" s="18">
        <v>1</v>
      </c>
      <c r="U123" s="18">
        <v>1</v>
      </c>
      <c r="V123" s="22">
        <v>1</v>
      </c>
      <c r="W123" s="20">
        <v>0</v>
      </c>
      <c r="X123" s="24">
        <v>0</v>
      </c>
      <c r="Y123" s="25">
        <v>0</v>
      </c>
      <c r="Z123" s="25">
        <v>0</v>
      </c>
      <c r="AA123" s="25">
        <v>0</v>
      </c>
      <c r="AB123" s="25"/>
      <c r="AC123" s="25"/>
      <c r="AD123" s="25"/>
      <c r="AE123" s="45"/>
      <c r="AG123" s="64"/>
      <c r="AH123" s="64"/>
      <c r="AI123" s="64"/>
      <c r="AJ123" s="64"/>
      <c r="AK123" s="64"/>
      <c r="AL123" s="64"/>
      <c r="AM123" s="64"/>
      <c r="AN123" s="64"/>
      <c r="AO123" s="64"/>
      <c r="AP123" s="64"/>
    </row>
    <row r="124" spans="1:42">
      <c r="A124" s="119">
        <v>123</v>
      </c>
      <c r="B124" s="18">
        <v>8</v>
      </c>
      <c r="C124" s="18" t="s">
        <v>182</v>
      </c>
      <c r="D124" s="18">
        <v>7</v>
      </c>
      <c r="E124" s="18">
        <v>0</v>
      </c>
      <c r="F124" s="18">
        <v>1269</v>
      </c>
      <c r="G124" s="18">
        <v>679497</v>
      </c>
      <c r="H124" s="18">
        <v>9358551</v>
      </c>
      <c r="I124" s="34">
        <v>41976</v>
      </c>
      <c r="J124" s="35">
        <v>0.43402777777777773</v>
      </c>
      <c r="K124" s="36">
        <v>41983</v>
      </c>
      <c r="L124" s="35">
        <v>0.39583333333333331</v>
      </c>
      <c r="M124" s="37">
        <v>10025</v>
      </c>
      <c r="N124" s="38">
        <f t="shared" si="3"/>
        <v>167.08333333333334</v>
      </c>
      <c r="O124" s="37">
        <v>9</v>
      </c>
      <c r="P124" s="18" t="s">
        <v>120</v>
      </c>
      <c r="Q124" s="26">
        <v>41981</v>
      </c>
      <c r="R124" s="27">
        <v>0.50138888888888888</v>
      </c>
      <c r="S124" s="18">
        <v>3</v>
      </c>
      <c r="T124" s="18">
        <v>1</v>
      </c>
      <c r="U124" s="18">
        <v>1</v>
      </c>
      <c r="V124" s="22">
        <v>0</v>
      </c>
      <c r="W124" s="20">
        <v>0</v>
      </c>
      <c r="X124" s="24">
        <v>0</v>
      </c>
      <c r="Y124" s="25">
        <v>0</v>
      </c>
      <c r="Z124" s="25">
        <v>0</v>
      </c>
      <c r="AA124" s="25">
        <v>1</v>
      </c>
      <c r="AB124" s="25"/>
      <c r="AC124" s="25"/>
      <c r="AD124" s="25"/>
      <c r="AE124" s="45"/>
      <c r="AG124" s="64"/>
      <c r="AH124" s="64"/>
      <c r="AI124" s="64"/>
      <c r="AJ124" s="64"/>
      <c r="AK124" s="64"/>
      <c r="AL124" s="64"/>
      <c r="AM124" s="64"/>
      <c r="AN124" s="64"/>
      <c r="AO124" s="64"/>
      <c r="AP124" s="64"/>
    </row>
    <row r="125" spans="1:42" s="25" customFormat="1">
      <c r="A125" s="119">
        <v>124</v>
      </c>
      <c r="B125" s="25">
        <v>9</v>
      </c>
      <c r="C125" s="25" t="s">
        <v>183</v>
      </c>
      <c r="D125" s="25">
        <v>7</v>
      </c>
      <c r="E125" s="18">
        <v>0</v>
      </c>
      <c r="F125" s="25">
        <v>975</v>
      </c>
      <c r="G125" s="25">
        <v>679165</v>
      </c>
      <c r="H125" s="25">
        <v>9358276</v>
      </c>
      <c r="I125" s="42">
        <v>41982</v>
      </c>
      <c r="J125" s="43">
        <v>0.3833333333333333</v>
      </c>
      <c r="K125" s="44">
        <v>41983</v>
      </c>
      <c r="L125" s="43">
        <v>0.36458333333333331</v>
      </c>
      <c r="M125" s="28">
        <f>10080-27</f>
        <v>10053</v>
      </c>
      <c r="N125" s="45"/>
      <c r="O125" s="28">
        <v>1</v>
      </c>
      <c r="P125" s="25" t="s">
        <v>119</v>
      </c>
      <c r="Q125" s="46">
        <v>41983</v>
      </c>
      <c r="R125" s="47">
        <v>0.4465277777777778</v>
      </c>
      <c r="S125" s="25">
        <v>3</v>
      </c>
      <c r="T125" s="25">
        <v>1</v>
      </c>
      <c r="U125" s="25">
        <v>1</v>
      </c>
      <c r="V125" s="22">
        <v>0</v>
      </c>
      <c r="W125" s="20">
        <v>1</v>
      </c>
      <c r="X125" s="24">
        <v>0</v>
      </c>
      <c r="Y125" s="25">
        <v>0</v>
      </c>
      <c r="Z125" s="25">
        <v>0</v>
      </c>
      <c r="AA125" s="25">
        <v>0</v>
      </c>
      <c r="AE125" s="45"/>
      <c r="AG125" s="64"/>
      <c r="AH125" s="64"/>
      <c r="AI125" s="64"/>
      <c r="AJ125" s="64"/>
      <c r="AK125" s="64"/>
      <c r="AL125" s="64"/>
      <c r="AM125" s="64"/>
      <c r="AN125" s="64"/>
      <c r="AO125" s="64"/>
      <c r="AP125" s="64"/>
    </row>
    <row r="126" spans="1:42" s="68" customFormat="1" ht="15.75" thickBot="1">
      <c r="A126" s="119">
        <v>125</v>
      </c>
      <c r="B126" s="68">
        <v>9</v>
      </c>
      <c r="C126" s="68" t="s">
        <v>183</v>
      </c>
      <c r="D126" s="68">
        <v>7</v>
      </c>
      <c r="E126" s="18">
        <v>0</v>
      </c>
      <c r="F126" s="68">
        <v>975</v>
      </c>
      <c r="G126" s="68">
        <v>679165</v>
      </c>
      <c r="H126" s="68">
        <v>9358276</v>
      </c>
      <c r="I126" s="69">
        <v>41982</v>
      </c>
      <c r="J126" s="70">
        <v>0.3833333333333333</v>
      </c>
      <c r="K126" s="71" t="s">
        <v>190</v>
      </c>
      <c r="L126" s="70"/>
      <c r="M126" s="72"/>
      <c r="N126" s="73"/>
      <c r="O126" s="72">
        <v>3</v>
      </c>
      <c r="P126" s="68" t="s">
        <v>118</v>
      </c>
      <c r="Q126" s="74">
        <v>41985</v>
      </c>
      <c r="R126" s="75">
        <v>0.38263888888888892</v>
      </c>
      <c r="S126" s="68">
        <v>1</v>
      </c>
      <c r="T126" s="68">
        <v>3</v>
      </c>
      <c r="U126" s="68">
        <v>1</v>
      </c>
      <c r="V126" s="39">
        <v>3</v>
      </c>
      <c r="W126" s="40">
        <v>0</v>
      </c>
      <c r="X126" s="41">
        <v>0</v>
      </c>
      <c r="Y126" s="68">
        <v>0</v>
      </c>
      <c r="Z126" s="68">
        <v>0</v>
      </c>
      <c r="AA126" s="68">
        <v>0</v>
      </c>
      <c r="AE126" s="73"/>
    </row>
    <row r="127" spans="1:42">
      <c r="A127" s="119">
        <v>127</v>
      </c>
      <c r="B127" s="18">
        <v>10</v>
      </c>
      <c r="C127" s="18" t="s">
        <v>184</v>
      </c>
      <c r="D127" s="25">
        <v>7</v>
      </c>
      <c r="E127" s="18">
        <v>0</v>
      </c>
      <c r="F127" s="18">
        <v>1479</v>
      </c>
      <c r="G127" s="18">
        <v>679788</v>
      </c>
      <c r="H127" s="18">
        <v>9358755</v>
      </c>
      <c r="I127" s="34">
        <v>41947</v>
      </c>
      <c r="J127" s="35">
        <v>0.36180555555555555</v>
      </c>
      <c r="K127" s="36">
        <v>41984</v>
      </c>
      <c r="L127" s="35">
        <v>0.40833333333333338</v>
      </c>
      <c r="M127" s="37">
        <v>10147</v>
      </c>
      <c r="N127" s="38">
        <f t="shared" ref="N127:N190" si="4">VALUE(M127/60)</f>
        <v>169.11666666666667</v>
      </c>
      <c r="O127" s="37">
        <v>1</v>
      </c>
      <c r="P127" s="25" t="s">
        <v>84</v>
      </c>
      <c r="Q127" s="26">
        <v>41985</v>
      </c>
      <c r="R127" s="27">
        <v>0.17500000000000002</v>
      </c>
      <c r="S127" s="18">
        <v>1</v>
      </c>
      <c r="T127" s="18">
        <v>1</v>
      </c>
      <c r="U127" s="18">
        <v>1</v>
      </c>
      <c r="V127" s="22">
        <v>1</v>
      </c>
      <c r="W127" s="20">
        <v>0</v>
      </c>
      <c r="X127" s="24">
        <v>0</v>
      </c>
      <c r="Y127" s="25">
        <v>0</v>
      </c>
      <c r="Z127" s="25">
        <v>0</v>
      </c>
      <c r="AA127" s="25">
        <v>0</v>
      </c>
      <c r="AB127" s="25">
        <v>10</v>
      </c>
      <c r="AC127" s="25">
        <v>4.24</v>
      </c>
      <c r="AD127" s="25">
        <v>3.6</v>
      </c>
      <c r="AE127" s="45">
        <v>0.17</v>
      </c>
    </row>
    <row r="128" spans="1:42">
      <c r="A128" s="119">
        <v>128</v>
      </c>
      <c r="B128" s="18">
        <v>11</v>
      </c>
      <c r="C128" s="18" t="s">
        <v>185</v>
      </c>
      <c r="D128" s="25">
        <v>7</v>
      </c>
      <c r="E128" s="18">
        <v>0</v>
      </c>
      <c r="F128" s="18">
        <v>1792</v>
      </c>
      <c r="G128" s="18">
        <v>679882</v>
      </c>
      <c r="H128" s="18">
        <v>9359076</v>
      </c>
      <c r="I128" s="34">
        <v>41977</v>
      </c>
      <c r="J128" s="35">
        <v>0.38472222222222219</v>
      </c>
      <c r="K128" s="36">
        <v>41984</v>
      </c>
      <c r="L128" s="35">
        <v>0.42569444444444443</v>
      </c>
      <c r="M128" s="37">
        <v>10139</v>
      </c>
      <c r="N128" s="38">
        <f t="shared" si="4"/>
        <v>168.98333333333332</v>
      </c>
      <c r="O128" s="28">
        <v>0</v>
      </c>
    </row>
    <row r="129" spans="1:42">
      <c r="A129" s="119">
        <v>129</v>
      </c>
      <c r="B129" s="18">
        <v>12</v>
      </c>
      <c r="C129" s="18" t="s">
        <v>186</v>
      </c>
      <c r="D129" s="25">
        <v>7</v>
      </c>
      <c r="E129" s="18">
        <v>0</v>
      </c>
      <c r="F129" s="18">
        <v>1982</v>
      </c>
      <c r="G129" s="18">
        <v>679781</v>
      </c>
      <c r="H129" s="18">
        <v>9359220</v>
      </c>
      <c r="I129" s="34">
        <v>41977</v>
      </c>
      <c r="J129" s="35">
        <v>0.3888888888888889</v>
      </c>
      <c r="K129" s="36">
        <v>41984</v>
      </c>
      <c r="L129" s="35">
        <v>0.43611111111111112</v>
      </c>
      <c r="M129" s="37">
        <v>10148</v>
      </c>
      <c r="N129" s="38">
        <f t="shared" si="4"/>
        <v>169.13333333333333</v>
      </c>
      <c r="O129" s="28">
        <v>4</v>
      </c>
      <c r="P129" s="25" t="s">
        <v>84</v>
      </c>
      <c r="Q129" s="26">
        <v>41977</v>
      </c>
      <c r="R129" s="27">
        <v>0.59236111111111112</v>
      </c>
      <c r="S129" s="25">
        <v>3</v>
      </c>
      <c r="T129" s="25">
        <v>1</v>
      </c>
      <c r="U129" s="25">
        <v>1</v>
      </c>
      <c r="V129" s="22">
        <v>0</v>
      </c>
      <c r="W129" s="20">
        <v>1</v>
      </c>
      <c r="X129" s="24">
        <v>0</v>
      </c>
      <c r="Y129" s="25">
        <v>0</v>
      </c>
      <c r="Z129" s="25">
        <v>0</v>
      </c>
      <c r="AA129" s="25">
        <v>0</v>
      </c>
      <c r="AG129" s="64"/>
      <c r="AH129" s="64"/>
      <c r="AI129" s="64"/>
      <c r="AJ129" s="64"/>
      <c r="AK129" s="64"/>
      <c r="AL129" s="64"/>
      <c r="AM129" s="64"/>
      <c r="AN129" s="64"/>
      <c r="AO129" s="64"/>
      <c r="AP129" s="64"/>
    </row>
    <row r="130" spans="1:42">
      <c r="A130" s="119">
        <v>130</v>
      </c>
      <c r="B130" s="18">
        <v>12</v>
      </c>
      <c r="C130" s="18" t="s">
        <v>186</v>
      </c>
      <c r="D130" s="25">
        <v>7</v>
      </c>
      <c r="E130" s="18">
        <v>0</v>
      </c>
      <c r="F130" s="18">
        <v>1982</v>
      </c>
      <c r="G130" s="18">
        <v>679781</v>
      </c>
      <c r="H130" s="18">
        <v>9359220</v>
      </c>
      <c r="I130" s="34">
        <v>41977</v>
      </c>
      <c r="J130" s="35">
        <v>0.3888888888888889</v>
      </c>
      <c r="K130" s="36">
        <v>41984</v>
      </c>
      <c r="L130" s="35">
        <v>0.43611111111111112</v>
      </c>
      <c r="M130" s="37">
        <v>10148</v>
      </c>
      <c r="N130" s="38">
        <f t="shared" si="4"/>
        <v>169.13333333333333</v>
      </c>
      <c r="O130" s="28">
        <v>4</v>
      </c>
      <c r="P130" s="25" t="s">
        <v>107</v>
      </c>
      <c r="Q130" s="26">
        <v>41978</v>
      </c>
      <c r="R130" s="27">
        <v>0.57430555555555551</v>
      </c>
      <c r="S130" s="25">
        <v>3</v>
      </c>
      <c r="T130" s="25">
        <v>1</v>
      </c>
      <c r="U130" s="25">
        <v>1</v>
      </c>
      <c r="V130" s="22">
        <v>0</v>
      </c>
      <c r="W130" s="20">
        <v>1</v>
      </c>
      <c r="X130" s="24">
        <v>0</v>
      </c>
      <c r="Y130" s="25">
        <v>0</v>
      </c>
      <c r="Z130" s="25">
        <v>0</v>
      </c>
      <c r="AA130" s="25">
        <v>0</v>
      </c>
      <c r="AG130" s="64"/>
      <c r="AH130" s="64"/>
      <c r="AI130" s="64"/>
      <c r="AJ130" s="64"/>
      <c r="AK130" s="64"/>
      <c r="AL130" s="64"/>
      <c r="AM130" s="64"/>
      <c r="AN130" s="64"/>
      <c r="AO130" s="64"/>
      <c r="AP130" s="64"/>
    </row>
    <row r="131" spans="1:42">
      <c r="A131" s="119">
        <v>131</v>
      </c>
      <c r="B131" s="18">
        <v>12</v>
      </c>
      <c r="C131" s="18" t="s">
        <v>186</v>
      </c>
      <c r="D131" s="25">
        <v>7</v>
      </c>
      <c r="E131" s="18">
        <v>0</v>
      </c>
      <c r="F131" s="18">
        <v>1982</v>
      </c>
      <c r="G131" s="18">
        <v>679781</v>
      </c>
      <c r="H131" s="18">
        <v>9359220</v>
      </c>
      <c r="I131" s="34">
        <v>41977</v>
      </c>
      <c r="J131" s="35">
        <v>0.3888888888888889</v>
      </c>
      <c r="K131" s="36">
        <v>41984</v>
      </c>
      <c r="L131" s="35">
        <v>0.43611111111111112</v>
      </c>
      <c r="M131" s="37">
        <v>10148</v>
      </c>
      <c r="N131" s="38">
        <f t="shared" si="4"/>
        <v>169.13333333333333</v>
      </c>
      <c r="O131" s="28">
        <v>4</v>
      </c>
      <c r="P131" s="25" t="s">
        <v>92</v>
      </c>
      <c r="Q131" s="26">
        <v>41978</v>
      </c>
      <c r="R131" s="27">
        <v>0.63958333333333328</v>
      </c>
      <c r="S131" s="25">
        <v>3</v>
      </c>
      <c r="T131" s="25">
        <v>1</v>
      </c>
      <c r="U131" s="25">
        <v>0</v>
      </c>
      <c r="V131" s="22">
        <v>0</v>
      </c>
      <c r="W131" s="20">
        <v>0</v>
      </c>
      <c r="X131" s="24">
        <v>1</v>
      </c>
      <c r="Y131" s="25">
        <v>0</v>
      </c>
      <c r="Z131" s="25">
        <v>0</v>
      </c>
      <c r="AA131" s="25">
        <v>0</v>
      </c>
      <c r="AG131" s="64"/>
      <c r="AH131" s="64"/>
      <c r="AI131" s="64"/>
      <c r="AJ131" s="64"/>
      <c r="AK131" s="64"/>
      <c r="AL131" s="64"/>
      <c r="AM131" s="64"/>
      <c r="AN131" s="64"/>
      <c r="AO131" s="64"/>
      <c r="AP131" s="64"/>
    </row>
    <row r="132" spans="1:42">
      <c r="A132" s="119">
        <v>132</v>
      </c>
      <c r="B132" s="18">
        <v>12</v>
      </c>
      <c r="C132" s="18" t="s">
        <v>186</v>
      </c>
      <c r="D132" s="25">
        <v>7</v>
      </c>
      <c r="E132" s="18">
        <v>0</v>
      </c>
      <c r="F132" s="18">
        <v>1982</v>
      </c>
      <c r="G132" s="18">
        <v>679781</v>
      </c>
      <c r="H132" s="18">
        <v>9359220</v>
      </c>
      <c r="I132" s="34">
        <v>41977</v>
      </c>
      <c r="J132" s="35">
        <v>0.3888888888888889</v>
      </c>
      <c r="K132" s="36">
        <v>41984</v>
      </c>
      <c r="L132" s="35">
        <v>0.43611111111111112</v>
      </c>
      <c r="M132" s="37">
        <v>10148</v>
      </c>
      <c r="N132" s="38">
        <f t="shared" si="4"/>
        <v>169.13333333333333</v>
      </c>
      <c r="O132" s="28">
        <v>4</v>
      </c>
      <c r="P132" s="25" t="s">
        <v>118</v>
      </c>
      <c r="Q132" s="26">
        <v>41982</v>
      </c>
      <c r="R132" s="27">
        <v>0.62708333333333333</v>
      </c>
      <c r="S132" s="25">
        <v>3</v>
      </c>
      <c r="T132" s="25">
        <v>1</v>
      </c>
      <c r="U132" s="25">
        <v>0</v>
      </c>
      <c r="V132" s="22">
        <v>0</v>
      </c>
      <c r="W132" s="20">
        <v>0</v>
      </c>
      <c r="X132" s="24">
        <v>1</v>
      </c>
      <c r="Y132" s="25">
        <v>0</v>
      </c>
      <c r="Z132" s="25">
        <v>0</v>
      </c>
      <c r="AA132" s="25">
        <v>0</v>
      </c>
      <c r="AG132" s="64"/>
      <c r="AH132" s="64"/>
      <c r="AI132" s="64"/>
      <c r="AJ132" s="64"/>
      <c r="AK132" s="64"/>
      <c r="AL132" s="64"/>
      <c r="AM132" s="64"/>
      <c r="AN132" s="64"/>
      <c r="AO132" s="64"/>
      <c r="AP132" s="64"/>
    </row>
    <row r="133" spans="1:42">
      <c r="A133" s="119">
        <v>133</v>
      </c>
      <c r="B133" s="18">
        <v>13</v>
      </c>
      <c r="C133" s="18" t="s">
        <v>187</v>
      </c>
      <c r="D133" s="25">
        <v>7</v>
      </c>
      <c r="E133" s="18">
        <v>0</v>
      </c>
      <c r="F133" s="18">
        <v>2274</v>
      </c>
      <c r="G133" s="18">
        <v>680008</v>
      </c>
      <c r="H133" s="18">
        <v>9359557</v>
      </c>
      <c r="I133" s="34">
        <v>41977</v>
      </c>
      <c r="J133" s="35">
        <v>0.46180555555555558</v>
      </c>
      <c r="K133" s="36">
        <v>41984</v>
      </c>
      <c r="L133" s="35">
        <v>0.46388888888888885</v>
      </c>
      <c r="M133" s="37">
        <v>10083</v>
      </c>
      <c r="N133" s="38">
        <f t="shared" si="4"/>
        <v>168.05</v>
      </c>
      <c r="O133" s="28">
        <v>0</v>
      </c>
    </row>
    <row r="134" spans="1:42">
      <c r="A134" s="119">
        <v>134</v>
      </c>
      <c r="B134" s="18">
        <v>14</v>
      </c>
      <c r="C134" s="18" t="s">
        <v>188</v>
      </c>
      <c r="D134" s="25">
        <v>7</v>
      </c>
      <c r="E134" s="18">
        <v>0</v>
      </c>
      <c r="F134" s="18">
        <v>2556</v>
      </c>
      <c r="G134" s="18">
        <v>680092</v>
      </c>
      <c r="H134" s="18">
        <v>9359843</v>
      </c>
      <c r="I134" s="34">
        <v>41977</v>
      </c>
      <c r="J134" s="35">
        <v>0.44097222222222227</v>
      </c>
      <c r="K134" s="36">
        <v>41984</v>
      </c>
      <c r="L134" s="35">
        <v>0.45069444444444445</v>
      </c>
      <c r="M134" s="37">
        <v>10094</v>
      </c>
      <c r="N134" s="38">
        <f t="shared" si="4"/>
        <v>168.23333333333332</v>
      </c>
      <c r="O134" s="28">
        <v>0</v>
      </c>
    </row>
    <row r="135" spans="1:42">
      <c r="A135" s="119">
        <v>135</v>
      </c>
      <c r="B135" s="18">
        <v>15</v>
      </c>
      <c r="C135" s="18" t="s">
        <v>189</v>
      </c>
      <c r="D135" s="25">
        <v>7</v>
      </c>
      <c r="E135" s="18">
        <v>0</v>
      </c>
      <c r="F135" s="18">
        <v>1259</v>
      </c>
      <c r="G135" s="18">
        <v>678518</v>
      </c>
      <c r="H135" s="18">
        <v>9358575</v>
      </c>
      <c r="I135" s="34">
        <v>41979</v>
      </c>
      <c r="J135" s="35">
        <v>0.36944444444444446</v>
      </c>
      <c r="K135" s="36">
        <v>41986</v>
      </c>
      <c r="L135" s="35">
        <v>0.37777777777777777</v>
      </c>
      <c r="M135" s="37">
        <v>10092</v>
      </c>
      <c r="N135" s="38">
        <f t="shared" si="4"/>
        <v>168.2</v>
      </c>
      <c r="O135" s="28">
        <v>1</v>
      </c>
      <c r="P135" s="18" t="s">
        <v>100</v>
      </c>
      <c r="Q135" s="26">
        <v>41983</v>
      </c>
      <c r="R135" s="27">
        <v>0.37013888888888885</v>
      </c>
      <c r="S135" s="18">
        <v>5</v>
      </c>
      <c r="T135" s="18">
        <v>1</v>
      </c>
      <c r="U135" s="18">
        <v>1</v>
      </c>
      <c r="V135" s="22">
        <v>0</v>
      </c>
      <c r="W135" s="20">
        <v>1</v>
      </c>
      <c r="X135" s="24">
        <v>0</v>
      </c>
      <c r="Y135" s="25">
        <v>0</v>
      </c>
      <c r="Z135" s="25">
        <v>0</v>
      </c>
      <c r="AA135" s="25">
        <v>0</v>
      </c>
    </row>
    <row r="136" spans="1:42">
      <c r="A136" s="119">
        <v>136</v>
      </c>
      <c r="B136" s="18">
        <v>16</v>
      </c>
      <c r="C136" s="18" t="s">
        <v>174</v>
      </c>
      <c r="D136" s="25">
        <v>7</v>
      </c>
      <c r="E136" s="18">
        <v>0</v>
      </c>
      <c r="F136" s="18">
        <v>1569</v>
      </c>
      <c r="G136" s="18">
        <v>678375</v>
      </c>
      <c r="H136" s="18">
        <v>9358833</v>
      </c>
      <c r="I136" s="34">
        <v>41979</v>
      </c>
      <c r="J136" s="35">
        <v>0.38194444444444442</v>
      </c>
      <c r="K136" s="36">
        <v>41986</v>
      </c>
      <c r="L136" s="35">
        <v>0.3888888888888889</v>
      </c>
      <c r="M136" s="37">
        <v>10090</v>
      </c>
      <c r="N136" s="38">
        <f t="shared" si="4"/>
        <v>168.16666666666666</v>
      </c>
      <c r="O136" s="28">
        <v>0</v>
      </c>
    </row>
    <row r="137" spans="1:42">
      <c r="A137" s="119">
        <v>137</v>
      </c>
      <c r="B137" s="25">
        <v>17</v>
      </c>
      <c r="C137" s="25" t="s">
        <v>173</v>
      </c>
      <c r="D137" s="25">
        <v>7</v>
      </c>
      <c r="E137" s="25">
        <v>0</v>
      </c>
      <c r="F137" s="25">
        <v>1875</v>
      </c>
      <c r="G137" s="25">
        <v>678318</v>
      </c>
      <c r="H137" s="25">
        <v>9359143</v>
      </c>
      <c r="I137" s="42">
        <v>41979</v>
      </c>
      <c r="J137" s="43">
        <v>0.3888888888888889</v>
      </c>
      <c r="K137" s="44">
        <v>41986</v>
      </c>
      <c r="L137" s="43">
        <v>0.3840277777777778</v>
      </c>
      <c r="M137" s="28">
        <v>10073</v>
      </c>
      <c r="N137" s="45">
        <f t="shared" si="4"/>
        <v>167.88333333333333</v>
      </c>
      <c r="O137" s="28">
        <v>1</v>
      </c>
      <c r="P137" s="25" t="s">
        <v>100</v>
      </c>
      <c r="Q137" s="46">
        <v>41979</v>
      </c>
      <c r="R137" s="47">
        <v>0.66319444444444442</v>
      </c>
      <c r="S137" s="25">
        <v>3</v>
      </c>
      <c r="T137" s="25">
        <v>1</v>
      </c>
      <c r="U137" s="25">
        <v>1</v>
      </c>
      <c r="V137" s="22">
        <v>0</v>
      </c>
      <c r="W137" s="20">
        <v>0</v>
      </c>
      <c r="X137" s="24">
        <v>0</v>
      </c>
      <c r="Y137" s="25">
        <v>0</v>
      </c>
      <c r="Z137" s="25">
        <v>0</v>
      </c>
      <c r="AA137" s="25">
        <v>1</v>
      </c>
      <c r="AB137" s="25"/>
      <c r="AC137" s="25"/>
      <c r="AD137" s="25"/>
      <c r="AE137" s="45"/>
      <c r="AF137" s="25"/>
      <c r="AG137" s="64"/>
      <c r="AH137" s="64"/>
      <c r="AI137" s="64"/>
      <c r="AJ137" s="64"/>
      <c r="AK137" s="64"/>
      <c r="AL137" s="64"/>
      <c r="AM137" s="64"/>
      <c r="AN137" s="64"/>
      <c r="AO137" s="64"/>
      <c r="AP137" s="64"/>
    </row>
    <row r="138" spans="1:42">
      <c r="A138" s="119">
        <v>138</v>
      </c>
      <c r="B138" s="25">
        <v>17</v>
      </c>
      <c r="C138" s="25" t="s">
        <v>173</v>
      </c>
      <c r="D138" s="25">
        <v>7</v>
      </c>
      <c r="E138" s="25">
        <v>0</v>
      </c>
      <c r="F138" s="25">
        <v>1875</v>
      </c>
      <c r="G138" s="25">
        <v>678318</v>
      </c>
      <c r="H138" s="25">
        <v>9359143</v>
      </c>
      <c r="I138" s="42">
        <v>41979</v>
      </c>
      <c r="J138" s="43">
        <v>0.3888888888888889</v>
      </c>
      <c r="K138" s="44">
        <v>41986</v>
      </c>
      <c r="L138" s="43">
        <v>0.3840277777777778</v>
      </c>
      <c r="M138" s="28">
        <v>10073</v>
      </c>
      <c r="N138" s="45">
        <f t="shared" si="4"/>
        <v>167.88333333333333</v>
      </c>
      <c r="O138" s="28"/>
      <c r="P138" s="25" t="s">
        <v>101</v>
      </c>
      <c r="Q138" s="46">
        <v>41981</v>
      </c>
      <c r="R138" s="47">
        <v>0.53749999999999998</v>
      </c>
      <c r="S138" s="25">
        <v>3</v>
      </c>
      <c r="T138" s="25">
        <v>1</v>
      </c>
      <c r="U138" s="25">
        <v>1</v>
      </c>
      <c r="V138" s="22">
        <v>0</v>
      </c>
      <c r="W138" s="20">
        <v>1</v>
      </c>
      <c r="X138" s="24">
        <v>0</v>
      </c>
      <c r="Y138" s="25">
        <v>0</v>
      </c>
      <c r="Z138" s="25">
        <v>0</v>
      </c>
      <c r="AA138" s="25">
        <v>0</v>
      </c>
      <c r="AB138" s="25"/>
      <c r="AC138" s="25"/>
      <c r="AD138" s="25"/>
      <c r="AE138" s="45"/>
      <c r="AF138" s="25"/>
    </row>
    <row r="139" spans="1:42">
      <c r="A139" s="119">
        <v>139</v>
      </c>
      <c r="B139" s="18">
        <v>17</v>
      </c>
      <c r="C139" s="18" t="s">
        <v>173</v>
      </c>
      <c r="D139" s="25">
        <v>7</v>
      </c>
      <c r="E139" s="18">
        <v>0</v>
      </c>
      <c r="F139" s="18">
        <v>1875</v>
      </c>
      <c r="G139" s="18">
        <v>678318</v>
      </c>
      <c r="H139" s="18">
        <v>9359143</v>
      </c>
      <c r="I139" s="34">
        <v>41979</v>
      </c>
      <c r="J139" s="35">
        <v>0.3888888888888889</v>
      </c>
      <c r="K139" s="36">
        <v>41986</v>
      </c>
      <c r="L139" s="35">
        <v>0.3840277777777778</v>
      </c>
      <c r="M139" s="37">
        <v>10073</v>
      </c>
      <c r="N139" s="38">
        <f t="shared" si="4"/>
        <v>167.88333333333333</v>
      </c>
      <c r="P139" s="18" t="s">
        <v>84</v>
      </c>
      <c r="Q139" s="26">
        <v>41985</v>
      </c>
      <c r="R139" s="27">
        <v>0.63611111111111118</v>
      </c>
      <c r="S139" s="18">
        <v>3</v>
      </c>
      <c r="T139" s="18">
        <v>1</v>
      </c>
      <c r="U139" s="18">
        <v>1</v>
      </c>
      <c r="V139" s="22">
        <v>0</v>
      </c>
      <c r="W139" s="20">
        <v>1</v>
      </c>
      <c r="X139" s="24">
        <v>0</v>
      </c>
      <c r="Y139" s="25">
        <v>0</v>
      </c>
      <c r="Z139" s="25">
        <v>0</v>
      </c>
      <c r="AA139" s="25">
        <v>0</v>
      </c>
    </row>
    <row r="140" spans="1:42" s="49" customFormat="1">
      <c r="A140" s="119">
        <v>140</v>
      </c>
      <c r="B140" s="49">
        <v>18</v>
      </c>
      <c r="C140" s="49" t="s">
        <v>172</v>
      </c>
      <c r="D140" s="49">
        <v>7</v>
      </c>
      <c r="E140" s="18">
        <v>0</v>
      </c>
      <c r="F140" s="49">
        <v>2157</v>
      </c>
      <c r="G140" s="49">
        <v>678201</v>
      </c>
      <c r="H140" s="49">
        <v>9359481</v>
      </c>
      <c r="I140" s="50">
        <v>41979</v>
      </c>
      <c r="J140" s="51">
        <v>0.41180555555555554</v>
      </c>
      <c r="K140" s="52">
        <v>41986</v>
      </c>
      <c r="L140" s="51">
        <v>0.39513888888888887</v>
      </c>
      <c r="M140" s="53">
        <v>10056</v>
      </c>
      <c r="N140" s="54">
        <f t="shared" si="4"/>
        <v>167.6</v>
      </c>
      <c r="O140" s="53">
        <v>6</v>
      </c>
      <c r="P140" s="49" t="s">
        <v>92</v>
      </c>
      <c r="Q140" s="55">
        <v>41986</v>
      </c>
      <c r="R140" s="56">
        <v>0.60833333333333328</v>
      </c>
      <c r="S140" s="49">
        <v>3</v>
      </c>
      <c r="T140" s="49">
        <v>3</v>
      </c>
      <c r="U140" s="49">
        <v>3</v>
      </c>
      <c r="V140" s="58">
        <v>0</v>
      </c>
      <c r="W140" s="48">
        <v>0</v>
      </c>
      <c r="X140" s="57">
        <v>0</v>
      </c>
      <c r="Y140" s="49">
        <v>0</v>
      </c>
      <c r="Z140" s="49">
        <v>0</v>
      </c>
      <c r="AA140" s="49">
        <v>1</v>
      </c>
      <c r="AE140" s="54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</row>
    <row r="141" spans="1:42">
      <c r="A141" s="119">
        <v>141</v>
      </c>
      <c r="B141" s="18">
        <v>19</v>
      </c>
      <c r="C141" s="49" t="s">
        <v>172</v>
      </c>
      <c r="D141" s="49">
        <v>7</v>
      </c>
      <c r="E141" s="18">
        <v>0</v>
      </c>
      <c r="F141" s="49">
        <v>2157</v>
      </c>
      <c r="G141" s="49">
        <v>678201</v>
      </c>
      <c r="H141" s="49">
        <v>9359481</v>
      </c>
      <c r="I141" s="50">
        <v>41979</v>
      </c>
      <c r="J141" s="51">
        <v>0.41180555555555554</v>
      </c>
      <c r="K141" s="52">
        <v>41986</v>
      </c>
      <c r="L141" s="51">
        <v>0.39513888888888887</v>
      </c>
      <c r="M141" s="53">
        <v>10056</v>
      </c>
      <c r="N141" s="54">
        <f t="shared" si="4"/>
        <v>167.6</v>
      </c>
      <c r="O141" s="53">
        <v>6</v>
      </c>
      <c r="P141" s="18" t="s">
        <v>118</v>
      </c>
      <c r="Q141" s="26">
        <v>41982</v>
      </c>
      <c r="R141" s="27">
        <v>0.93958333333333333</v>
      </c>
      <c r="S141" s="18">
        <v>1</v>
      </c>
      <c r="T141" s="18">
        <v>1</v>
      </c>
      <c r="U141" s="18">
        <v>1</v>
      </c>
      <c r="V141" s="22">
        <v>1</v>
      </c>
      <c r="W141" s="20">
        <v>0</v>
      </c>
      <c r="X141" s="24">
        <v>0</v>
      </c>
      <c r="Y141" s="25">
        <v>0</v>
      </c>
      <c r="Z141" s="25">
        <v>0</v>
      </c>
      <c r="AA141" s="25">
        <v>0</v>
      </c>
      <c r="AB141" s="25" t="s">
        <v>198</v>
      </c>
      <c r="AC141" s="25">
        <v>5.2</v>
      </c>
      <c r="AD141" s="25">
        <v>6.37</v>
      </c>
    </row>
    <row r="142" spans="1:42">
      <c r="A142" s="119">
        <v>141</v>
      </c>
      <c r="B142" s="18">
        <v>18</v>
      </c>
      <c r="C142" s="49" t="s">
        <v>172</v>
      </c>
      <c r="D142" s="49">
        <v>7</v>
      </c>
      <c r="E142" s="18">
        <v>0</v>
      </c>
      <c r="F142" s="49">
        <v>2157</v>
      </c>
      <c r="G142" s="49">
        <v>678201</v>
      </c>
      <c r="H142" s="49">
        <v>9359481</v>
      </c>
      <c r="I142" s="50">
        <v>41979</v>
      </c>
      <c r="J142" s="51">
        <v>0.41180555555555554</v>
      </c>
      <c r="K142" s="52">
        <v>41986</v>
      </c>
      <c r="L142" s="51">
        <v>0.39513888888888887</v>
      </c>
      <c r="M142" s="53">
        <v>10056</v>
      </c>
      <c r="N142" s="54">
        <f t="shared" si="4"/>
        <v>167.6</v>
      </c>
      <c r="O142" s="53">
        <v>6</v>
      </c>
      <c r="P142" s="18" t="s">
        <v>118</v>
      </c>
      <c r="Q142" s="26">
        <v>41987</v>
      </c>
      <c r="R142" s="27">
        <v>0.43541666666666662</v>
      </c>
      <c r="S142" s="18">
        <v>3</v>
      </c>
      <c r="T142" s="18">
        <v>1</v>
      </c>
      <c r="U142" s="18">
        <v>0</v>
      </c>
      <c r="V142" s="22">
        <v>0</v>
      </c>
      <c r="W142" s="20">
        <v>0</v>
      </c>
      <c r="X142" s="24">
        <v>0</v>
      </c>
      <c r="Y142" s="25">
        <v>0</v>
      </c>
      <c r="Z142" s="25">
        <v>0</v>
      </c>
      <c r="AA142" s="25">
        <v>1</v>
      </c>
    </row>
    <row r="143" spans="1:42">
      <c r="A143" s="119">
        <v>142</v>
      </c>
      <c r="B143" s="18">
        <v>19</v>
      </c>
      <c r="C143" s="49" t="s">
        <v>172</v>
      </c>
      <c r="D143" s="49">
        <v>7</v>
      </c>
      <c r="E143" s="18">
        <v>0</v>
      </c>
      <c r="F143" s="49">
        <v>2157</v>
      </c>
      <c r="G143" s="49">
        <v>678201</v>
      </c>
      <c r="H143" s="49">
        <v>9359481</v>
      </c>
      <c r="I143" s="50">
        <v>41979</v>
      </c>
      <c r="J143" s="51">
        <v>0.41180555555555554</v>
      </c>
      <c r="K143" s="52">
        <v>41986</v>
      </c>
      <c r="L143" s="51">
        <v>0.39513888888888887</v>
      </c>
      <c r="M143" s="53">
        <v>10056</v>
      </c>
      <c r="N143" s="54">
        <f t="shared" si="4"/>
        <v>167.6</v>
      </c>
      <c r="O143" s="53">
        <v>6</v>
      </c>
      <c r="P143" s="18" t="s">
        <v>120</v>
      </c>
      <c r="Q143" s="26">
        <v>41985</v>
      </c>
      <c r="R143" s="27">
        <v>3.472222222222222E-3</v>
      </c>
      <c r="S143" s="18">
        <v>1</v>
      </c>
      <c r="T143" s="18">
        <v>2</v>
      </c>
      <c r="U143" s="18">
        <v>2</v>
      </c>
      <c r="V143" s="22">
        <v>0</v>
      </c>
      <c r="W143" s="20">
        <v>0</v>
      </c>
      <c r="X143" s="24">
        <v>0</v>
      </c>
      <c r="Y143" s="25">
        <v>0</v>
      </c>
      <c r="Z143" s="25">
        <v>0</v>
      </c>
      <c r="AA143" s="25">
        <v>2</v>
      </c>
    </row>
    <row r="144" spans="1:42">
      <c r="A144" s="119">
        <v>142</v>
      </c>
      <c r="B144" s="18">
        <v>18</v>
      </c>
      <c r="C144" s="49" t="s">
        <v>172</v>
      </c>
      <c r="D144" s="49">
        <v>7</v>
      </c>
      <c r="E144" s="18">
        <v>0</v>
      </c>
      <c r="F144" s="49">
        <v>2157</v>
      </c>
      <c r="G144" s="49">
        <v>678201</v>
      </c>
      <c r="H144" s="49">
        <v>9359481</v>
      </c>
      <c r="I144" s="50">
        <v>41979</v>
      </c>
      <c r="J144" s="51">
        <v>0.41180555555555554</v>
      </c>
      <c r="K144" s="52">
        <v>41986</v>
      </c>
      <c r="L144" s="51">
        <v>0.39513888888888887</v>
      </c>
      <c r="M144" s="53">
        <v>10056</v>
      </c>
      <c r="N144" s="54">
        <f t="shared" si="4"/>
        <v>167.6</v>
      </c>
      <c r="O144" s="53">
        <v>6</v>
      </c>
      <c r="P144" s="18" t="s">
        <v>120</v>
      </c>
      <c r="Q144" s="26">
        <v>41989</v>
      </c>
      <c r="R144" s="27">
        <v>0.27569444444444446</v>
      </c>
      <c r="S144" s="18">
        <v>3</v>
      </c>
      <c r="T144" s="18">
        <v>1</v>
      </c>
      <c r="U144" s="18">
        <v>1</v>
      </c>
      <c r="V144" s="22">
        <v>0</v>
      </c>
      <c r="W144" s="20">
        <v>0</v>
      </c>
      <c r="X144" s="24">
        <v>0</v>
      </c>
      <c r="Y144" s="25">
        <v>0</v>
      </c>
      <c r="Z144" s="25">
        <v>0</v>
      </c>
      <c r="AA144" s="25">
        <v>1</v>
      </c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</row>
    <row r="145" spans="1:42">
      <c r="A145" s="119">
        <v>143</v>
      </c>
      <c r="B145" s="18">
        <v>19</v>
      </c>
      <c r="C145" s="49" t="s">
        <v>172</v>
      </c>
      <c r="D145" s="49">
        <v>7</v>
      </c>
      <c r="E145" s="18">
        <v>0</v>
      </c>
      <c r="F145" s="49">
        <v>2157</v>
      </c>
      <c r="G145" s="49">
        <v>678201</v>
      </c>
      <c r="H145" s="49">
        <v>9359481</v>
      </c>
      <c r="I145" s="50">
        <v>41979</v>
      </c>
      <c r="J145" s="51">
        <v>0.41180555555555554</v>
      </c>
      <c r="K145" s="52">
        <v>41986</v>
      </c>
      <c r="L145" s="51">
        <v>0.39513888888888887</v>
      </c>
      <c r="M145" s="53">
        <v>10056</v>
      </c>
      <c r="N145" s="54">
        <f t="shared" si="4"/>
        <v>167.6</v>
      </c>
      <c r="O145" s="53">
        <v>6</v>
      </c>
      <c r="P145" s="18" t="s">
        <v>297</v>
      </c>
      <c r="Q145" s="26">
        <v>41985</v>
      </c>
      <c r="R145" s="27">
        <v>0.4368055555555555</v>
      </c>
      <c r="S145" s="18">
        <v>3</v>
      </c>
      <c r="T145" s="18">
        <v>1</v>
      </c>
      <c r="U145" s="18">
        <v>0</v>
      </c>
      <c r="V145" s="22">
        <v>0</v>
      </c>
      <c r="W145" s="20">
        <v>0</v>
      </c>
      <c r="X145" s="24">
        <v>0</v>
      </c>
      <c r="Y145" s="25">
        <v>0</v>
      </c>
      <c r="Z145" s="25">
        <v>0</v>
      </c>
      <c r="AA145" s="25">
        <v>1</v>
      </c>
    </row>
    <row r="146" spans="1:42">
      <c r="A146" s="119">
        <v>143</v>
      </c>
      <c r="B146" s="25">
        <v>18</v>
      </c>
      <c r="C146" s="49" t="s">
        <v>172</v>
      </c>
      <c r="D146" s="49">
        <v>7</v>
      </c>
      <c r="E146" s="25">
        <v>0</v>
      </c>
      <c r="F146" s="49">
        <v>2157</v>
      </c>
      <c r="G146" s="49">
        <v>678201</v>
      </c>
      <c r="H146" s="49">
        <v>9359481</v>
      </c>
      <c r="I146" s="50">
        <v>41979</v>
      </c>
      <c r="J146" s="51">
        <v>0.41180555555555554</v>
      </c>
      <c r="K146" s="52">
        <v>41986</v>
      </c>
      <c r="L146" s="51">
        <v>0.39513888888888887</v>
      </c>
      <c r="M146" s="53">
        <v>10056</v>
      </c>
      <c r="N146" s="54">
        <f t="shared" si="4"/>
        <v>167.6</v>
      </c>
      <c r="O146" s="53">
        <v>6</v>
      </c>
      <c r="P146" s="25" t="s">
        <v>139</v>
      </c>
      <c r="Q146" s="46">
        <v>41991</v>
      </c>
      <c r="R146" s="47">
        <v>0.50694444444444442</v>
      </c>
      <c r="S146" s="25">
        <v>3</v>
      </c>
      <c r="T146" s="25">
        <v>1</v>
      </c>
      <c r="U146" s="25">
        <v>1</v>
      </c>
      <c r="V146" s="22">
        <v>0</v>
      </c>
      <c r="W146" s="20">
        <v>1</v>
      </c>
      <c r="X146" s="24">
        <v>0</v>
      </c>
      <c r="Y146" s="25">
        <v>0</v>
      </c>
      <c r="Z146" s="25">
        <v>0</v>
      </c>
      <c r="AA146" s="25">
        <v>1</v>
      </c>
      <c r="AB146" s="25"/>
      <c r="AC146" s="25"/>
      <c r="AD146" s="25"/>
      <c r="AE146" s="45"/>
      <c r="AF146" s="25"/>
    </row>
    <row r="147" spans="1:42">
      <c r="A147" s="119">
        <v>144</v>
      </c>
      <c r="B147" s="18">
        <v>18</v>
      </c>
      <c r="C147" s="49" t="s">
        <v>172</v>
      </c>
      <c r="D147" s="49">
        <v>7</v>
      </c>
      <c r="E147" s="18">
        <v>0</v>
      </c>
      <c r="F147" s="49">
        <v>2157</v>
      </c>
      <c r="G147" s="49">
        <v>678201</v>
      </c>
      <c r="H147" s="49">
        <v>9359481</v>
      </c>
      <c r="I147" s="50">
        <v>41979</v>
      </c>
      <c r="J147" s="51">
        <v>0.41180555555555554</v>
      </c>
      <c r="K147" s="52">
        <v>41986</v>
      </c>
      <c r="L147" s="51">
        <v>0.39513888888888887</v>
      </c>
      <c r="M147" s="53">
        <v>10056</v>
      </c>
      <c r="N147" s="54">
        <f t="shared" si="4"/>
        <v>167.6</v>
      </c>
      <c r="O147" s="53">
        <v>6</v>
      </c>
      <c r="P147" s="18" t="s">
        <v>108</v>
      </c>
      <c r="Q147" s="26">
        <v>41992</v>
      </c>
      <c r="R147" s="27">
        <v>0.60555555555555551</v>
      </c>
      <c r="S147" s="18">
        <v>3</v>
      </c>
      <c r="T147" s="18">
        <v>1</v>
      </c>
      <c r="U147" s="18">
        <v>1</v>
      </c>
      <c r="V147" s="22">
        <v>0</v>
      </c>
      <c r="W147" s="20">
        <v>0</v>
      </c>
      <c r="X147" s="24">
        <v>0</v>
      </c>
      <c r="Y147" s="25">
        <v>0</v>
      </c>
      <c r="Z147" s="25">
        <v>0</v>
      </c>
      <c r="AA147" s="25">
        <v>1</v>
      </c>
    </row>
    <row r="148" spans="1:42">
      <c r="A148" s="119">
        <v>145</v>
      </c>
      <c r="B148" s="18">
        <v>18</v>
      </c>
      <c r="C148" s="49" t="s">
        <v>172</v>
      </c>
      <c r="D148" s="49">
        <v>7</v>
      </c>
      <c r="E148" s="18">
        <v>0</v>
      </c>
      <c r="F148" s="49">
        <v>2157</v>
      </c>
      <c r="G148" s="49">
        <v>678201</v>
      </c>
      <c r="H148" s="49">
        <v>9359481</v>
      </c>
      <c r="I148" s="50">
        <v>41979</v>
      </c>
      <c r="J148" s="51">
        <v>0.41180555555555554</v>
      </c>
      <c r="K148" s="52">
        <v>41986</v>
      </c>
      <c r="L148" s="51">
        <v>0.39513888888888887</v>
      </c>
      <c r="M148" s="53">
        <v>10056</v>
      </c>
      <c r="N148" s="54">
        <f t="shared" si="4"/>
        <v>167.6</v>
      </c>
      <c r="O148" s="53">
        <v>6</v>
      </c>
      <c r="P148" s="18" t="s">
        <v>156</v>
      </c>
      <c r="Q148" s="26">
        <v>41993</v>
      </c>
      <c r="R148" s="27">
        <v>0.25347222222222221</v>
      </c>
      <c r="S148" s="18">
        <v>3</v>
      </c>
      <c r="T148" s="18">
        <v>3</v>
      </c>
      <c r="U148" s="18">
        <v>2</v>
      </c>
      <c r="V148" s="22">
        <v>0</v>
      </c>
      <c r="W148" s="20">
        <v>0</v>
      </c>
      <c r="X148" s="24">
        <v>1</v>
      </c>
      <c r="Y148" s="25">
        <v>0</v>
      </c>
      <c r="Z148" s="25">
        <v>0</v>
      </c>
      <c r="AA148" s="25">
        <v>1</v>
      </c>
    </row>
    <row r="149" spans="1:42">
      <c r="A149" s="119">
        <v>146</v>
      </c>
      <c r="B149" s="18">
        <v>19</v>
      </c>
      <c r="C149" s="18" t="s">
        <v>171</v>
      </c>
      <c r="D149" s="49">
        <v>7</v>
      </c>
      <c r="E149" s="18">
        <v>0</v>
      </c>
      <c r="F149" s="18">
        <v>2535</v>
      </c>
      <c r="G149" s="18">
        <v>676996</v>
      </c>
      <c r="H149" s="18">
        <v>9359828</v>
      </c>
      <c r="I149" s="34">
        <v>41979</v>
      </c>
      <c r="J149" s="35">
        <v>0.44444444444444442</v>
      </c>
      <c r="K149" s="36">
        <v>41986</v>
      </c>
      <c r="L149" s="35">
        <v>0.42708333333333331</v>
      </c>
      <c r="M149" s="37">
        <v>10055</v>
      </c>
      <c r="N149" s="38">
        <f t="shared" si="4"/>
        <v>167.58333333333334</v>
      </c>
      <c r="O149" s="37">
        <v>3</v>
      </c>
      <c r="P149" s="18" t="s">
        <v>139</v>
      </c>
      <c r="Q149" s="26">
        <v>41986</v>
      </c>
      <c r="R149" s="27">
        <v>0.26874999999999999</v>
      </c>
      <c r="S149" s="18">
        <v>3</v>
      </c>
      <c r="T149" s="18">
        <v>1</v>
      </c>
      <c r="U149" s="18">
        <v>1</v>
      </c>
      <c r="V149" s="22">
        <v>0</v>
      </c>
      <c r="W149" s="20">
        <v>0</v>
      </c>
      <c r="X149" s="24">
        <v>0</v>
      </c>
      <c r="Y149" s="25">
        <v>0</v>
      </c>
      <c r="Z149" s="25">
        <v>0</v>
      </c>
      <c r="AA149" s="25">
        <v>1</v>
      </c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</row>
    <row r="150" spans="1:42">
      <c r="A150" s="119">
        <v>147</v>
      </c>
      <c r="B150" s="18">
        <v>19</v>
      </c>
      <c r="C150" s="18" t="s">
        <v>171</v>
      </c>
      <c r="D150" s="49">
        <v>7</v>
      </c>
      <c r="E150" s="18">
        <v>0</v>
      </c>
      <c r="F150" s="18">
        <v>2535</v>
      </c>
      <c r="G150" s="18">
        <v>676996</v>
      </c>
      <c r="H150" s="18">
        <v>9359828</v>
      </c>
      <c r="I150" s="34">
        <v>41979</v>
      </c>
      <c r="J150" s="35">
        <v>0.44444444444444442</v>
      </c>
      <c r="K150" s="36">
        <v>41986</v>
      </c>
      <c r="L150" s="35">
        <v>0.42708333333333331</v>
      </c>
      <c r="M150" s="37">
        <v>10055</v>
      </c>
      <c r="N150" s="38">
        <f t="shared" si="4"/>
        <v>167.58333333333334</v>
      </c>
      <c r="O150" s="37">
        <v>3</v>
      </c>
      <c r="P150" s="18" t="s">
        <v>118</v>
      </c>
      <c r="Q150" s="26">
        <v>41982</v>
      </c>
      <c r="R150" s="27">
        <v>0.93958333333333333</v>
      </c>
      <c r="S150" s="18">
        <v>1</v>
      </c>
      <c r="T150" s="18">
        <v>1</v>
      </c>
      <c r="U150" s="18">
        <v>1</v>
      </c>
      <c r="V150" s="22">
        <v>1</v>
      </c>
      <c r="W150" s="20">
        <v>0</v>
      </c>
      <c r="X150" s="24">
        <v>0</v>
      </c>
      <c r="Y150" s="25">
        <v>0</v>
      </c>
      <c r="Z150" s="25">
        <v>0</v>
      </c>
      <c r="AA150" s="25">
        <v>0</v>
      </c>
    </row>
    <row r="151" spans="1:42" ht="15.75" thickBot="1">
      <c r="A151" s="119">
        <v>148</v>
      </c>
      <c r="B151" s="18">
        <v>19</v>
      </c>
      <c r="C151" s="18" t="s">
        <v>171</v>
      </c>
      <c r="D151" s="49">
        <v>7</v>
      </c>
      <c r="E151" s="18">
        <v>0</v>
      </c>
      <c r="F151" s="18">
        <v>2535</v>
      </c>
      <c r="G151" s="18">
        <v>676996</v>
      </c>
      <c r="H151" s="18">
        <v>9359828</v>
      </c>
      <c r="I151" s="34">
        <v>41979</v>
      </c>
      <c r="J151" s="35">
        <v>0.44444444444444442</v>
      </c>
      <c r="K151" s="36">
        <v>41986</v>
      </c>
      <c r="L151" s="35">
        <v>0.42708333333333331</v>
      </c>
      <c r="M151" s="37">
        <v>10055</v>
      </c>
      <c r="N151" s="38">
        <f t="shared" si="4"/>
        <v>167.58333333333334</v>
      </c>
      <c r="O151" s="37">
        <v>3</v>
      </c>
      <c r="P151" s="18" t="s">
        <v>120</v>
      </c>
      <c r="Q151" s="26">
        <v>41985</v>
      </c>
      <c r="R151" s="27">
        <v>3.472222222222222E-3</v>
      </c>
      <c r="S151" s="18">
        <v>1</v>
      </c>
      <c r="T151" s="18">
        <v>2</v>
      </c>
      <c r="U151" s="18">
        <v>2</v>
      </c>
      <c r="V151" s="22">
        <v>0</v>
      </c>
      <c r="W151" s="20">
        <v>0</v>
      </c>
      <c r="X151" s="24">
        <v>0</v>
      </c>
      <c r="Y151" s="25">
        <v>0</v>
      </c>
      <c r="Z151" s="25">
        <v>0</v>
      </c>
      <c r="AA151" s="25">
        <v>2</v>
      </c>
    </row>
    <row r="152" spans="1:42" s="85" customFormat="1">
      <c r="A152" s="122">
        <v>149</v>
      </c>
      <c r="B152" s="87">
        <v>8</v>
      </c>
      <c r="C152" s="87" t="s">
        <v>214</v>
      </c>
      <c r="D152" s="87">
        <v>5</v>
      </c>
      <c r="E152" s="87">
        <v>1</v>
      </c>
      <c r="F152" s="87"/>
      <c r="G152" s="87"/>
      <c r="H152" s="87"/>
      <c r="I152" s="88">
        <v>41983</v>
      </c>
      <c r="J152" s="89">
        <v>0.40972222222222227</v>
      </c>
      <c r="K152" s="90">
        <v>41992</v>
      </c>
      <c r="L152" s="89">
        <v>0.34513888888888888</v>
      </c>
      <c r="M152" s="91">
        <f t="shared" ref="M152:M164" si="5">12960-83</f>
        <v>12877</v>
      </c>
      <c r="N152" s="113">
        <f t="shared" si="4"/>
        <v>214.61666666666667</v>
      </c>
      <c r="O152" s="91">
        <v>13</v>
      </c>
      <c r="P152" s="87" t="s">
        <v>156</v>
      </c>
      <c r="Q152" s="92">
        <v>41983</v>
      </c>
      <c r="R152" s="93">
        <v>0.74097222222222225</v>
      </c>
      <c r="S152" s="87">
        <v>1</v>
      </c>
      <c r="T152" s="87">
        <v>2</v>
      </c>
      <c r="U152" s="87">
        <v>2</v>
      </c>
      <c r="V152" s="94">
        <v>2</v>
      </c>
      <c r="W152" s="87">
        <v>0</v>
      </c>
      <c r="X152" s="95">
        <v>0</v>
      </c>
      <c r="Y152" s="87">
        <v>0</v>
      </c>
      <c r="Z152" s="87">
        <v>0</v>
      </c>
      <c r="AA152" s="87">
        <v>0</v>
      </c>
      <c r="AE152" s="86"/>
    </row>
    <row r="153" spans="1:42" s="25" customFormat="1">
      <c r="A153" s="123">
        <v>150</v>
      </c>
      <c r="B153" s="64">
        <v>8</v>
      </c>
      <c r="C153" s="64" t="s">
        <v>214</v>
      </c>
      <c r="D153" s="64">
        <v>5</v>
      </c>
      <c r="E153" s="64">
        <v>1</v>
      </c>
      <c r="F153" s="64"/>
      <c r="G153" s="64"/>
      <c r="H153" s="64"/>
      <c r="I153" s="96">
        <v>41983</v>
      </c>
      <c r="J153" s="97">
        <v>0.40972222222222227</v>
      </c>
      <c r="K153" s="98">
        <v>41992</v>
      </c>
      <c r="L153" s="97">
        <v>0.34513888888888888</v>
      </c>
      <c r="M153" s="99">
        <f t="shared" si="5"/>
        <v>12877</v>
      </c>
      <c r="N153" s="67">
        <f t="shared" si="4"/>
        <v>214.61666666666667</v>
      </c>
      <c r="O153" s="99">
        <v>13</v>
      </c>
      <c r="P153" s="64" t="s">
        <v>298</v>
      </c>
      <c r="Q153" s="101">
        <v>41985</v>
      </c>
      <c r="R153" s="102">
        <v>0.7006944444444444</v>
      </c>
      <c r="S153" s="64">
        <v>1</v>
      </c>
      <c r="T153" s="64">
        <v>3</v>
      </c>
      <c r="U153" s="64">
        <v>2</v>
      </c>
      <c r="V153" s="65">
        <v>2</v>
      </c>
      <c r="W153" s="64">
        <v>0</v>
      </c>
      <c r="X153" s="66">
        <v>1</v>
      </c>
      <c r="Y153" s="64">
        <v>0</v>
      </c>
      <c r="Z153" s="64">
        <v>0</v>
      </c>
      <c r="AA153" s="64">
        <v>0</v>
      </c>
      <c r="AE153" s="45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</row>
    <row r="154" spans="1:42" s="25" customFormat="1">
      <c r="A154" s="123">
        <v>151</v>
      </c>
      <c r="B154" s="64">
        <v>8</v>
      </c>
      <c r="C154" s="64" t="s">
        <v>214</v>
      </c>
      <c r="D154" s="64">
        <v>5</v>
      </c>
      <c r="E154" s="64">
        <v>1</v>
      </c>
      <c r="F154" s="64"/>
      <c r="G154" s="64"/>
      <c r="H154" s="64"/>
      <c r="I154" s="96">
        <v>41983</v>
      </c>
      <c r="J154" s="97">
        <v>0.40972222222222227</v>
      </c>
      <c r="K154" s="98">
        <v>41992</v>
      </c>
      <c r="L154" s="97">
        <v>0.34513888888888888</v>
      </c>
      <c r="M154" s="99">
        <f t="shared" si="5"/>
        <v>12877</v>
      </c>
      <c r="N154" s="67">
        <f t="shared" si="4"/>
        <v>214.61666666666667</v>
      </c>
      <c r="O154" s="99">
        <v>13</v>
      </c>
      <c r="P154" s="64" t="s">
        <v>136</v>
      </c>
      <c r="Q154" s="101">
        <v>41986</v>
      </c>
      <c r="R154" s="102">
        <v>0.24583333333333335</v>
      </c>
      <c r="S154" s="64">
        <v>3</v>
      </c>
      <c r="T154" s="64">
        <v>2</v>
      </c>
      <c r="U154" s="64">
        <v>2</v>
      </c>
      <c r="V154" s="65">
        <v>0</v>
      </c>
      <c r="W154" s="64">
        <v>2</v>
      </c>
      <c r="X154" s="66">
        <v>0</v>
      </c>
      <c r="Y154" s="64">
        <v>0</v>
      </c>
      <c r="Z154" s="64">
        <v>0</v>
      </c>
      <c r="AA154" s="64">
        <v>0</v>
      </c>
      <c r="AE154" s="45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</row>
    <row r="155" spans="1:42" s="25" customFormat="1">
      <c r="A155" s="123">
        <v>152</v>
      </c>
      <c r="B155" s="64">
        <v>8</v>
      </c>
      <c r="C155" s="64" t="s">
        <v>214</v>
      </c>
      <c r="D155" s="64">
        <v>5</v>
      </c>
      <c r="E155" s="64">
        <v>1</v>
      </c>
      <c r="F155" s="64"/>
      <c r="G155" s="64"/>
      <c r="H155" s="64"/>
      <c r="I155" s="96">
        <v>41983</v>
      </c>
      <c r="J155" s="97">
        <v>0.40972222222222227</v>
      </c>
      <c r="K155" s="98">
        <v>41992</v>
      </c>
      <c r="L155" s="97">
        <v>0.34513888888888888</v>
      </c>
      <c r="M155" s="99">
        <f t="shared" si="5"/>
        <v>12877</v>
      </c>
      <c r="N155" s="67">
        <f t="shared" si="4"/>
        <v>214.61666666666667</v>
      </c>
      <c r="O155" s="99">
        <v>13</v>
      </c>
      <c r="P155" s="64" t="s">
        <v>150</v>
      </c>
      <c r="Q155" s="101">
        <v>41986</v>
      </c>
      <c r="R155" s="102">
        <v>0.34791666666666665</v>
      </c>
      <c r="S155" s="64">
        <v>3</v>
      </c>
      <c r="T155" s="64">
        <v>4</v>
      </c>
      <c r="U155" s="64">
        <v>3</v>
      </c>
      <c r="V155" s="65">
        <v>3</v>
      </c>
      <c r="W155" s="64">
        <v>0</v>
      </c>
      <c r="X155" s="66">
        <v>0</v>
      </c>
      <c r="Y155" s="64">
        <v>0</v>
      </c>
      <c r="Z155" s="64">
        <v>1</v>
      </c>
      <c r="AA155" s="64">
        <v>0</v>
      </c>
      <c r="AE155" s="45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</row>
    <row r="156" spans="1:42" s="25" customFormat="1">
      <c r="A156" s="123">
        <v>153</v>
      </c>
      <c r="B156" s="64">
        <v>8</v>
      </c>
      <c r="C156" s="64" t="s">
        <v>214</v>
      </c>
      <c r="D156" s="64">
        <v>5</v>
      </c>
      <c r="E156" s="64">
        <v>1</v>
      </c>
      <c r="F156" s="64"/>
      <c r="G156" s="64"/>
      <c r="H156" s="64"/>
      <c r="I156" s="96">
        <v>41983</v>
      </c>
      <c r="J156" s="97">
        <v>0.40972222222222227</v>
      </c>
      <c r="K156" s="98">
        <v>41992</v>
      </c>
      <c r="L156" s="97">
        <v>0.34513888888888888</v>
      </c>
      <c r="M156" s="99">
        <f t="shared" si="5"/>
        <v>12877</v>
      </c>
      <c r="N156" s="67">
        <f t="shared" si="4"/>
        <v>214.61666666666667</v>
      </c>
      <c r="O156" s="99">
        <v>13</v>
      </c>
      <c r="P156" s="64" t="s">
        <v>152</v>
      </c>
      <c r="Q156" s="101">
        <v>41986</v>
      </c>
      <c r="R156" s="102">
        <v>0.61319444444444449</v>
      </c>
      <c r="S156" s="64">
        <v>1</v>
      </c>
      <c r="T156" s="64">
        <v>2</v>
      </c>
      <c r="U156" s="64">
        <v>0</v>
      </c>
      <c r="V156" s="65">
        <v>0</v>
      </c>
      <c r="W156" s="64">
        <v>0</v>
      </c>
      <c r="X156" s="66">
        <v>2</v>
      </c>
      <c r="Y156" s="64">
        <v>0</v>
      </c>
      <c r="Z156" s="64">
        <v>0</v>
      </c>
      <c r="AA156" s="64">
        <v>0</v>
      </c>
      <c r="AE156" s="45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</row>
    <row r="157" spans="1:42" s="25" customFormat="1">
      <c r="A157" s="123">
        <v>154</v>
      </c>
      <c r="B157" s="64">
        <v>8</v>
      </c>
      <c r="C157" s="64" t="s">
        <v>214</v>
      </c>
      <c r="D157" s="64">
        <v>5</v>
      </c>
      <c r="E157" s="64">
        <v>1</v>
      </c>
      <c r="F157" s="64"/>
      <c r="G157" s="64"/>
      <c r="H157" s="64"/>
      <c r="I157" s="96">
        <v>41983</v>
      </c>
      <c r="J157" s="97">
        <v>0.40972222222222227</v>
      </c>
      <c r="K157" s="98">
        <v>41992</v>
      </c>
      <c r="L157" s="97">
        <v>0.34513888888888888</v>
      </c>
      <c r="M157" s="99">
        <f t="shared" si="5"/>
        <v>12877</v>
      </c>
      <c r="N157" s="67">
        <f t="shared" si="4"/>
        <v>214.61666666666667</v>
      </c>
      <c r="O157" s="99">
        <v>13</v>
      </c>
      <c r="P157" s="64" t="s">
        <v>143</v>
      </c>
      <c r="Q157" s="101">
        <v>41986</v>
      </c>
      <c r="R157" s="102">
        <v>0.71736111111111101</v>
      </c>
      <c r="S157" s="64">
        <v>1</v>
      </c>
      <c r="T157" s="64">
        <v>2</v>
      </c>
      <c r="U157" s="64">
        <v>2</v>
      </c>
      <c r="V157" s="65">
        <v>2</v>
      </c>
      <c r="W157" s="64">
        <v>0</v>
      </c>
      <c r="X157" s="66">
        <v>0</v>
      </c>
      <c r="Y157" s="64">
        <v>0</v>
      </c>
      <c r="Z157" s="64">
        <v>0</v>
      </c>
      <c r="AA157" s="64">
        <v>0</v>
      </c>
      <c r="AE157" s="45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</row>
    <row r="158" spans="1:42" s="25" customFormat="1">
      <c r="A158" s="123">
        <v>155</v>
      </c>
      <c r="B158" s="64">
        <v>8</v>
      </c>
      <c r="C158" s="64" t="s">
        <v>214</v>
      </c>
      <c r="D158" s="64">
        <v>5</v>
      </c>
      <c r="E158" s="64">
        <v>1</v>
      </c>
      <c r="F158" s="64"/>
      <c r="G158" s="64"/>
      <c r="H158" s="64"/>
      <c r="I158" s="96">
        <v>41983</v>
      </c>
      <c r="J158" s="97">
        <v>0.40972222222222227</v>
      </c>
      <c r="K158" s="98">
        <v>41992</v>
      </c>
      <c r="L158" s="97">
        <v>0.34513888888888888</v>
      </c>
      <c r="M158" s="99">
        <f t="shared" si="5"/>
        <v>12877</v>
      </c>
      <c r="N158" s="67">
        <f t="shared" si="4"/>
        <v>214.61666666666667</v>
      </c>
      <c r="O158" s="99">
        <v>13</v>
      </c>
      <c r="P158" s="64" t="s">
        <v>109</v>
      </c>
      <c r="Q158" s="101">
        <v>41987</v>
      </c>
      <c r="R158" s="102">
        <v>0.3972222222222222</v>
      </c>
      <c r="S158" s="64">
        <v>3</v>
      </c>
      <c r="T158" s="64">
        <v>1</v>
      </c>
      <c r="U158" s="64">
        <v>1</v>
      </c>
      <c r="V158" s="65">
        <v>0</v>
      </c>
      <c r="W158" s="64">
        <v>1</v>
      </c>
      <c r="X158" s="66">
        <v>0</v>
      </c>
      <c r="Y158" s="64">
        <v>0</v>
      </c>
      <c r="Z158" s="64">
        <v>0</v>
      </c>
      <c r="AA158" s="64">
        <v>0</v>
      </c>
      <c r="AE158" s="45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</row>
    <row r="159" spans="1:42" s="25" customFormat="1">
      <c r="A159" s="123">
        <v>156</v>
      </c>
      <c r="B159" s="64">
        <v>8</v>
      </c>
      <c r="C159" s="64" t="s">
        <v>214</v>
      </c>
      <c r="D159" s="64">
        <v>5</v>
      </c>
      <c r="E159" s="64">
        <v>1</v>
      </c>
      <c r="F159" s="64"/>
      <c r="G159" s="64"/>
      <c r="H159" s="64"/>
      <c r="I159" s="96">
        <v>41983</v>
      </c>
      <c r="J159" s="97">
        <v>0.40972222222222227</v>
      </c>
      <c r="K159" s="98">
        <v>41992</v>
      </c>
      <c r="L159" s="97">
        <v>0.34513888888888888</v>
      </c>
      <c r="M159" s="99">
        <f t="shared" si="5"/>
        <v>12877</v>
      </c>
      <c r="N159" s="67">
        <f t="shared" si="4"/>
        <v>214.61666666666667</v>
      </c>
      <c r="O159" s="99">
        <v>13</v>
      </c>
      <c r="P159" s="64" t="s">
        <v>110</v>
      </c>
      <c r="Q159" s="101">
        <v>41987</v>
      </c>
      <c r="R159" s="102">
        <v>0.4916666666666667</v>
      </c>
      <c r="S159" s="64">
        <v>1</v>
      </c>
      <c r="T159" s="64">
        <v>3</v>
      </c>
      <c r="U159" s="64">
        <v>1</v>
      </c>
      <c r="V159" s="65">
        <v>1</v>
      </c>
      <c r="W159" s="64">
        <v>0</v>
      </c>
      <c r="X159" s="66">
        <v>3</v>
      </c>
      <c r="Y159" s="64">
        <v>0</v>
      </c>
      <c r="Z159" s="64">
        <v>0</v>
      </c>
      <c r="AA159" s="64">
        <v>0</v>
      </c>
      <c r="AE159" s="45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</row>
    <row r="160" spans="1:42" s="25" customFormat="1">
      <c r="A160" s="123">
        <v>157</v>
      </c>
      <c r="B160" s="64">
        <v>8</v>
      </c>
      <c r="C160" s="64" t="s">
        <v>214</v>
      </c>
      <c r="D160" s="64">
        <v>5</v>
      </c>
      <c r="E160" s="64">
        <v>1</v>
      </c>
      <c r="F160" s="64"/>
      <c r="G160" s="64"/>
      <c r="H160" s="64"/>
      <c r="I160" s="96">
        <v>41983</v>
      </c>
      <c r="J160" s="97">
        <v>0.40972222222222227</v>
      </c>
      <c r="K160" s="98">
        <v>41992</v>
      </c>
      <c r="L160" s="97">
        <v>0.34513888888888888</v>
      </c>
      <c r="M160" s="99">
        <f t="shared" si="5"/>
        <v>12877</v>
      </c>
      <c r="N160" s="67">
        <f t="shared" si="4"/>
        <v>214.61666666666667</v>
      </c>
      <c r="O160" s="99">
        <v>13</v>
      </c>
      <c r="P160" s="64" t="s">
        <v>299</v>
      </c>
      <c r="Q160" s="101">
        <v>41987</v>
      </c>
      <c r="R160" s="102">
        <v>0.81666666666666676</v>
      </c>
      <c r="S160" s="64">
        <v>1</v>
      </c>
      <c r="T160" s="64">
        <v>1</v>
      </c>
      <c r="U160" s="64">
        <v>1</v>
      </c>
      <c r="V160" s="65">
        <v>1</v>
      </c>
      <c r="W160" s="64">
        <v>0</v>
      </c>
      <c r="X160" s="66">
        <v>0</v>
      </c>
      <c r="Y160" s="64">
        <v>0</v>
      </c>
      <c r="Z160" s="64">
        <v>0</v>
      </c>
      <c r="AA160" s="64">
        <v>0</v>
      </c>
      <c r="AE160" s="45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</row>
    <row r="161" spans="1:42" s="25" customFormat="1">
      <c r="A161" s="123">
        <v>158</v>
      </c>
      <c r="B161" s="64">
        <v>8</v>
      </c>
      <c r="C161" s="64" t="s">
        <v>214</v>
      </c>
      <c r="D161" s="64">
        <v>5</v>
      </c>
      <c r="E161" s="64">
        <v>1</v>
      </c>
      <c r="F161" s="64"/>
      <c r="G161" s="64"/>
      <c r="H161" s="64"/>
      <c r="I161" s="96">
        <v>41983</v>
      </c>
      <c r="J161" s="97">
        <v>0.40972222222222227</v>
      </c>
      <c r="K161" s="98">
        <v>41992</v>
      </c>
      <c r="L161" s="97">
        <v>0.34513888888888888</v>
      </c>
      <c r="M161" s="99">
        <f t="shared" si="5"/>
        <v>12877</v>
      </c>
      <c r="N161" s="67">
        <f t="shared" si="4"/>
        <v>214.61666666666667</v>
      </c>
      <c r="O161" s="99">
        <v>13</v>
      </c>
      <c r="P161" s="64" t="s">
        <v>300</v>
      </c>
      <c r="Q161" s="101">
        <v>41988</v>
      </c>
      <c r="R161" s="102">
        <v>0.74583333333333324</v>
      </c>
      <c r="S161" s="64">
        <v>1</v>
      </c>
      <c r="T161" s="64">
        <v>3</v>
      </c>
      <c r="U161" s="64">
        <v>1</v>
      </c>
      <c r="V161" s="65">
        <v>1</v>
      </c>
      <c r="W161" s="64">
        <v>0</v>
      </c>
      <c r="X161" s="66">
        <v>2</v>
      </c>
      <c r="Y161" s="64">
        <v>0</v>
      </c>
      <c r="Z161" s="64">
        <v>0</v>
      </c>
      <c r="AA161" s="64">
        <v>0</v>
      </c>
      <c r="AE161" s="45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</row>
    <row r="162" spans="1:42" s="25" customFormat="1">
      <c r="A162" s="123">
        <v>159</v>
      </c>
      <c r="B162" s="64">
        <v>8</v>
      </c>
      <c r="C162" s="64" t="s">
        <v>214</v>
      </c>
      <c r="D162" s="64">
        <v>5</v>
      </c>
      <c r="E162" s="64">
        <v>1</v>
      </c>
      <c r="F162" s="64"/>
      <c r="G162" s="64"/>
      <c r="H162" s="64"/>
      <c r="I162" s="96">
        <v>41983</v>
      </c>
      <c r="J162" s="97">
        <v>0.40972222222222227</v>
      </c>
      <c r="K162" s="98">
        <v>41992</v>
      </c>
      <c r="L162" s="97">
        <v>0.34513888888888888</v>
      </c>
      <c r="M162" s="99">
        <f t="shared" si="5"/>
        <v>12877</v>
      </c>
      <c r="N162" s="67">
        <f t="shared" si="4"/>
        <v>214.61666666666667</v>
      </c>
      <c r="O162" s="99">
        <v>13</v>
      </c>
      <c r="P162" s="64" t="s">
        <v>301</v>
      </c>
      <c r="Q162" s="101">
        <v>41990</v>
      </c>
      <c r="R162" s="102">
        <v>0.21249999999999999</v>
      </c>
      <c r="S162" s="64">
        <v>1</v>
      </c>
      <c r="T162" s="64">
        <v>3</v>
      </c>
      <c r="U162" s="64">
        <v>1</v>
      </c>
      <c r="V162" s="65">
        <v>1</v>
      </c>
      <c r="W162" s="64">
        <v>0</v>
      </c>
      <c r="X162" s="66">
        <v>2</v>
      </c>
      <c r="Y162" s="64">
        <v>0</v>
      </c>
      <c r="Z162" s="64">
        <v>0</v>
      </c>
      <c r="AA162" s="64">
        <v>0</v>
      </c>
      <c r="AE162" s="45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</row>
    <row r="163" spans="1:42" s="25" customFormat="1">
      <c r="A163" s="123">
        <v>160</v>
      </c>
      <c r="B163" s="64">
        <v>8</v>
      </c>
      <c r="C163" s="64" t="s">
        <v>214</v>
      </c>
      <c r="D163" s="64">
        <v>5</v>
      </c>
      <c r="E163" s="64">
        <v>1</v>
      </c>
      <c r="F163" s="64"/>
      <c r="G163" s="64"/>
      <c r="H163" s="64"/>
      <c r="I163" s="96">
        <v>41983</v>
      </c>
      <c r="J163" s="97">
        <v>0.40972222222222227</v>
      </c>
      <c r="K163" s="98">
        <v>41992</v>
      </c>
      <c r="L163" s="97">
        <v>0.34513888888888888</v>
      </c>
      <c r="M163" s="99">
        <f t="shared" si="5"/>
        <v>12877</v>
      </c>
      <c r="N163" s="67">
        <f t="shared" si="4"/>
        <v>214.61666666666667</v>
      </c>
      <c r="O163" s="99">
        <v>13</v>
      </c>
      <c r="P163" s="64" t="s">
        <v>137</v>
      </c>
      <c r="Q163" s="101">
        <v>41991</v>
      </c>
      <c r="R163" s="102">
        <v>0.17430555555555557</v>
      </c>
      <c r="S163" s="64">
        <v>1</v>
      </c>
      <c r="T163" s="64">
        <v>2</v>
      </c>
      <c r="U163" s="64">
        <v>1</v>
      </c>
      <c r="V163" s="65">
        <v>0</v>
      </c>
      <c r="W163" s="64">
        <v>0</v>
      </c>
      <c r="X163" s="66">
        <v>1</v>
      </c>
      <c r="Y163" s="64">
        <v>0</v>
      </c>
      <c r="Z163" s="64">
        <v>0</v>
      </c>
      <c r="AA163" s="64">
        <v>1</v>
      </c>
      <c r="AE163" s="45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</row>
    <row r="164" spans="1:42" s="25" customFormat="1" ht="15.75" thickBot="1">
      <c r="A164" s="123">
        <v>161</v>
      </c>
      <c r="B164" s="64">
        <v>8</v>
      </c>
      <c r="C164" s="64" t="s">
        <v>214</v>
      </c>
      <c r="D164" s="64">
        <v>5</v>
      </c>
      <c r="E164" s="64">
        <v>1</v>
      </c>
      <c r="F164" s="64"/>
      <c r="G164" s="64"/>
      <c r="H164" s="64"/>
      <c r="I164" s="96">
        <v>41983</v>
      </c>
      <c r="J164" s="97">
        <v>0.40972222222222227</v>
      </c>
      <c r="K164" s="98">
        <v>41992</v>
      </c>
      <c r="L164" s="97">
        <v>0.34513888888888888</v>
      </c>
      <c r="M164" s="99">
        <f t="shared" si="5"/>
        <v>12877</v>
      </c>
      <c r="N164" s="67">
        <f t="shared" si="4"/>
        <v>214.61666666666667</v>
      </c>
      <c r="O164" s="99">
        <v>13</v>
      </c>
      <c r="P164" s="64" t="s">
        <v>302</v>
      </c>
      <c r="Q164" s="101">
        <v>41991</v>
      </c>
      <c r="R164" s="102">
        <v>0.82430555555555562</v>
      </c>
      <c r="S164" s="64">
        <v>1</v>
      </c>
      <c r="T164" s="64">
        <v>1</v>
      </c>
      <c r="U164" s="64">
        <v>1</v>
      </c>
      <c r="V164" s="65">
        <v>1</v>
      </c>
      <c r="W164" s="64">
        <v>0</v>
      </c>
      <c r="X164" s="66">
        <v>0</v>
      </c>
      <c r="Y164" s="64">
        <v>0</v>
      </c>
      <c r="Z164" s="64">
        <v>0</v>
      </c>
      <c r="AA164" s="64">
        <v>0</v>
      </c>
      <c r="AE164" s="45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</row>
    <row r="165" spans="1:42" s="85" customFormat="1">
      <c r="A165" s="122">
        <v>162</v>
      </c>
      <c r="B165" s="87">
        <v>9</v>
      </c>
      <c r="C165" s="87" t="s">
        <v>216</v>
      </c>
      <c r="D165" s="87">
        <v>7</v>
      </c>
      <c r="E165" s="87">
        <v>1</v>
      </c>
      <c r="F165" s="87"/>
      <c r="G165" s="87"/>
      <c r="H165" s="87"/>
      <c r="I165" s="88">
        <v>41983</v>
      </c>
      <c r="J165" s="90" t="s">
        <v>217</v>
      </c>
      <c r="K165" s="90">
        <v>41992</v>
      </c>
      <c r="L165" s="89">
        <v>0.3125</v>
      </c>
      <c r="M165" s="91">
        <f t="shared" ref="M165:M171" si="6">12960-42</f>
        <v>12918</v>
      </c>
      <c r="N165" s="188">
        <f t="shared" si="4"/>
        <v>215.3</v>
      </c>
      <c r="O165" s="91">
        <v>7</v>
      </c>
      <c r="P165" s="87" t="s">
        <v>119</v>
      </c>
      <c r="Q165" s="92">
        <v>41983</v>
      </c>
      <c r="R165" s="93">
        <v>0.4465277777777778</v>
      </c>
      <c r="S165" s="87">
        <v>3</v>
      </c>
      <c r="T165" s="87">
        <v>1</v>
      </c>
      <c r="U165" s="87">
        <v>1</v>
      </c>
      <c r="V165" s="94">
        <v>0</v>
      </c>
      <c r="W165" s="87">
        <v>1</v>
      </c>
      <c r="X165" s="95">
        <v>0</v>
      </c>
      <c r="Y165" s="87">
        <v>0</v>
      </c>
      <c r="Z165" s="87">
        <v>0</v>
      </c>
      <c r="AA165" s="87">
        <v>0</v>
      </c>
      <c r="AE165" s="86"/>
    </row>
    <row r="166" spans="1:42" s="25" customFormat="1">
      <c r="A166" s="123">
        <v>163</v>
      </c>
      <c r="B166" s="64">
        <v>9</v>
      </c>
      <c r="C166" s="64" t="s">
        <v>216</v>
      </c>
      <c r="D166" s="64">
        <v>7</v>
      </c>
      <c r="E166" s="64">
        <v>1</v>
      </c>
      <c r="F166" s="64"/>
      <c r="G166" s="64"/>
      <c r="H166" s="64"/>
      <c r="I166" s="96">
        <v>41983</v>
      </c>
      <c r="J166" s="98" t="s">
        <v>217</v>
      </c>
      <c r="K166" s="98">
        <v>41992</v>
      </c>
      <c r="L166" s="97">
        <v>0.3125</v>
      </c>
      <c r="M166" s="99">
        <f t="shared" si="6"/>
        <v>12918</v>
      </c>
      <c r="N166" s="100">
        <f t="shared" si="4"/>
        <v>215.3</v>
      </c>
      <c r="O166" s="99">
        <v>7</v>
      </c>
      <c r="P166" s="64" t="s">
        <v>118</v>
      </c>
      <c r="Q166" s="101">
        <v>41985</v>
      </c>
      <c r="R166" s="102">
        <v>0.38263888888888892</v>
      </c>
      <c r="S166" s="64">
        <v>1</v>
      </c>
      <c r="T166" s="64">
        <v>3</v>
      </c>
      <c r="U166" s="64">
        <v>3</v>
      </c>
      <c r="V166" s="65">
        <v>3</v>
      </c>
      <c r="W166" s="64">
        <v>0</v>
      </c>
      <c r="X166" s="66">
        <v>0</v>
      </c>
      <c r="Y166" s="64">
        <v>0</v>
      </c>
      <c r="Z166" s="64">
        <v>0</v>
      </c>
      <c r="AA166" s="64">
        <v>0</v>
      </c>
      <c r="AE166" s="45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</row>
    <row r="167" spans="1:42" s="25" customFormat="1">
      <c r="A167" s="123">
        <v>164</v>
      </c>
      <c r="B167" s="64">
        <v>9</v>
      </c>
      <c r="C167" s="64" t="s">
        <v>216</v>
      </c>
      <c r="D167" s="64">
        <v>7</v>
      </c>
      <c r="E167" s="64">
        <v>1</v>
      </c>
      <c r="F167" s="64"/>
      <c r="G167" s="64"/>
      <c r="H167" s="64"/>
      <c r="I167" s="96">
        <v>41983</v>
      </c>
      <c r="J167" s="98" t="s">
        <v>217</v>
      </c>
      <c r="K167" s="98">
        <v>41992</v>
      </c>
      <c r="L167" s="97">
        <v>0.3125</v>
      </c>
      <c r="M167" s="99">
        <f t="shared" si="6"/>
        <v>12918</v>
      </c>
      <c r="N167" s="100">
        <f t="shared" si="4"/>
        <v>215.3</v>
      </c>
      <c r="O167" s="99">
        <v>7</v>
      </c>
      <c r="P167" s="64" t="s">
        <v>120</v>
      </c>
      <c r="Q167" s="101">
        <v>41986</v>
      </c>
      <c r="R167" s="102">
        <v>0.40416666666666662</v>
      </c>
      <c r="S167" s="64">
        <v>3</v>
      </c>
      <c r="T167" s="64">
        <v>1</v>
      </c>
      <c r="U167" s="64">
        <v>1</v>
      </c>
      <c r="V167" s="65">
        <v>0</v>
      </c>
      <c r="W167" s="64">
        <v>1</v>
      </c>
      <c r="X167" s="66">
        <v>0</v>
      </c>
      <c r="Y167" s="64">
        <v>0</v>
      </c>
      <c r="Z167" s="64">
        <v>0</v>
      </c>
      <c r="AA167" s="64">
        <v>0</v>
      </c>
      <c r="AE167" s="45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</row>
    <row r="168" spans="1:42" s="25" customFormat="1">
      <c r="A168" s="123">
        <v>165</v>
      </c>
      <c r="B168" s="64">
        <v>9</v>
      </c>
      <c r="C168" s="64" t="s">
        <v>216</v>
      </c>
      <c r="D168" s="64">
        <v>7</v>
      </c>
      <c r="E168" s="64">
        <v>1</v>
      </c>
      <c r="F168" s="64"/>
      <c r="G168" s="64"/>
      <c r="H168" s="64"/>
      <c r="I168" s="96">
        <v>41983</v>
      </c>
      <c r="J168" s="98" t="s">
        <v>217</v>
      </c>
      <c r="K168" s="98">
        <v>41992</v>
      </c>
      <c r="L168" s="97">
        <v>0.3125</v>
      </c>
      <c r="M168" s="99">
        <f t="shared" si="6"/>
        <v>12918</v>
      </c>
      <c r="N168" s="100">
        <f t="shared" si="4"/>
        <v>215.3</v>
      </c>
      <c r="O168" s="99">
        <v>7</v>
      </c>
      <c r="P168" s="64" t="s">
        <v>108</v>
      </c>
      <c r="Q168" s="101">
        <v>41986</v>
      </c>
      <c r="R168" s="102">
        <v>0.71527777777777779</v>
      </c>
      <c r="S168" s="64">
        <v>1</v>
      </c>
      <c r="T168" s="64">
        <v>2</v>
      </c>
      <c r="U168" s="64">
        <v>2</v>
      </c>
      <c r="V168" s="65">
        <v>2</v>
      </c>
      <c r="W168" s="64">
        <v>0</v>
      </c>
      <c r="X168" s="66">
        <v>0</v>
      </c>
      <c r="Y168" s="64">
        <v>0</v>
      </c>
      <c r="Z168" s="64">
        <v>0</v>
      </c>
      <c r="AA168" s="64">
        <v>0</v>
      </c>
      <c r="AE168" s="45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</row>
    <row r="169" spans="1:42" s="25" customFormat="1">
      <c r="A169" s="123">
        <v>166</v>
      </c>
      <c r="B169" s="64">
        <v>9</v>
      </c>
      <c r="C169" s="64" t="s">
        <v>216</v>
      </c>
      <c r="D169" s="64">
        <v>7</v>
      </c>
      <c r="E169" s="64">
        <v>1</v>
      </c>
      <c r="F169" s="64"/>
      <c r="G169" s="64"/>
      <c r="H169" s="64"/>
      <c r="I169" s="96">
        <v>41983</v>
      </c>
      <c r="J169" s="98" t="s">
        <v>217</v>
      </c>
      <c r="K169" s="98">
        <v>41992</v>
      </c>
      <c r="L169" s="97">
        <v>0.3125</v>
      </c>
      <c r="M169" s="99">
        <f t="shared" si="6"/>
        <v>12918</v>
      </c>
      <c r="N169" s="100">
        <f t="shared" si="4"/>
        <v>215.3</v>
      </c>
      <c r="O169" s="99">
        <v>7</v>
      </c>
      <c r="P169" s="64" t="s">
        <v>148</v>
      </c>
      <c r="Q169" s="101">
        <v>41988</v>
      </c>
      <c r="R169" s="102">
        <v>0.22638888888888889</v>
      </c>
      <c r="S169" s="64">
        <v>1</v>
      </c>
      <c r="T169" s="64">
        <v>1</v>
      </c>
      <c r="U169" s="64">
        <v>1</v>
      </c>
      <c r="V169" s="65">
        <v>0</v>
      </c>
      <c r="W169" s="64">
        <v>1</v>
      </c>
      <c r="X169" s="66">
        <v>0</v>
      </c>
      <c r="Y169" s="64">
        <v>0</v>
      </c>
      <c r="Z169" s="64">
        <v>0</v>
      </c>
      <c r="AA169" s="64">
        <v>0</v>
      </c>
      <c r="AE169" s="45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</row>
    <row r="170" spans="1:42" s="25" customFormat="1">
      <c r="A170" s="123">
        <v>167</v>
      </c>
      <c r="B170" s="64">
        <v>9</v>
      </c>
      <c r="C170" s="64" t="s">
        <v>216</v>
      </c>
      <c r="D170" s="64">
        <v>7</v>
      </c>
      <c r="E170" s="64">
        <v>1</v>
      </c>
      <c r="F170" s="64"/>
      <c r="G170" s="64"/>
      <c r="H170" s="64"/>
      <c r="I170" s="96">
        <v>41983</v>
      </c>
      <c r="J170" s="98" t="s">
        <v>217</v>
      </c>
      <c r="K170" s="98">
        <v>41992</v>
      </c>
      <c r="L170" s="97">
        <v>0.3125</v>
      </c>
      <c r="M170" s="99">
        <f t="shared" si="6"/>
        <v>12918</v>
      </c>
      <c r="N170" s="100">
        <f t="shared" si="4"/>
        <v>215.3</v>
      </c>
      <c r="O170" s="99">
        <v>7</v>
      </c>
      <c r="P170" s="64" t="s">
        <v>134</v>
      </c>
      <c r="Q170" s="101">
        <v>41990</v>
      </c>
      <c r="R170" s="102">
        <v>0.26250000000000001</v>
      </c>
      <c r="S170" s="64">
        <v>1</v>
      </c>
      <c r="T170" s="64">
        <v>4</v>
      </c>
      <c r="U170" s="64">
        <v>4</v>
      </c>
      <c r="V170" s="65">
        <v>0</v>
      </c>
      <c r="W170" s="64">
        <v>1</v>
      </c>
      <c r="X170" s="66">
        <v>0</v>
      </c>
      <c r="Y170" s="64">
        <v>0</v>
      </c>
      <c r="Z170" s="64">
        <v>0</v>
      </c>
      <c r="AA170" s="64">
        <v>3</v>
      </c>
      <c r="AE170" s="45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</row>
    <row r="171" spans="1:42" s="68" customFormat="1" ht="15.75" thickBot="1">
      <c r="A171" s="124">
        <v>168</v>
      </c>
      <c r="B171" s="103">
        <v>9</v>
      </c>
      <c r="C171" s="103" t="s">
        <v>216</v>
      </c>
      <c r="D171" s="103">
        <v>7</v>
      </c>
      <c r="E171" s="103">
        <v>1</v>
      </c>
      <c r="F171" s="103"/>
      <c r="G171" s="103"/>
      <c r="H171" s="103"/>
      <c r="I171" s="104">
        <v>41983</v>
      </c>
      <c r="J171" s="106" t="s">
        <v>217</v>
      </c>
      <c r="K171" s="106">
        <v>41992</v>
      </c>
      <c r="L171" s="105">
        <v>0.3125</v>
      </c>
      <c r="M171" s="107">
        <f t="shared" si="6"/>
        <v>12918</v>
      </c>
      <c r="N171" s="108">
        <f t="shared" si="4"/>
        <v>215.3</v>
      </c>
      <c r="O171" s="107">
        <v>7</v>
      </c>
      <c r="P171" s="103" t="s">
        <v>150</v>
      </c>
      <c r="Q171" s="109">
        <v>41990</v>
      </c>
      <c r="R171" s="110">
        <v>0.60625000000000007</v>
      </c>
      <c r="S171" s="103">
        <v>3</v>
      </c>
      <c r="T171" s="103">
        <v>1</v>
      </c>
      <c r="U171" s="103">
        <v>1</v>
      </c>
      <c r="V171" s="111">
        <v>0</v>
      </c>
      <c r="W171" s="103">
        <v>0</v>
      </c>
      <c r="X171" s="112">
        <v>0</v>
      </c>
      <c r="Y171" s="103">
        <v>0</v>
      </c>
      <c r="Z171" s="103">
        <v>0</v>
      </c>
      <c r="AA171" s="103">
        <v>1</v>
      </c>
      <c r="AB171" s="189" t="s">
        <v>41</v>
      </c>
      <c r="AC171" s="189" t="s">
        <v>44</v>
      </c>
      <c r="AD171" s="189" t="s">
        <v>83</v>
      </c>
      <c r="AE171" s="190" t="s">
        <v>86</v>
      </c>
      <c r="AF171" s="189" t="s">
        <v>85</v>
      </c>
    </row>
    <row r="172" spans="1:42" s="64" customFormat="1">
      <c r="A172" s="123">
        <v>169</v>
      </c>
      <c r="B172" s="64">
        <v>1</v>
      </c>
      <c r="C172" s="64" t="s">
        <v>202</v>
      </c>
      <c r="D172" s="64">
        <v>8</v>
      </c>
      <c r="E172" s="64">
        <v>1</v>
      </c>
      <c r="I172" s="96">
        <v>41989</v>
      </c>
      <c r="J172" s="97">
        <v>0.35833333333333334</v>
      </c>
      <c r="K172" s="98">
        <v>41996</v>
      </c>
      <c r="L172" s="97">
        <v>0.34722222222222227</v>
      </c>
      <c r="M172" s="99">
        <f t="shared" ref="M172:M199" si="7">10080-16</f>
        <v>10064</v>
      </c>
      <c r="N172" s="100">
        <f t="shared" si="4"/>
        <v>167.73333333333332</v>
      </c>
      <c r="O172" s="99">
        <v>28</v>
      </c>
      <c r="P172" s="64" t="s">
        <v>104</v>
      </c>
      <c r="Q172" s="101">
        <v>41989</v>
      </c>
      <c r="R172" s="102">
        <v>0.38263888888888892</v>
      </c>
      <c r="S172" s="64">
        <v>3</v>
      </c>
      <c r="T172" s="64">
        <v>1</v>
      </c>
      <c r="U172" s="64">
        <v>1</v>
      </c>
      <c r="V172" s="65">
        <v>0</v>
      </c>
      <c r="W172" s="64">
        <v>1</v>
      </c>
      <c r="X172" s="66">
        <v>0</v>
      </c>
      <c r="Y172" s="64">
        <v>0</v>
      </c>
      <c r="Z172" s="64">
        <v>0</v>
      </c>
      <c r="AA172" s="64">
        <v>0</v>
      </c>
      <c r="AB172" s="64">
        <v>10</v>
      </c>
      <c r="AC172" s="64">
        <v>3.1</v>
      </c>
      <c r="AD172" s="64">
        <v>0.65</v>
      </c>
      <c r="AE172" s="100">
        <v>0.33</v>
      </c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</row>
    <row r="173" spans="1:42" s="64" customFormat="1">
      <c r="A173" s="123">
        <v>170</v>
      </c>
      <c r="B173" s="64">
        <v>1</v>
      </c>
      <c r="C173" s="64" t="s">
        <v>202</v>
      </c>
      <c r="D173" s="64">
        <v>8</v>
      </c>
      <c r="E173" s="64">
        <v>1</v>
      </c>
      <c r="I173" s="96">
        <v>41989</v>
      </c>
      <c r="J173" s="97">
        <v>0.35833333333333334</v>
      </c>
      <c r="K173" s="98">
        <v>41996</v>
      </c>
      <c r="L173" s="97">
        <v>0.34722222222222227</v>
      </c>
      <c r="M173" s="99">
        <f t="shared" si="7"/>
        <v>10064</v>
      </c>
      <c r="N173" s="100">
        <f t="shared" si="4"/>
        <v>167.73333333333332</v>
      </c>
      <c r="O173" s="99">
        <v>28</v>
      </c>
      <c r="P173" s="64" t="s">
        <v>107</v>
      </c>
      <c r="Q173" s="101">
        <v>41989</v>
      </c>
      <c r="R173" s="102">
        <v>0.68611111111111101</v>
      </c>
      <c r="S173" s="64">
        <v>3</v>
      </c>
      <c r="T173" s="64">
        <v>1</v>
      </c>
      <c r="U173" s="64">
        <v>1</v>
      </c>
      <c r="V173" s="65">
        <v>0</v>
      </c>
      <c r="W173" s="64">
        <v>1</v>
      </c>
      <c r="X173" s="66">
        <v>0</v>
      </c>
      <c r="Y173" s="64">
        <v>0</v>
      </c>
      <c r="Z173" s="64">
        <v>0</v>
      </c>
      <c r="AA173" s="64">
        <v>0</v>
      </c>
      <c r="AB173" s="64">
        <v>20</v>
      </c>
      <c r="AC173" s="64">
        <v>4</v>
      </c>
      <c r="AD173" s="64">
        <v>3.7</v>
      </c>
      <c r="AE173" s="100">
        <v>0.46</v>
      </c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</row>
    <row r="174" spans="1:42" s="64" customFormat="1">
      <c r="A174" s="123">
        <v>171</v>
      </c>
      <c r="B174" s="64">
        <v>1</v>
      </c>
      <c r="C174" s="64" t="s">
        <v>202</v>
      </c>
      <c r="D174" s="64">
        <v>8</v>
      </c>
      <c r="E174" s="64">
        <v>1</v>
      </c>
      <c r="I174" s="96">
        <v>41989</v>
      </c>
      <c r="J174" s="97">
        <v>0.35833333333333334</v>
      </c>
      <c r="K174" s="98">
        <v>41996</v>
      </c>
      <c r="L174" s="97">
        <v>0.34722222222222227</v>
      </c>
      <c r="M174" s="99">
        <f t="shared" si="7"/>
        <v>10064</v>
      </c>
      <c r="N174" s="100">
        <f t="shared" si="4"/>
        <v>167.73333333333332</v>
      </c>
      <c r="O174" s="99">
        <v>28</v>
      </c>
      <c r="P174" s="64" t="s">
        <v>119</v>
      </c>
      <c r="Q174" s="101">
        <v>41989</v>
      </c>
      <c r="R174" s="102">
        <v>0.77500000000000002</v>
      </c>
      <c r="S174" s="64">
        <v>1</v>
      </c>
      <c r="T174" s="64">
        <v>1</v>
      </c>
      <c r="U174" s="64">
        <v>1</v>
      </c>
      <c r="V174" s="65">
        <v>0</v>
      </c>
      <c r="W174" s="64">
        <v>1</v>
      </c>
      <c r="X174" s="66">
        <v>0</v>
      </c>
      <c r="Y174" s="64">
        <v>0</v>
      </c>
      <c r="Z174" s="64">
        <v>0</v>
      </c>
      <c r="AA174" s="64">
        <v>0</v>
      </c>
      <c r="AB174" s="64">
        <v>25</v>
      </c>
      <c r="AC174" s="64">
        <v>9.6</v>
      </c>
      <c r="AD174" s="64">
        <v>5.2</v>
      </c>
      <c r="AE174" s="100">
        <v>0.17</v>
      </c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</row>
    <row r="175" spans="1:42" s="64" customFormat="1">
      <c r="A175" s="123">
        <v>172</v>
      </c>
      <c r="B175" s="64">
        <v>1</v>
      </c>
      <c r="C175" s="64" t="s">
        <v>202</v>
      </c>
      <c r="D175" s="64">
        <v>8</v>
      </c>
      <c r="E175" s="64">
        <v>1</v>
      </c>
      <c r="I175" s="96">
        <v>41989</v>
      </c>
      <c r="J175" s="97">
        <v>0.35833333333333334</v>
      </c>
      <c r="K175" s="98">
        <v>41996</v>
      </c>
      <c r="L175" s="97">
        <v>0.34722222222222227</v>
      </c>
      <c r="M175" s="99">
        <f t="shared" si="7"/>
        <v>10064</v>
      </c>
      <c r="N175" s="100">
        <f t="shared" si="4"/>
        <v>167.73333333333332</v>
      </c>
      <c r="O175" s="99">
        <v>28</v>
      </c>
      <c r="P175" s="64" t="s">
        <v>297</v>
      </c>
      <c r="Q175" s="101">
        <v>41990</v>
      </c>
      <c r="R175" s="102">
        <v>7.8472222222222221E-2</v>
      </c>
      <c r="S175" s="64">
        <v>1</v>
      </c>
      <c r="T175" s="64">
        <v>1</v>
      </c>
      <c r="U175" s="64">
        <v>1</v>
      </c>
      <c r="V175" s="65">
        <v>1</v>
      </c>
      <c r="W175" s="64">
        <v>0</v>
      </c>
      <c r="X175" s="66">
        <v>0</v>
      </c>
      <c r="Y175" s="64">
        <v>0</v>
      </c>
      <c r="Z175" s="64">
        <v>0</v>
      </c>
      <c r="AA175" s="64">
        <v>0</v>
      </c>
      <c r="AE175" s="100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</row>
    <row r="176" spans="1:42" s="64" customFormat="1">
      <c r="A176" s="123">
        <v>173</v>
      </c>
      <c r="B176" s="64">
        <v>1</v>
      </c>
      <c r="C176" s="64" t="s">
        <v>202</v>
      </c>
      <c r="D176" s="64">
        <v>8</v>
      </c>
      <c r="E176" s="64">
        <v>1</v>
      </c>
      <c r="I176" s="96">
        <v>41989</v>
      </c>
      <c r="J176" s="97">
        <v>0.35833333333333334</v>
      </c>
      <c r="K176" s="98">
        <v>41996</v>
      </c>
      <c r="L176" s="97">
        <v>0.34722222222222227</v>
      </c>
      <c r="M176" s="99">
        <f t="shared" si="7"/>
        <v>10064</v>
      </c>
      <c r="N176" s="100">
        <f t="shared" si="4"/>
        <v>167.73333333333332</v>
      </c>
      <c r="O176" s="99">
        <v>28</v>
      </c>
      <c r="P176" s="64" t="s">
        <v>156</v>
      </c>
      <c r="Q176" s="101">
        <v>41990</v>
      </c>
      <c r="R176" s="102">
        <v>0.25833333333333336</v>
      </c>
      <c r="S176" s="64">
        <v>6</v>
      </c>
      <c r="T176" s="64">
        <v>1</v>
      </c>
      <c r="U176" s="64">
        <v>0</v>
      </c>
      <c r="V176" s="65">
        <v>0</v>
      </c>
      <c r="W176" s="64">
        <v>0</v>
      </c>
      <c r="X176" s="66">
        <v>1</v>
      </c>
      <c r="Y176" s="64">
        <v>0</v>
      </c>
      <c r="Z176" s="64">
        <v>0</v>
      </c>
      <c r="AA176" s="64">
        <v>0</v>
      </c>
      <c r="AE176" s="100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</row>
    <row r="177" spans="1:42" s="64" customFormat="1">
      <c r="A177" s="123">
        <v>174</v>
      </c>
      <c r="B177" s="64">
        <v>1</v>
      </c>
      <c r="C177" s="64" t="s">
        <v>202</v>
      </c>
      <c r="D177" s="64">
        <v>8</v>
      </c>
      <c r="E177" s="64">
        <v>1</v>
      </c>
      <c r="I177" s="96">
        <v>41989</v>
      </c>
      <c r="J177" s="97">
        <v>0.35833333333333334</v>
      </c>
      <c r="K177" s="98">
        <v>41996</v>
      </c>
      <c r="L177" s="97">
        <v>0.34722222222222227</v>
      </c>
      <c r="M177" s="99">
        <f t="shared" si="7"/>
        <v>10064</v>
      </c>
      <c r="N177" s="100">
        <f t="shared" si="4"/>
        <v>167.73333333333332</v>
      </c>
      <c r="O177" s="99">
        <v>28</v>
      </c>
      <c r="P177" s="64" t="s">
        <v>136</v>
      </c>
      <c r="Q177" s="101">
        <v>41990</v>
      </c>
      <c r="R177" s="102">
        <v>0.83194444444444438</v>
      </c>
      <c r="S177" s="64">
        <v>1</v>
      </c>
      <c r="T177" s="64">
        <v>1</v>
      </c>
      <c r="U177" s="64">
        <v>0</v>
      </c>
      <c r="V177" s="65">
        <v>0</v>
      </c>
      <c r="W177" s="64">
        <v>0</v>
      </c>
      <c r="X177" s="66">
        <v>0</v>
      </c>
      <c r="Y177" s="64">
        <v>0</v>
      </c>
      <c r="Z177" s="64">
        <v>0</v>
      </c>
      <c r="AA177" s="64">
        <v>1</v>
      </c>
      <c r="AE177" s="100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</row>
    <row r="178" spans="1:42" s="64" customFormat="1">
      <c r="A178" s="123">
        <v>175</v>
      </c>
      <c r="B178" s="64">
        <v>1</v>
      </c>
      <c r="C178" s="64" t="s">
        <v>202</v>
      </c>
      <c r="D178" s="64">
        <v>8</v>
      </c>
      <c r="E178" s="64">
        <v>1</v>
      </c>
      <c r="I178" s="96">
        <v>41989</v>
      </c>
      <c r="J178" s="97">
        <v>0.35833333333333334</v>
      </c>
      <c r="K178" s="98">
        <v>41996</v>
      </c>
      <c r="L178" s="97">
        <v>0.34722222222222227</v>
      </c>
      <c r="M178" s="99">
        <f t="shared" si="7"/>
        <v>10064</v>
      </c>
      <c r="N178" s="100">
        <f t="shared" si="4"/>
        <v>167.73333333333332</v>
      </c>
      <c r="O178" s="99">
        <v>28</v>
      </c>
      <c r="P178" s="64" t="s">
        <v>303</v>
      </c>
      <c r="Q178" s="101">
        <v>41991</v>
      </c>
      <c r="R178" s="102">
        <v>0.10972222222222222</v>
      </c>
      <c r="S178" s="64">
        <v>1</v>
      </c>
      <c r="T178" s="64">
        <v>2</v>
      </c>
      <c r="U178" s="64">
        <v>2</v>
      </c>
      <c r="V178" s="65">
        <v>2</v>
      </c>
      <c r="W178" s="64">
        <v>0</v>
      </c>
      <c r="X178" s="66">
        <v>0</v>
      </c>
      <c r="Y178" s="64">
        <v>0</v>
      </c>
      <c r="Z178" s="64">
        <v>0</v>
      </c>
      <c r="AA178" s="64">
        <v>0</v>
      </c>
      <c r="AE178" s="100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</row>
    <row r="179" spans="1:42" s="64" customFormat="1">
      <c r="A179" s="123">
        <v>176</v>
      </c>
      <c r="B179" s="64">
        <v>1</v>
      </c>
      <c r="C179" s="64" t="s">
        <v>202</v>
      </c>
      <c r="D179" s="64">
        <v>8</v>
      </c>
      <c r="E179" s="64">
        <v>1</v>
      </c>
      <c r="I179" s="96">
        <v>41989</v>
      </c>
      <c r="J179" s="97">
        <v>0.35833333333333334</v>
      </c>
      <c r="K179" s="98">
        <v>41996</v>
      </c>
      <c r="L179" s="97">
        <v>0.34722222222222227</v>
      </c>
      <c r="M179" s="99">
        <f t="shared" si="7"/>
        <v>10064</v>
      </c>
      <c r="N179" s="100">
        <f t="shared" si="4"/>
        <v>167.73333333333332</v>
      </c>
      <c r="O179" s="99">
        <v>28</v>
      </c>
      <c r="P179" s="64" t="s">
        <v>152</v>
      </c>
      <c r="Q179" s="101">
        <v>41991</v>
      </c>
      <c r="R179" s="102">
        <v>0.42777777777777781</v>
      </c>
      <c r="S179" s="64">
        <v>3</v>
      </c>
      <c r="T179" s="64">
        <v>1</v>
      </c>
      <c r="U179" s="64">
        <v>1</v>
      </c>
      <c r="V179" s="65">
        <v>0</v>
      </c>
      <c r="W179" s="64">
        <v>0</v>
      </c>
      <c r="X179" s="66">
        <v>0</v>
      </c>
      <c r="Y179" s="64">
        <v>0</v>
      </c>
      <c r="Z179" s="64">
        <v>0</v>
      </c>
      <c r="AA179" s="64">
        <v>1</v>
      </c>
      <c r="AE179" s="100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</row>
    <row r="180" spans="1:42" s="64" customFormat="1">
      <c r="A180" s="123">
        <v>177</v>
      </c>
      <c r="B180" s="64">
        <v>1</v>
      </c>
      <c r="C180" s="64" t="s">
        <v>202</v>
      </c>
      <c r="D180" s="64">
        <v>8</v>
      </c>
      <c r="E180" s="64">
        <v>1</v>
      </c>
      <c r="I180" s="96">
        <v>41989</v>
      </c>
      <c r="J180" s="97">
        <v>0.35833333333333334</v>
      </c>
      <c r="K180" s="98">
        <v>41996</v>
      </c>
      <c r="L180" s="97">
        <v>0.34722222222222227</v>
      </c>
      <c r="M180" s="99">
        <f t="shared" si="7"/>
        <v>10064</v>
      </c>
      <c r="N180" s="100">
        <f t="shared" si="4"/>
        <v>167.73333333333332</v>
      </c>
      <c r="O180" s="99">
        <v>28</v>
      </c>
      <c r="P180" s="64" t="s">
        <v>144</v>
      </c>
      <c r="Q180" s="101">
        <v>41991</v>
      </c>
      <c r="R180" s="102">
        <v>0.84166666666666667</v>
      </c>
      <c r="S180" s="64">
        <v>1</v>
      </c>
      <c r="T180" s="64">
        <v>1</v>
      </c>
      <c r="U180" s="64">
        <v>1</v>
      </c>
      <c r="V180" s="65">
        <v>1</v>
      </c>
      <c r="W180" s="64">
        <v>0</v>
      </c>
      <c r="X180" s="66">
        <v>0</v>
      </c>
      <c r="Y180" s="64">
        <v>0</v>
      </c>
      <c r="Z180" s="64">
        <v>0</v>
      </c>
      <c r="AA180" s="64">
        <v>0</v>
      </c>
      <c r="AE180" s="100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</row>
    <row r="181" spans="1:42" s="64" customFormat="1">
      <c r="A181" s="123">
        <v>178</v>
      </c>
      <c r="B181" s="64">
        <v>1</v>
      </c>
      <c r="C181" s="64" t="s">
        <v>202</v>
      </c>
      <c r="D181" s="64">
        <v>8</v>
      </c>
      <c r="E181" s="64">
        <v>1</v>
      </c>
      <c r="I181" s="96">
        <v>41989</v>
      </c>
      <c r="J181" s="97">
        <v>0.35833333333333334</v>
      </c>
      <c r="K181" s="98">
        <v>41996</v>
      </c>
      <c r="L181" s="97">
        <v>0.34722222222222227</v>
      </c>
      <c r="M181" s="99">
        <f t="shared" si="7"/>
        <v>10064</v>
      </c>
      <c r="N181" s="100">
        <f t="shared" si="4"/>
        <v>167.73333333333332</v>
      </c>
      <c r="O181" s="99">
        <v>28</v>
      </c>
      <c r="P181" s="64" t="s">
        <v>110</v>
      </c>
      <c r="Q181" s="101">
        <v>41991</v>
      </c>
      <c r="R181" s="102">
        <v>0.9145833333333333</v>
      </c>
      <c r="S181" s="64">
        <v>1</v>
      </c>
      <c r="T181" s="64">
        <v>4</v>
      </c>
      <c r="U181" s="64">
        <v>2</v>
      </c>
      <c r="V181" s="65">
        <v>2</v>
      </c>
      <c r="W181" s="64">
        <v>0</v>
      </c>
      <c r="X181" s="66">
        <v>2</v>
      </c>
      <c r="Y181" s="64">
        <v>0</v>
      </c>
      <c r="Z181" s="64">
        <v>0</v>
      </c>
      <c r="AA181" s="64">
        <v>0</v>
      </c>
      <c r="AE181" s="100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</row>
    <row r="182" spans="1:42" s="64" customFormat="1">
      <c r="A182" s="123">
        <v>179</v>
      </c>
      <c r="B182" s="64">
        <v>1</v>
      </c>
      <c r="C182" s="64" t="s">
        <v>202</v>
      </c>
      <c r="D182" s="64">
        <v>8</v>
      </c>
      <c r="E182" s="64">
        <v>1</v>
      </c>
      <c r="I182" s="96">
        <v>41989</v>
      </c>
      <c r="J182" s="97">
        <v>0.35833333333333334</v>
      </c>
      <c r="K182" s="98">
        <v>41996</v>
      </c>
      <c r="L182" s="97">
        <v>0.34722222222222227</v>
      </c>
      <c r="M182" s="99">
        <f t="shared" si="7"/>
        <v>10064</v>
      </c>
      <c r="N182" s="100">
        <f t="shared" si="4"/>
        <v>167.73333333333332</v>
      </c>
      <c r="O182" s="99">
        <v>28</v>
      </c>
      <c r="P182" s="64" t="s">
        <v>114</v>
      </c>
      <c r="Q182" s="101">
        <v>41992</v>
      </c>
      <c r="R182" s="102">
        <v>0.12083333333333333</v>
      </c>
      <c r="S182" s="64">
        <v>1</v>
      </c>
      <c r="T182" s="64">
        <v>3</v>
      </c>
      <c r="U182" s="64">
        <v>3</v>
      </c>
      <c r="V182" s="65">
        <v>3</v>
      </c>
      <c r="W182" s="64">
        <v>0</v>
      </c>
      <c r="X182" s="66">
        <v>0</v>
      </c>
      <c r="Y182" s="64">
        <v>0</v>
      </c>
      <c r="Z182" s="64">
        <v>0</v>
      </c>
      <c r="AA182" s="64">
        <v>0</v>
      </c>
      <c r="AE182" s="100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</row>
    <row r="183" spans="1:42" s="64" customFormat="1">
      <c r="A183" s="123">
        <v>180</v>
      </c>
      <c r="B183" s="64">
        <v>1</v>
      </c>
      <c r="C183" s="64" t="s">
        <v>202</v>
      </c>
      <c r="D183" s="64">
        <v>8</v>
      </c>
      <c r="E183" s="64">
        <v>1</v>
      </c>
      <c r="I183" s="96">
        <v>41989</v>
      </c>
      <c r="J183" s="97">
        <v>0.35833333333333334</v>
      </c>
      <c r="K183" s="98">
        <v>41996</v>
      </c>
      <c r="L183" s="97">
        <v>0.34722222222222227</v>
      </c>
      <c r="M183" s="99">
        <f t="shared" si="7"/>
        <v>10064</v>
      </c>
      <c r="N183" s="100">
        <f t="shared" si="4"/>
        <v>167.73333333333332</v>
      </c>
      <c r="O183" s="99">
        <v>28</v>
      </c>
      <c r="P183" s="64" t="s">
        <v>111</v>
      </c>
      <c r="Q183" s="101">
        <v>41992</v>
      </c>
      <c r="R183" s="102">
        <v>0.39374999999999999</v>
      </c>
      <c r="S183" s="64">
        <v>3</v>
      </c>
      <c r="T183" s="64">
        <v>1</v>
      </c>
      <c r="U183" s="64">
        <v>1</v>
      </c>
      <c r="V183" s="65">
        <v>0</v>
      </c>
      <c r="W183" s="64">
        <v>1</v>
      </c>
      <c r="X183" s="66">
        <v>0</v>
      </c>
      <c r="Y183" s="64">
        <v>0</v>
      </c>
      <c r="Z183" s="64">
        <v>0</v>
      </c>
      <c r="AA183" s="64">
        <v>0</v>
      </c>
      <c r="AE183" s="100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</row>
    <row r="184" spans="1:42" s="64" customFormat="1">
      <c r="A184" s="123">
        <v>181</v>
      </c>
      <c r="B184" s="64">
        <v>1</v>
      </c>
      <c r="C184" s="64" t="s">
        <v>202</v>
      </c>
      <c r="D184" s="64">
        <v>8</v>
      </c>
      <c r="E184" s="64">
        <v>1</v>
      </c>
      <c r="I184" s="96">
        <v>41989</v>
      </c>
      <c r="J184" s="97">
        <v>0.35833333333333334</v>
      </c>
      <c r="K184" s="98">
        <v>41996</v>
      </c>
      <c r="L184" s="97">
        <v>0.34722222222222227</v>
      </c>
      <c r="M184" s="99">
        <f t="shared" si="7"/>
        <v>10064</v>
      </c>
      <c r="N184" s="100">
        <f t="shared" si="4"/>
        <v>167.73333333333332</v>
      </c>
      <c r="O184" s="99">
        <v>28</v>
      </c>
      <c r="P184" s="64" t="s">
        <v>112</v>
      </c>
      <c r="Q184" s="101">
        <v>41992</v>
      </c>
      <c r="R184" s="102">
        <v>0.74583333333333324</v>
      </c>
      <c r="S184" s="64">
        <v>1</v>
      </c>
      <c r="T184" s="64">
        <v>4</v>
      </c>
      <c r="U184" s="64">
        <v>4</v>
      </c>
      <c r="V184" s="65">
        <v>0</v>
      </c>
      <c r="W184" s="64">
        <v>2</v>
      </c>
      <c r="X184" s="66">
        <v>0</v>
      </c>
      <c r="Y184" s="64">
        <v>0</v>
      </c>
      <c r="Z184" s="64">
        <v>0</v>
      </c>
      <c r="AA184" s="64">
        <v>2</v>
      </c>
      <c r="AE184" s="100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</row>
    <row r="185" spans="1:42" s="64" customFormat="1">
      <c r="A185" s="123">
        <v>182</v>
      </c>
      <c r="B185" s="64">
        <v>1</v>
      </c>
      <c r="C185" s="64" t="s">
        <v>202</v>
      </c>
      <c r="D185" s="64">
        <v>8</v>
      </c>
      <c r="E185" s="64">
        <v>1</v>
      </c>
      <c r="I185" s="96">
        <v>41989</v>
      </c>
      <c r="J185" s="97">
        <v>0.35833333333333334</v>
      </c>
      <c r="K185" s="98">
        <v>41996</v>
      </c>
      <c r="L185" s="97">
        <v>0.34722222222222227</v>
      </c>
      <c r="M185" s="99">
        <f t="shared" si="7"/>
        <v>10064</v>
      </c>
      <c r="N185" s="100">
        <f t="shared" si="4"/>
        <v>167.73333333333332</v>
      </c>
      <c r="O185" s="99">
        <v>28</v>
      </c>
      <c r="P185" s="64" t="s">
        <v>301</v>
      </c>
      <c r="Q185" s="101">
        <v>41993</v>
      </c>
      <c r="R185" s="102">
        <v>4.7916666666666663E-2</v>
      </c>
      <c r="S185" s="64">
        <v>1</v>
      </c>
      <c r="T185" s="64">
        <v>4</v>
      </c>
      <c r="U185" s="64">
        <v>4</v>
      </c>
      <c r="V185" s="65">
        <v>0</v>
      </c>
      <c r="W185" s="64">
        <v>0</v>
      </c>
      <c r="X185" s="66">
        <v>0</v>
      </c>
      <c r="Y185" s="64">
        <v>0</v>
      </c>
      <c r="Z185" s="64">
        <v>0</v>
      </c>
      <c r="AA185" s="64">
        <v>4</v>
      </c>
      <c r="AE185" s="100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</row>
    <row r="186" spans="1:42" s="64" customFormat="1">
      <c r="A186" s="123">
        <v>183</v>
      </c>
      <c r="B186" s="64">
        <v>1</v>
      </c>
      <c r="C186" s="64" t="s">
        <v>202</v>
      </c>
      <c r="D186" s="64">
        <v>8</v>
      </c>
      <c r="E186" s="64">
        <v>1</v>
      </c>
      <c r="I186" s="96">
        <v>41989</v>
      </c>
      <c r="J186" s="97">
        <v>0.35833333333333334</v>
      </c>
      <c r="K186" s="98">
        <v>41996</v>
      </c>
      <c r="L186" s="97">
        <v>0.34722222222222227</v>
      </c>
      <c r="M186" s="99">
        <f t="shared" si="7"/>
        <v>10064</v>
      </c>
      <c r="N186" s="100">
        <f t="shared" si="4"/>
        <v>167.73333333333332</v>
      </c>
      <c r="O186" s="99">
        <v>28</v>
      </c>
      <c r="P186" s="64" t="s">
        <v>304</v>
      </c>
      <c r="Q186" s="101">
        <v>41993</v>
      </c>
      <c r="R186" s="102">
        <v>9.3055555555555558E-2</v>
      </c>
      <c r="S186" s="64">
        <v>1</v>
      </c>
      <c r="T186" s="64">
        <v>3</v>
      </c>
      <c r="U186" s="64">
        <v>3</v>
      </c>
      <c r="V186" s="65">
        <v>0</v>
      </c>
      <c r="W186" s="64">
        <v>0</v>
      </c>
      <c r="X186" s="66">
        <v>0</v>
      </c>
      <c r="Y186" s="64">
        <v>0</v>
      </c>
      <c r="Z186" s="64">
        <v>0</v>
      </c>
      <c r="AA186" s="64">
        <v>3</v>
      </c>
      <c r="AE186" s="100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</row>
    <row r="187" spans="1:42" s="64" customFormat="1">
      <c r="A187" s="123">
        <v>184</v>
      </c>
      <c r="B187" s="64">
        <v>1</v>
      </c>
      <c r="C187" s="64" t="s">
        <v>202</v>
      </c>
      <c r="D187" s="64">
        <v>8</v>
      </c>
      <c r="E187" s="64">
        <v>1</v>
      </c>
      <c r="I187" s="96">
        <v>41989</v>
      </c>
      <c r="J187" s="97">
        <v>0.35833333333333334</v>
      </c>
      <c r="K187" s="98">
        <v>41996</v>
      </c>
      <c r="L187" s="97">
        <v>0.34722222222222227</v>
      </c>
      <c r="M187" s="99">
        <f t="shared" si="7"/>
        <v>10064</v>
      </c>
      <c r="N187" s="100">
        <f t="shared" si="4"/>
        <v>167.73333333333332</v>
      </c>
      <c r="O187" s="99">
        <v>28</v>
      </c>
      <c r="P187" s="64" t="s">
        <v>305</v>
      </c>
      <c r="Q187" s="101">
        <v>41993</v>
      </c>
      <c r="R187" s="102">
        <v>0.34097222222222223</v>
      </c>
      <c r="S187" s="64">
        <v>6</v>
      </c>
      <c r="T187" s="64">
        <v>1</v>
      </c>
      <c r="U187" s="64">
        <v>1</v>
      </c>
      <c r="V187" s="65">
        <v>1</v>
      </c>
      <c r="W187" s="64">
        <v>0</v>
      </c>
      <c r="X187" s="66">
        <v>0</v>
      </c>
      <c r="Y187" s="64">
        <v>0</v>
      </c>
      <c r="Z187" s="64">
        <v>0</v>
      </c>
      <c r="AA187" s="64">
        <v>0</v>
      </c>
      <c r="AE187" s="100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</row>
    <row r="188" spans="1:42" s="64" customFormat="1">
      <c r="A188" s="123">
        <v>185</v>
      </c>
      <c r="B188" s="64">
        <v>1</v>
      </c>
      <c r="C188" s="64" t="s">
        <v>202</v>
      </c>
      <c r="D188" s="64">
        <v>8</v>
      </c>
      <c r="E188" s="64">
        <v>1</v>
      </c>
      <c r="I188" s="96">
        <v>41989</v>
      </c>
      <c r="J188" s="97">
        <v>0.35833333333333334</v>
      </c>
      <c r="K188" s="98">
        <v>41996</v>
      </c>
      <c r="L188" s="97">
        <v>0.34722222222222227</v>
      </c>
      <c r="M188" s="99">
        <f t="shared" si="7"/>
        <v>10064</v>
      </c>
      <c r="N188" s="100">
        <f t="shared" si="4"/>
        <v>167.73333333333332</v>
      </c>
      <c r="O188" s="99">
        <v>28</v>
      </c>
      <c r="P188" s="64" t="s">
        <v>306</v>
      </c>
      <c r="Q188" s="101">
        <v>41993</v>
      </c>
      <c r="R188" s="102">
        <v>0.76597222222222217</v>
      </c>
      <c r="S188" s="64">
        <v>1</v>
      </c>
      <c r="T188" s="64">
        <v>5</v>
      </c>
      <c r="U188" s="64">
        <v>4</v>
      </c>
      <c r="V188" s="65">
        <v>2</v>
      </c>
      <c r="W188" s="64">
        <v>0</v>
      </c>
      <c r="X188" s="66">
        <v>1</v>
      </c>
      <c r="Y188" s="64">
        <v>0</v>
      </c>
      <c r="Z188" s="64">
        <v>0</v>
      </c>
      <c r="AA188" s="64">
        <v>2</v>
      </c>
      <c r="AE188" s="100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</row>
    <row r="189" spans="1:42" s="64" customFormat="1">
      <c r="A189" s="123">
        <v>186</v>
      </c>
      <c r="B189" s="64">
        <v>1</v>
      </c>
      <c r="C189" s="64" t="s">
        <v>202</v>
      </c>
      <c r="D189" s="64">
        <v>8</v>
      </c>
      <c r="E189" s="64">
        <v>1</v>
      </c>
      <c r="I189" s="96">
        <v>41989</v>
      </c>
      <c r="J189" s="97">
        <v>0.35833333333333334</v>
      </c>
      <c r="K189" s="98">
        <v>41996</v>
      </c>
      <c r="L189" s="97">
        <v>0.34722222222222227</v>
      </c>
      <c r="M189" s="99">
        <f t="shared" si="7"/>
        <v>10064</v>
      </c>
      <c r="N189" s="100">
        <f t="shared" si="4"/>
        <v>167.73333333333332</v>
      </c>
      <c r="O189" s="99">
        <v>28</v>
      </c>
      <c r="P189" s="64" t="s">
        <v>307</v>
      </c>
      <c r="Q189" s="101">
        <v>41993</v>
      </c>
      <c r="R189" s="102">
        <v>0.94513888888888886</v>
      </c>
      <c r="S189" s="64">
        <v>1</v>
      </c>
      <c r="T189" s="64">
        <v>2</v>
      </c>
      <c r="U189" s="64">
        <v>2</v>
      </c>
      <c r="V189" s="65">
        <v>2</v>
      </c>
      <c r="W189" s="64">
        <v>0</v>
      </c>
      <c r="X189" s="66">
        <v>0</v>
      </c>
      <c r="Y189" s="64">
        <v>0</v>
      </c>
      <c r="Z189" s="64">
        <v>0</v>
      </c>
      <c r="AA189" s="64">
        <v>0</v>
      </c>
      <c r="AE189" s="100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</row>
    <row r="190" spans="1:42" s="64" customFormat="1">
      <c r="A190" s="123">
        <v>187</v>
      </c>
      <c r="B190" s="64">
        <v>1</v>
      </c>
      <c r="C190" s="64" t="s">
        <v>202</v>
      </c>
      <c r="D190" s="64">
        <v>8</v>
      </c>
      <c r="E190" s="64">
        <v>1</v>
      </c>
      <c r="I190" s="96">
        <v>41989</v>
      </c>
      <c r="J190" s="97">
        <v>0.35833333333333334</v>
      </c>
      <c r="K190" s="98">
        <v>41996</v>
      </c>
      <c r="L190" s="97">
        <v>0.34722222222222227</v>
      </c>
      <c r="M190" s="99">
        <f t="shared" si="7"/>
        <v>10064</v>
      </c>
      <c r="N190" s="100">
        <f t="shared" si="4"/>
        <v>167.73333333333332</v>
      </c>
      <c r="O190" s="99">
        <v>28</v>
      </c>
      <c r="P190" s="64" t="s">
        <v>308</v>
      </c>
      <c r="Q190" s="101">
        <v>41994</v>
      </c>
      <c r="R190" s="102">
        <v>0.12708333333333333</v>
      </c>
      <c r="S190" s="64">
        <v>1</v>
      </c>
      <c r="T190" s="64">
        <v>6</v>
      </c>
      <c r="U190" s="64">
        <v>6</v>
      </c>
      <c r="V190" s="65">
        <v>4</v>
      </c>
      <c r="W190" s="64">
        <v>2</v>
      </c>
      <c r="X190" s="66">
        <v>0</v>
      </c>
      <c r="Y190" s="64">
        <v>0</v>
      </c>
      <c r="Z190" s="64">
        <v>0</v>
      </c>
      <c r="AA190" s="64">
        <v>0</v>
      </c>
      <c r="AE190" s="100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</row>
    <row r="191" spans="1:42" s="64" customFormat="1">
      <c r="A191" s="123">
        <v>188</v>
      </c>
      <c r="B191" s="64">
        <v>1</v>
      </c>
      <c r="C191" s="64" t="s">
        <v>202</v>
      </c>
      <c r="D191" s="64">
        <v>8</v>
      </c>
      <c r="E191" s="64">
        <v>1</v>
      </c>
      <c r="I191" s="96">
        <v>41989</v>
      </c>
      <c r="J191" s="97">
        <v>0.35833333333333334</v>
      </c>
      <c r="K191" s="98">
        <v>41996</v>
      </c>
      <c r="L191" s="97">
        <v>0.34722222222222227</v>
      </c>
      <c r="M191" s="99">
        <f t="shared" si="7"/>
        <v>10064</v>
      </c>
      <c r="N191" s="100">
        <f t="shared" ref="N191:N254" si="8">VALUE(M191/60)</f>
        <v>167.73333333333332</v>
      </c>
      <c r="O191" s="99">
        <v>28</v>
      </c>
      <c r="P191" s="64" t="s">
        <v>203</v>
      </c>
      <c r="Q191" s="101">
        <v>41995</v>
      </c>
      <c r="R191" s="102">
        <v>4.7222222222222221E-2</v>
      </c>
      <c r="S191" s="64">
        <v>1</v>
      </c>
      <c r="T191" s="64">
        <v>4</v>
      </c>
      <c r="U191" s="64">
        <v>4</v>
      </c>
      <c r="V191" s="65">
        <v>4</v>
      </c>
      <c r="W191" s="64">
        <v>0</v>
      </c>
      <c r="X191" s="66">
        <v>0</v>
      </c>
      <c r="Y191" s="64">
        <v>0</v>
      </c>
      <c r="Z191" s="64">
        <v>0</v>
      </c>
      <c r="AA191" s="64">
        <v>0</v>
      </c>
      <c r="AE191" s="100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</row>
    <row r="192" spans="1:42" s="64" customFormat="1">
      <c r="A192" s="123">
        <v>189</v>
      </c>
      <c r="B192" s="64">
        <v>1</v>
      </c>
      <c r="C192" s="64" t="s">
        <v>202</v>
      </c>
      <c r="D192" s="64">
        <v>8</v>
      </c>
      <c r="E192" s="64">
        <v>1</v>
      </c>
      <c r="I192" s="96">
        <v>41989</v>
      </c>
      <c r="J192" s="97">
        <v>0.35833333333333334</v>
      </c>
      <c r="K192" s="98">
        <v>41996</v>
      </c>
      <c r="L192" s="97">
        <v>0.34722222222222227</v>
      </c>
      <c r="M192" s="99">
        <f t="shared" si="7"/>
        <v>10064</v>
      </c>
      <c r="N192" s="100">
        <f t="shared" si="8"/>
        <v>167.73333333333332</v>
      </c>
      <c r="O192" s="99">
        <v>28</v>
      </c>
      <c r="P192" s="64" t="s">
        <v>204</v>
      </c>
      <c r="Q192" s="101">
        <v>41995</v>
      </c>
      <c r="R192" s="102">
        <v>0.19444444444444445</v>
      </c>
      <c r="S192" s="64">
        <v>1</v>
      </c>
      <c r="T192" s="64">
        <v>2</v>
      </c>
      <c r="U192" s="64">
        <v>2</v>
      </c>
      <c r="V192" s="65">
        <v>1</v>
      </c>
      <c r="W192" s="64">
        <v>0</v>
      </c>
      <c r="X192" s="66">
        <v>0</v>
      </c>
      <c r="Y192" s="64">
        <v>0</v>
      </c>
      <c r="Z192" s="64">
        <v>0</v>
      </c>
      <c r="AA192" s="64">
        <v>1</v>
      </c>
      <c r="AE192" s="100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</row>
    <row r="193" spans="1:42" s="64" customFormat="1">
      <c r="A193" s="123">
        <v>190</v>
      </c>
      <c r="B193" s="64">
        <v>1</v>
      </c>
      <c r="C193" s="64" t="s">
        <v>202</v>
      </c>
      <c r="D193" s="64">
        <v>8</v>
      </c>
      <c r="E193" s="64">
        <v>1</v>
      </c>
      <c r="I193" s="96">
        <v>41989</v>
      </c>
      <c r="J193" s="97">
        <v>0.35833333333333334</v>
      </c>
      <c r="K193" s="98">
        <v>41996</v>
      </c>
      <c r="L193" s="97">
        <v>0.34722222222222227</v>
      </c>
      <c r="M193" s="99">
        <f t="shared" si="7"/>
        <v>10064</v>
      </c>
      <c r="N193" s="100">
        <f t="shared" si="8"/>
        <v>167.73333333333332</v>
      </c>
      <c r="O193" s="99">
        <v>28</v>
      </c>
      <c r="P193" s="64" t="s">
        <v>205</v>
      </c>
      <c r="Q193" s="101">
        <v>41995</v>
      </c>
      <c r="R193" s="102">
        <v>0.27291666666666664</v>
      </c>
      <c r="S193" s="64">
        <v>5</v>
      </c>
      <c r="T193" s="64">
        <v>2</v>
      </c>
      <c r="U193" s="64">
        <v>2</v>
      </c>
      <c r="V193" s="65">
        <v>0</v>
      </c>
      <c r="W193" s="64">
        <v>0</v>
      </c>
      <c r="X193" s="66">
        <v>0</v>
      </c>
      <c r="Y193" s="64">
        <v>0</v>
      </c>
      <c r="Z193" s="64">
        <v>0</v>
      </c>
      <c r="AA193" s="64">
        <v>2</v>
      </c>
      <c r="AE193" s="100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</row>
    <row r="194" spans="1:42" s="64" customFormat="1">
      <c r="A194" s="123">
        <v>191</v>
      </c>
      <c r="B194" s="64">
        <v>1</v>
      </c>
      <c r="C194" s="64" t="s">
        <v>202</v>
      </c>
      <c r="D194" s="64">
        <v>8</v>
      </c>
      <c r="E194" s="64">
        <v>1</v>
      </c>
      <c r="I194" s="96">
        <v>41989</v>
      </c>
      <c r="J194" s="97">
        <v>0.35833333333333334</v>
      </c>
      <c r="K194" s="98">
        <v>41996</v>
      </c>
      <c r="L194" s="97">
        <v>0.34722222222222227</v>
      </c>
      <c r="M194" s="99">
        <f t="shared" si="7"/>
        <v>10064</v>
      </c>
      <c r="N194" s="100">
        <f t="shared" si="8"/>
        <v>167.73333333333332</v>
      </c>
      <c r="O194" s="99">
        <v>28</v>
      </c>
      <c r="P194" s="64" t="s">
        <v>206</v>
      </c>
      <c r="Q194" s="101">
        <v>41995</v>
      </c>
      <c r="R194" s="102">
        <v>0.76250000000000007</v>
      </c>
      <c r="S194" s="64">
        <v>1</v>
      </c>
      <c r="T194" s="64">
        <v>4</v>
      </c>
      <c r="U194" s="64">
        <v>4</v>
      </c>
      <c r="V194" s="65">
        <v>4</v>
      </c>
      <c r="W194" s="64">
        <v>0</v>
      </c>
      <c r="X194" s="66">
        <v>0</v>
      </c>
      <c r="Y194" s="64">
        <v>0</v>
      </c>
      <c r="Z194" s="64">
        <v>0</v>
      </c>
      <c r="AA194" s="64">
        <v>0</v>
      </c>
      <c r="AE194" s="100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</row>
    <row r="195" spans="1:42" s="64" customFormat="1">
      <c r="A195" s="123">
        <v>192</v>
      </c>
      <c r="B195" s="64">
        <v>1</v>
      </c>
      <c r="C195" s="64" t="s">
        <v>202</v>
      </c>
      <c r="D195" s="64">
        <v>8</v>
      </c>
      <c r="E195" s="64">
        <v>1</v>
      </c>
      <c r="I195" s="96">
        <v>41989</v>
      </c>
      <c r="J195" s="97">
        <v>0.35833333333333334</v>
      </c>
      <c r="K195" s="98">
        <v>41996</v>
      </c>
      <c r="L195" s="97">
        <v>0.34722222222222227</v>
      </c>
      <c r="M195" s="99">
        <f t="shared" si="7"/>
        <v>10064</v>
      </c>
      <c r="N195" s="100">
        <f t="shared" si="8"/>
        <v>167.73333333333332</v>
      </c>
      <c r="O195" s="99">
        <v>28</v>
      </c>
      <c r="P195" s="64" t="s">
        <v>207</v>
      </c>
      <c r="Q195" s="101">
        <v>41995</v>
      </c>
      <c r="R195" s="102">
        <v>0.81736111111111109</v>
      </c>
      <c r="S195" s="64">
        <v>1</v>
      </c>
      <c r="T195" s="64">
        <v>5</v>
      </c>
      <c r="U195" s="64">
        <v>5</v>
      </c>
      <c r="V195" s="65">
        <v>4</v>
      </c>
      <c r="W195" s="64">
        <v>1</v>
      </c>
      <c r="X195" s="66">
        <v>0</v>
      </c>
      <c r="Y195" s="64">
        <v>0</v>
      </c>
      <c r="Z195" s="64">
        <v>0</v>
      </c>
      <c r="AA195" s="64">
        <v>0</v>
      </c>
      <c r="AE195" s="100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</row>
    <row r="196" spans="1:42" s="64" customFormat="1">
      <c r="A196" s="123">
        <v>193</v>
      </c>
      <c r="B196" s="64">
        <v>1</v>
      </c>
      <c r="C196" s="64" t="s">
        <v>202</v>
      </c>
      <c r="D196" s="64">
        <v>8</v>
      </c>
      <c r="E196" s="64">
        <v>1</v>
      </c>
      <c r="I196" s="96">
        <v>41989</v>
      </c>
      <c r="J196" s="97">
        <v>0.35833333333333334</v>
      </c>
      <c r="K196" s="98">
        <v>41996</v>
      </c>
      <c r="L196" s="97">
        <v>0.34722222222222227</v>
      </c>
      <c r="M196" s="99">
        <f t="shared" si="7"/>
        <v>10064</v>
      </c>
      <c r="N196" s="100">
        <f t="shared" si="8"/>
        <v>167.73333333333332</v>
      </c>
      <c r="O196" s="99">
        <v>28</v>
      </c>
      <c r="P196" s="64" t="s">
        <v>208</v>
      </c>
      <c r="Q196" s="101">
        <v>41995</v>
      </c>
      <c r="R196" s="102">
        <v>0.9159722222222223</v>
      </c>
      <c r="S196" s="64">
        <v>1</v>
      </c>
      <c r="T196" s="64">
        <v>1</v>
      </c>
      <c r="U196" s="64">
        <v>1</v>
      </c>
      <c r="V196" s="65">
        <v>0</v>
      </c>
      <c r="W196" s="64">
        <v>1</v>
      </c>
      <c r="X196" s="66">
        <v>0</v>
      </c>
      <c r="Y196" s="64">
        <v>0</v>
      </c>
      <c r="Z196" s="64">
        <v>0</v>
      </c>
      <c r="AA196" s="64">
        <v>0</v>
      </c>
      <c r="AE196" s="100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</row>
    <row r="197" spans="1:42" s="64" customFormat="1">
      <c r="A197" s="123">
        <v>194</v>
      </c>
      <c r="B197" s="64">
        <v>1</v>
      </c>
      <c r="C197" s="64" t="s">
        <v>202</v>
      </c>
      <c r="D197" s="64">
        <v>8</v>
      </c>
      <c r="E197" s="64">
        <v>1</v>
      </c>
      <c r="I197" s="96">
        <v>41989</v>
      </c>
      <c r="J197" s="97">
        <v>0.35833333333333334</v>
      </c>
      <c r="K197" s="98">
        <v>41996</v>
      </c>
      <c r="L197" s="97">
        <v>0.34722222222222227</v>
      </c>
      <c r="M197" s="99">
        <f t="shared" si="7"/>
        <v>10064</v>
      </c>
      <c r="N197" s="100">
        <f t="shared" si="8"/>
        <v>167.73333333333332</v>
      </c>
      <c r="O197" s="99">
        <v>28</v>
      </c>
      <c r="P197" s="64" t="s">
        <v>209</v>
      </c>
      <c r="Q197" s="101">
        <v>41995</v>
      </c>
      <c r="R197" s="102">
        <v>0.97916666666666663</v>
      </c>
      <c r="S197" s="64">
        <v>1</v>
      </c>
      <c r="T197" s="64">
        <v>1</v>
      </c>
      <c r="U197" s="64">
        <v>1</v>
      </c>
      <c r="V197" s="65">
        <v>0</v>
      </c>
      <c r="W197" s="64">
        <v>1</v>
      </c>
      <c r="X197" s="66">
        <v>0</v>
      </c>
      <c r="Y197" s="64">
        <v>0</v>
      </c>
      <c r="Z197" s="64">
        <v>0</v>
      </c>
      <c r="AA197" s="64">
        <v>0</v>
      </c>
      <c r="AE197" s="100"/>
      <c r="AG197" s="18"/>
      <c r="AH197" s="18"/>
      <c r="AI197" s="18"/>
      <c r="AJ197" s="18"/>
      <c r="AK197" s="18"/>
      <c r="AL197" s="25"/>
      <c r="AM197" s="18"/>
      <c r="AN197" s="18"/>
      <c r="AO197" s="18"/>
      <c r="AP197" s="18"/>
    </row>
    <row r="198" spans="1:42" s="64" customFormat="1">
      <c r="A198" s="123">
        <v>195</v>
      </c>
      <c r="B198" s="64">
        <v>1</v>
      </c>
      <c r="C198" s="64" t="s">
        <v>202</v>
      </c>
      <c r="D198" s="64">
        <v>8</v>
      </c>
      <c r="E198" s="64">
        <v>1</v>
      </c>
      <c r="I198" s="96">
        <v>41989</v>
      </c>
      <c r="J198" s="97">
        <v>0.35833333333333334</v>
      </c>
      <c r="K198" s="98">
        <v>41996</v>
      </c>
      <c r="L198" s="97">
        <v>0.34722222222222227</v>
      </c>
      <c r="M198" s="99">
        <f t="shared" si="7"/>
        <v>10064</v>
      </c>
      <c r="N198" s="100">
        <f t="shared" si="8"/>
        <v>167.73333333333332</v>
      </c>
      <c r="O198" s="99">
        <v>28</v>
      </c>
      <c r="P198" s="64" t="s">
        <v>210</v>
      </c>
      <c r="Q198" s="101">
        <v>41996</v>
      </c>
      <c r="R198" s="102">
        <v>8.2638888888888887E-2</v>
      </c>
      <c r="S198" s="64">
        <v>1</v>
      </c>
      <c r="T198" s="64">
        <v>3</v>
      </c>
      <c r="U198" s="64">
        <v>3</v>
      </c>
      <c r="V198" s="65">
        <v>0</v>
      </c>
      <c r="W198" s="64">
        <v>0</v>
      </c>
      <c r="X198" s="66">
        <v>0</v>
      </c>
      <c r="Y198" s="64">
        <v>0</v>
      </c>
      <c r="Z198" s="64">
        <v>0</v>
      </c>
      <c r="AA198" s="64">
        <v>3</v>
      </c>
      <c r="AE198" s="100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</row>
    <row r="199" spans="1:42" s="103" customFormat="1" ht="15.75" thickBot="1">
      <c r="A199" s="124">
        <v>196</v>
      </c>
      <c r="B199" s="103">
        <v>1</v>
      </c>
      <c r="C199" s="103" t="s">
        <v>202</v>
      </c>
      <c r="D199" s="103">
        <v>8</v>
      </c>
      <c r="E199" s="103">
        <v>1</v>
      </c>
      <c r="I199" s="104">
        <v>41989</v>
      </c>
      <c r="J199" s="105">
        <v>0.35833333333333334</v>
      </c>
      <c r="K199" s="106">
        <v>41996</v>
      </c>
      <c r="L199" s="105">
        <v>0.34722222222222227</v>
      </c>
      <c r="M199" s="107">
        <f t="shared" si="7"/>
        <v>10064</v>
      </c>
      <c r="N199" s="108">
        <f t="shared" si="8"/>
        <v>167.73333333333332</v>
      </c>
      <c r="O199" s="107">
        <v>28</v>
      </c>
      <c r="P199" s="103" t="s">
        <v>211</v>
      </c>
      <c r="Q199" s="109">
        <v>41996</v>
      </c>
      <c r="R199" s="110">
        <v>0.20347222222222219</v>
      </c>
      <c r="S199" s="103">
        <v>1</v>
      </c>
      <c r="T199" s="103">
        <v>2</v>
      </c>
      <c r="U199" s="103">
        <v>2</v>
      </c>
      <c r="V199" s="111">
        <v>2</v>
      </c>
      <c r="W199" s="103">
        <v>0</v>
      </c>
      <c r="X199" s="112">
        <v>0</v>
      </c>
      <c r="Y199" s="103">
        <v>0</v>
      </c>
      <c r="Z199" s="103">
        <v>0</v>
      </c>
      <c r="AA199" s="103">
        <v>0</v>
      </c>
      <c r="AE199" s="108"/>
      <c r="AG199" s="68"/>
      <c r="AH199" s="68"/>
      <c r="AI199" s="68"/>
      <c r="AJ199" s="68"/>
      <c r="AK199" s="68"/>
      <c r="AL199" s="68"/>
      <c r="AM199" s="68"/>
      <c r="AN199" s="68"/>
      <c r="AO199" s="68"/>
      <c r="AP199" s="68"/>
    </row>
    <row r="200" spans="1:42">
      <c r="A200" s="119">
        <v>197</v>
      </c>
      <c r="B200" s="18">
        <v>2</v>
      </c>
      <c r="C200" s="18" t="s">
        <v>220</v>
      </c>
      <c r="D200" s="25">
        <v>7</v>
      </c>
      <c r="E200" s="25">
        <v>0</v>
      </c>
      <c r="I200" s="34">
        <v>41989</v>
      </c>
      <c r="J200" s="35">
        <v>0.39513888888888887</v>
      </c>
      <c r="K200" s="36">
        <v>41996</v>
      </c>
      <c r="L200" s="35">
        <v>0.41805555555555557</v>
      </c>
      <c r="M200" s="37">
        <f>10080+32</f>
        <v>10112</v>
      </c>
      <c r="N200" s="38">
        <f t="shared" si="8"/>
        <v>168.53333333333333</v>
      </c>
      <c r="O200" s="37">
        <v>0</v>
      </c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</row>
    <row r="201" spans="1:42">
      <c r="A201" s="119">
        <v>198</v>
      </c>
      <c r="B201" s="18">
        <v>3</v>
      </c>
      <c r="C201" s="18" t="s">
        <v>221</v>
      </c>
      <c r="D201" s="25">
        <v>7</v>
      </c>
      <c r="E201" s="25">
        <v>0</v>
      </c>
      <c r="I201" s="34">
        <v>41989</v>
      </c>
      <c r="J201" s="35">
        <v>0.44513888888888892</v>
      </c>
      <c r="K201" s="36">
        <v>41996</v>
      </c>
      <c r="L201" s="35">
        <v>0.41805555555555557</v>
      </c>
      <c r="M201" s="37">
        <f t="shared" ref="M201:M207" si="9">10080-39</f>
        <v>10041</v>
      </c>
      <c r="N201" s="38">
        <f t="shared" si="8"/>
        <v>167.35</v>
      </c>
      <c r="O201" s="37">
        <v>7</v>
      </c>
      <c r="P201" s="18" t="s">
        <v>101</v>
      </c>
      <c r="Q201" s="26">
        <v>41991</v>
      </c>
      <c r="R201" s="27">
        <v>0.33680555555555558</v>
      </c>
      <c r="S201" s="18">
        <v>3</v>
      </c>
      <c r="T201" s="18">
        <v>1</v>
      </c>
      <c r="U201" s="18">
        <v>1</v>
      </c>
      <c r="V201" s="22">
        <v>0</v>
      </c>
      <c r="W201" s="20">
        <v>0</v>
      </c>
      <c r="X201" s="24">
        <v>0</v>
      </c>
      <c r="Y201" s="25">
        <v>0</v>
      </c>
      <c r="Z201" s="25">
        <v>0</v>
      </c>
      <c r="AA201" s="25">
        <v>1</v>
      </c>
      <c r="AB201" s="25">
        <v>10</v>
      </c>
      <c r="AC201" s="25">
        <v>3.9</v>
      </c>
      <c r="AD201" s="25">
        <v>2.6</v>
      </c>
      <c r="AE201" s="45">
        <v>0.09</v>
      </c>
    </row>
    <row r="202" spans="1:42">
      <c r="A202" s="119">
        <v>199</v>
      </c>
      <c r="B202" s="18">
        <v>3</v>
      </c>
      <c r="C202" s="18" t="s">
        <v>221</v>
      </c>
      <c r="D202" s="25">
        <v>7</v>
      </c>
      <c r="E202" s="25">
        <v>0</v>
      </c>
      <c r="I202" s="34">
        <v>41989</v>
      </c>
      <c r="J202" s="35">
        <v>0.44513888888888892</v>
      </c>
      <c r="K202" s="36">
        <v>41996</v>
      </c>
      <c r="L202" s="35">
        <v>0.41805555555555557</v>
      </c>
      <c r="M202" s="37">
        <f t="shared" si="9"/>
        <v>10041</v>
      </c>
      <c r="N202" s="38">
        <f t="shared" si="8"/>
        <v>167.35</v>
      </c>
      <c r="O202" s="37">
        <v>7</v>
      </c>
      <c r="P202" s="18" t="s">
        <v>92</v>
      </c>
      <c r="Q202" s="26">
        <v>41991</v>
      </c>
      <c r="R202" s="27">
        <v>0.4513888888888889</v>
      </c>
      <c r="S202" s="18">
        <v>3</v>
      </c>
      <c r="T202" s="18">
        <v>7</v>
      </c>
      <c r="U202" s="18">
        <v>2</v>
      </c>
      <c r="V202" s="22">
        <v>1</v>
      </c>
      <c r="W202" s="20">
        <v>1</v>
      </c>
      <c r="X202" s="24">
        <v>1</v>
      </c>
      <c r="Y202" s="25">
        <v>0</v>
      </c>
      <c r="Z202" s="25">
        <v>3</v>
      </c>
      <c r="AA202" s="25">
        <v>1</v>
      </c>
    </row>
    <row r="203" spans="1:42">
      <c r="A203" s="119">
        <v>200</v>
      </c>
      <c r="B203" s="18">
        <v>3</v>
      </c>
      <c r="C203" s="18" t="s">
        <v>221</v>
      </c>
      <c r="D203" s="25">
        <v>7</v>
      </c>
      <c r="E203" s="25">
        <v>0</v>
      </c>
      <c r="I203" s="34">
        <v>41989</v>
      </c>
      <c r="J203" s="35">
        <v>0.44513888888888892</v>
      </c>
      <c r="K203" s="36">
        <v>41996</v>
      </c>
      <c r="L203" s="35">
        <v>0.41805555555555557</v>
      </c>
      <c r="M203" s="37">
        <f t="shared" si="9"/>
        <v>10041</v>
      </c>
      <c r="N203" s="38">
        <f t="shared" si="8"/>
        <v>167.35</v>
      </c>
      <c r="O203" s="37">
        <v>7</v>
      </c>
      <c r="P203" s="18" t="s">
        <v>118</v>
      </c>
      <c r="Q203" s="26">
        <v>41991</v>
      </c>
      <c r="R203" s="27">
        <v>0.61041666666666672</v>
      </c>
      <c r="S203" s="18">
        <v>3</v>
      </c>
      <c r="T203" s="18">
        <v>1</v>
      </c>
      <c r="U203" s="18">
        <v>1</v>
      </c>
      <c r="V203" s="22">
        <v>0</v>
      </c>
      <c r="W203" s="20">
        <v>0</v>
      </c>
      <c r="X203" s="24">
        <v>0</v>
      </c>
      <c r="Y203" s="25">
        <v>0</v>
      </c>
      <c r="Z203" s="25">
        <v>0</v>
      </c>
      <c r="AA203" s="25">
        <v>1</v>
      </c>
    </row>
    <row r="204" spans="1:42">
      <c r="A204" s="119">
        <v>201</v>
      </c>
      <c r="B204" s="18">
        <v>3</v>
      </c>
      <c r="C204" s="18" t="s">
        <v>221</v>
      </c>
      <c r="D204" s="25">
        <v>7</v>
      </c>
      <c r="E204" s="25">
        <v>0</v>
      </c>
      <c r="I204" s="34">
        <v>41989</v>
      </c>
      <c r="J204" s="35">
        <v>0.44513888888888892</v>
      </c>
      <c r="K204" s="36">
        <v>41996</v>
      </c>
      <c r="L204" s="35">
        <v>0.41805555555555557</v>
      </c>
      <c r="M204" s="37">
        <f t="shared" si="9"/>
        <v>10041</v>
      </c>
      <c r="N204" s="38">
        <f t="shared" si="8"/>
        <v>167.35</v>
      </c>
      <c r="O204" s="37">
        <v>7</v>
      </c>
      <c r="P204" s="18" t="s">
        <v>108</v>
      </c>
      <c r="Q204" s="26">
        <v>41994</v>
      </c>
      <c r="R204" s="27">
        <v>0.34583333333333338</v>
      </c>
      <c r="S204" s="18">
        <v>3</v>
      </c>
      <c r="T204" s="18">
        <v>8</v>
      </c>
      <c r="U204" s="18">
        <v>4</v>
      </c>
      <c r="V204" s="22">
        <v>0</v>
      </c>
      <c r="W204" s="20">
        <v>0</v>
      </c>
      <c r="X204" s="24">
        <v>4</v>
      </c>
      <c r="Y204" s="25">
        <v>0</v>
      </c>
      <c r="Z204" s="25">
        <v>4</v>
      </c>
      <c r="AA204" s="25">
        <v>0</v>
      </c>
    </row>
    <row r="205" spans="1:42" s="140" customFormat="1">
      <c r="A205" s="139">
        <v>202</v>
      </c>
      <c r="B205" s="140">
        <v>3</v>
      </c>
      <c r="C205" s="140" t="s">
        <v>221</v>
      </c>
      <c r="D205" s="141">
        <v>7</v>
      </c>
      <c r="E205" s="141">
        <v>0</v>
      </c>
      <c r="I205" s="142">
        <v>41989</v>
      </c>
      <c r="J205" s="143">
        <v>0.44513888888888892</v>
      </c>
      <c r="K205" s="144">
        <v>41996</v>
      </c>
      <c r="L205" s="143">
        <v>0.41805555555555557</v>
      </c>
      <c r="M205" s="145">
        <f t="shared" si="9"/>
        <v>10041</v>
      </c>
      <c r="N205" s="146">
        <f t="shared" si="8"/>
        <v>167.35</v>
      </c>
      <c r="O205" s="145">
        <v>7</v>
      </c>
      <c r="P205" s="140" t="s">
        <v>298</v>
      </c>
      <c r="Q205" s="147">
        <v>41994</v>
      </c>
      <c r="R205" s="148">
        <v>0.35555555555555557</v>
      </c>
      <c r="S205" s="140">
        <v>1</v>
      </c>
      <c r="T205" s="140">
        <v>1</v>
      </c>
      <c r="U205" s="140">
        <v>1</v>
      </c>
      <c r="V205" s="149">
        <v>0</v>
      </c>
      <c r="W205" s="141">
        <v>1</v>
      </c>
      <c r="X205" s="150">
        <v>0</v>
      </c>
      <c r="Y205" s="141">
        <v>0</v>
      </c>
      <c r="Z205" s="141">
        <v>0</v>
      </c>
      <c r="AA205" s="141">
        <v>0</v>
      </c>
      <c r="AB205" s="141">
        <v>5</v>
      </c>
      <c r="AC205" s="141">
        <v>14.2</v>
      </c>
      <c r="AD205" s="141">
        <v>6</v>
      </c>
      <c r="AE205" s="151">
        <v>0.4</v>
      </c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</row>
    <row r="206" spans="1:42">
      <c r="A206" s="119">
        <v>203</v>
      </c>
      <c r="B206" s="18">
        <v>3</v>
      </c>
      <c r="C206" s="18" t="s">
        <v>221</v>
      </c>
      <c r="D206" s="25">
        <v>7</v>
      </c>
      <c r="E206" s="25">
        <v>0</v>
      </c>
      <c r="I206" s="34">
        <v>41989</v>
      </c>
      <c r="J206" s="35">
        <v>0.44513888888888892</v>
      </c>
      <c r="K206" s="36">
        <v>41996</v>
      </c>
      <c r="L206" s="35">
        <v>0.41805555555555557</v>
      </c>
      <c r="M206" s="37">
        <f t="shared" si="9"/>
        <v>10041</v>
      </c>
      <c r="N206" s="38">
        <f t="shared" si="8"/>
        <v>167.35</v>
      </c>
      <c r="O206" s="37">
        <v>7</v>
      </c>
      <c r="P206" s="18" t="s">
        <v>134</v>
      </c>
      <c r="Q206" s="26">
        <v>41994</v>
      </c>
      <c r="R206" s="27">
        <v>0.39444444444444443</v>
      </c>
      <c r="S206" s="18">
        <v>7</v>
      </c>
      <c r="T206" s="18">
        <v>1</v>
      </c>
      <c r="U206" s="18">
        <v>1</v>
      </c>
      <c r="V206" s="22">
        <v>0</v>
      </c>
      <c r="W206" s="20">
        <v>1</v>
      </c>
      <c r="X206" s="24">
        <v>0</v>
      </c>
      <c r="Y206" s="25">
        <v>0</v>
      </c>
      <c r="Z206" s="25">
        <v>0</v>
      </c>
      <c r="AA206" s="25">
        <v>0</v>
      </c>
      <c r="AB206" s="25">
        <v>20</v>
      </c>
      <c r="AC206" s="25">
        <v>2.8</v>
      </c>
      <c r="AD206" s="25">
        <v>1.5</v>
      </c>
      <c r="AE206" s="45">
        <v>0.38</v>
      </c>
    </row>
    <row r="207" spans="1:42">
      <c r="A207" s="119">
        <v>204</v>
      </c>
      <c r="B207" s="18">
        <v>3</v>
      </c>
      <c r="C207" s="18" t="s">
        <v>221</v>
      </c>
      <c r="D207" s="25">
        <v>7</v>
      </c>
      <c r="E207" s="25">
        <v>0</v>
      </c>
      <c r="I207" s="34">
        <v>41989</v>
      </c>
      <c r="J207" s="35">
        <v>0.44513888888888892</v>
      </c>
      <c r="K207" s="36">
        <v>41996</v>
      </c>
      <c r="L207" s="35">
        <v>0.41805555555555557</v>
      </c>
      <c r="M207" s="37">
        <f t="shared" si="9"/>
        <v>10041</v>
      </c>
      <c r="N207" s="38">
        <f t="shared" si="8"/>
        <v>167.35</v>
      </c>
      <c r="O207" s="37">
        <v>7</v>
      </c>
      <c r="P207" s="18" t="s">
        <v>150</v>
      </c>
      <c r="Q207" s="26">
        <v>41996</v>
      </c>
      <c r="R207" s="27">
        <v>0.22361111111111109</v>
      </c>
      <c r="S207" s="18">
        <v>3</v>
      </c>
      <c r="T207" s="18">
        <v>1</v>
      </c>
      <c r="U207" s="18">
        <v>1</v>
      </c>
      <c r="V207" s="22">
        <v>0</v>
      </c>
      <c r="W207" s="20">
        <v>1</v>
      </c>
      <c r="X207" s="24">
        <v>0</v>
      </c>
      <c r="Y207" s="25">
        <v>0</v>
      </c>
      <c r="Z207" s="25">
        <v>0</v>
      </c>
      <c r="AA207" s="25">
        <v>0</v>
      </c>
    </row>
    <row r="208" spans="1:42">
      <c r="A208" s="119">
        <v>205</v>
      </c>
      <c r="B208" s="18">
        <v>4</v>
      </c>
      <c r="C208" s="18" t="s">
        <v>222</v>
      </c>
      <c r="D208" s="25">
        <v>7</v>
      </c>
      <c r="E208" s="25">
        <v>0</v>
      </c>
      <c r="I208" s="34">
        <v>41989</v>
      </c>
      <c r="J208" s="35">
        <v>0.48055555555555557</v>
      </c>
      <c r="K208" s="36">
        <v>41996</v>
      </c>
      <c r="L208" s="35">
        <v>0.4597222222222222</v>
      </c>
      <c r="M208" s="37">
        <f t="shared" ref="M208:M216" si="10">10080-30</f>
        <v>10050</v>
      </c>
      <c r="N208" s="38">
        <f t="shared" si="8"/>
        <v>167.5</v>
      </c>
      <c r="O208" s="37">
        <v>9</v>
      </c>
      <c r="P208" s="18" t="s">
        <v>107</v>
      </c>
      <c r="Q208" s="26">
        <v>41990</v>
      </c>
      <c r="R208" s="27">
        <v>0.47222222222222227</v>
      </c>
      <c r="S208" s="18">
        <v>3</v>
      </c>
      <c r="T208" s="18">
        <v>1</v>
      </c>
      <c r="U208" s="18">
        <v>0</v>
      </c>
      <c r="V208" s="22">
        <v>0</v>
      </c>
      <c r="W208" s="20">
        <v>0</v>
      </c>
      <c r="X208" s="24">
        <v>1</v>
      </c>
      <c r="Y208" s="25">
        <v>0</v>
      </c>
      <c r="Z208" s="25">
        <v>0</v>
      </c>
      <c r="AA208" s="25">
        <v>0</v>
      </c>
      <c r="AB208" s="25">
        <v>5</v>
      </c>
      <c r="AC208" s="25">
        <v>1.9</v>
      </c>
      <c r="AD208" s="25">
        <v>1.4</v>
      </c>
      <c r="AE208" s="45">
        <v>0.05</v>
      </c>
    </row>
    <row r="209" spans="1:42" s="140" customFormat="1">
      <c r="A209" s="139">
        <v>206</v>
      </c>
      <c r="B209" s="140">
        <v>4</v>
      </c>
      <c r="C209" s="140" t="s">
        <v>222</v>
      </c>
      <c r="D209" s="141">
        <v>7</v>
      </c>
      <c r="E209" s="141">
        <v>0</v>
      </c>
      <c r="I209" s="142">
        <v>41989</v>
      </c>
      <c r="J209" s="143">
        <v>0.48055555555555557</v>
      </c>
      <c r="K209" s="144">
        <v>41996</v>
      </c>
      <c r="L209" s="143">
        <v>0.4597222222222222</v>
      </c>
      <c r="M209" s="145">
        <f t="shared" si="10"/>
        <v>10050</v>
      </c>
      <c r="N209" s="146">
        <f t="shared" si="8"/>
        <v>167.5</v>
      </c>
      <c r="O209" s="145">
        <v>9</v>
      </c>
      <c r="P209" s="140" t="s">
        <v>119</v>
      </c>
      <c r="Q209" s="147">
        <v>41990</v>
      </c>
      <c r="R209" s="148">
        <v>0.59513888888888888</v>
      </c>
      <c r="S209" s="140">
        <v>1</v>
      </c>
      <c r="T209" s="140">
        <v>5</v>
      </c>
      <c r="U209" s="140">
        <v>3</v>
      </c>
      <c r="V209" s="149">
        <v>2</v>
      </c>
      <c r="W209" s="141">
        <v>1</v>
      </c>
      <c r="X209" s="150">
        <v>0</v>
      </c>
      <c r="Y209" s="141">
        <v>0</v>
      </c>
      <c r="Z209" s="141">
        <v>0</v>
      </c>
      <c r="AA209" s="141">
        <v>2</v>
      </c>
      <c r="AB209" s="141">
        <v>15</v>
      </c>
      <c r="AC209" s="141">
        <v>3.3</v>
      </c>
      <c r="AD209" s="141">
        <v>2.5</v>
      </c>
      <c r="AE209" s="151">
        <v>0.12</v>
      </c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</row>
    <row r="210" spans="1:42" ht="16.5" customHeight="1">
      <c r="A210" s="119">
        <v>207</v>
      </c>
      <c r="B210" s="18">
        <v>4</v>
      </c>
      <c r="C210" s="18" t="s">
        <v>222</v>
      </c>
      <c r="D210" s="25">
        <v>7</v>
      </c>
      <c r="E210" s="25">
        <v>0</v>
      </c>
      <c r="I210" s="34">
        <v>41989</v>
      </c>
      <c r="J210" s="35">
        <v>0.48055555555555557</v>
      </c>
      <c r="K210" s="36">
        <v>41996</v>
      </c>
      <c r="L210" s="35">
        <v>0.4597222222222222</v>
      </c>
      <c r="M210" s="37">
        <f t="shared" si="10"/>
        <v>10050</v>
      </c>
      <c r="N210" s="38">
        <f t="shared" si="8"/>
        <v>167.5</v>
      </c>
      <c r="O210" s="37">
        <v>9</v>
      </c>
      <c r="P210" s="18" t="s">
        <v>120</v>
      </c>
      <c r="Q210" s="26">
        <v>41991</v>
      </c>
      <c r="R210" s="27">
        <v>0.38819444444444445</v>
      </c>
      <c r="S210" s="18">
        <v>3</v>
      </c>
      <c r="T210" s="18">
        <v>1</v>
      </c>
      <c r="U210" s="18">
        <v>1</v>
      </c>
      <c r="V210" s="22">
        <v>1</v>
      </c>
      <c r="W210" s="20">
        <v>0</v>
      </c>
      <c r="X210" s="24">
        <v>0</v>
      </c>
      <c r="Y210" s="25">
        <v>0</v>
      </c>
      <c r="Z210" s="25">
        <v>0</v>
      </c>
      <c r="AA210" s="25">
        <v>0</v>
      </c>
      <c r="AB210" s="25">
        <v>15</v>
      </c>
      <c r="AC210" s="25">
        <v>1.4</v>
      </c>
      <c r="AD210" s="25">
        <v>1.3</v>
      </c>
      <c r="AE210" s="45">
        <v>0.21</v>
      </c>
    </row>
    <row r="211" spans="1:42" s="140" customFormat="1">
      <c r="A211" s="139">
        <v>208</v>
      </c>
      <c r="B211" s="140">
        <v>4</v>
      </c>
      <c r="C211" s="140" t="s">
        <v>222</v>
      </c>
      <c r="D211" s="141">
        <v>7</v>
      </c>
      <c r="E211" s="141">
        <v>0</v>
      </c>
      <c r="I211" s="142">
        <v>41989</v>
      </c>
      <c r="J211" s="143">
        <v>0.48055555555555557</v>
      </c>
      <c r="K211" s="144">
        <v>41996</v>
      </c>
      <c r="L211" s="143">
        <v>0.4597222222222222</v>
      </c>
      <c r="M211" s="145">
        <f t="shared" si="10"/>
        <v>10050</v>
      </c>
      <c r="N211" s="146">
        <f t="shared" si="8"/>
        <v>167.5</v>
      </c>
      <c r="O211" s="145">
        <v>9</v>
      </c>
      <c r="P211" s="140" t="s">
        <v>297</v>
      </c>
      <c r="Q211" s="147">
        <v>41991</v>
      </c>
      <c r="R211" s="148">
        <v>0.39513888888888887</v>
      </c>
      <c r="S211" s="140">
        <v>1</v>
      </c>
      <c r="T211" s="140">
        <v>4</v>
      </c>
      <c r="U211" s="140">
        <v>0</v>
      </c>
      <c r="V211" s="149">
        <v>0</v>
      </c>
      <c r="W211" s="141">
        <v>0</v>
      </c>
      <c r="X211" s="150">
        <v>4</v>
      </c>
      <c r="Y211" s="141">
        <v>0</v>
      </c>
      <c r="Z211" s="141">
        <v>0</v>
      </c>
      <c r="AA211" s="141">
        <v>0</v>
      </c>
      <c r="AB211" s="141">
        <v>5</v>
      </c>
      <c r="AC211" s="141">
        <v>2.6</v>
      </c>
      <c r="AD211" s="141">
        <v>3</v>
      </c>
      <c r="AE211" s="151">
        <v>0.2</v>
      </c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</row>
    <row r="212" spans="1:42">
      <c r="A212" s="119">
        <v>209</v>
      </c>
      <c r="B212" s="18">
        <v>4</v>
      </c>
      <c r="C212" s="18" t="s">
        <v>222</v>
      </c>
      <c r="D212" s="25">
        <v>7</v>
      </c>
      <c r="E212" s="25">
        <v>0</v>
      </c>
      <c r="I212" s="34">
        <v>41989</v>
      </c>
      <c r="J212" s="35">
        <v>0.48055555555555557</v>
      </c>
      <c r="K212" s="36">
        <v>41996</v>
      </c>
      <c r="L212" s="35">
        <v>0.4597222222222222</v>
      </c>
      <c r="M212" s="37">
        <f t="shared" si="10"/>
        <v>10050</v>
      </c>
      <c r="N212" s="38">
        <f t="shared" si="8"/>
        <v>167.5</v>
      </c>
      <c r="O212" s="37">
        <v>9</v>
      </c>
      <c r="P212" s="18" t="s">
        <v>148</v>
      </c>
      <c r="Q212" s="26">
        <v>41992</v>
      </c>
      <c r="R212" s="27">
        <v>0.29583333333333334</v>
      </c>
      <c r="S212" s="18">
        <v>3</v>
      </c>
      <c r="T212" s="18">
        <v>2</v>
      </c>
      <c r="U212" s="18">
        <v>1</v>
      </c>
      <c r="V212" s="22">
        <v>1</v>
      </c>
      <c r="W212" s="20">
        <v>0</v>
      </c>
      <c r="X212" s="24">
        <v>0</v>
      </c>
      <c r="Y212" s="25">
        <v>0</v>
      </c>
      <c r="Z212" s="25">
        <v>1</v>
      </c>
      <c r="AA212" s="25">
        <v>0</v>
      </c>
    </row>
    <row r="213" spans="1:42">
      <c r="A213" s="119">
        <v>210</v>
      </c>
      <c r="B213" s="18">
        <v>4</v>
      </c>
      <c r="C213" s="18" t="s">
        <v>222</v>
      </c>
      <c r="D213" s="25">
        <v>7</v>
      </c>
      <c r="E213" s="25">
        <v>0</v>
      </c>
      <c r="I213" s="34">
        <v>41989</v>
      </c>
      <c r="J213" s="35">
        <v>0.48055555555555557</v>
      </c>
      <c r="K213" s="36">
        <v>41996</v>
      </c>
      <c r="L213" s="35">
        <v>0.4597222222222222</v>
      </c>
      <c r="M213" s="37">
        <f t="shared" si="10"/>
        <v>10050</v>
      </c>
      <c r="N213" s="38">
        <f t="shared" si="8"/>
        <v>167.5</v>
      </c>
      <c r="O213" s="37">
        <v>9</v>
      </c>
      <c r="P213" s="18" t="s">
        <v>149</v>
      </c>
      <c r="Q213" s="26">
        <v>41992</v>
      </c>
      <c r="R213" s="27">
        <v>0.39861111111111108</v>
      </c>
      <c r="S213" s="18">
        <v>3</v>
      </c>
      <c r="T213" s="18">
        <v>2</v>
      </c>
      <c r="U213" s="18">
        <v>2</v>
      </c>
      <c r="V213" s="22">
        <v>0</v>
      </c>
      <c r="W213" s="20">
        <v>0</v>
      </c>
      <c r="X213" s="24">
        <v>2</v>
      </c>
      <c r="Y213" s="25">
        <v>0</v>
      </c>
      <c r="Z213" s="25">
        <v>0</v>
      </c>
      <c r="AA213" s="25">
        <v>0</v>
      </c>
    </row>
    <row r="214" spans="1:42">
      <c r="A214" s="119">
        <v>211</v>
      </c>
      <c r="B214" s="18">
        <v>4</v>
      </c>
      <c r="C214" s="18" t="s">
        <v>222</v>
      </c>
      <c r="D214" s="25">
        <v>7</v>
      </c>
      <c r="E214" s="25">
        <v>0</v>
      </c>
      <c r="I214" s="34">
        <v>41989</v>
      </c>
      <c r="J214" s="35">
        <v>0.48055555555555557</v>
      </c>
      <c r="K214" s="36">
        <v>41996</v>
      </c>
      <c r="L214" s="35">
        <v>0.4597222222222222</v>
      </c>
      <c r="M214" s="37">
        <f t="shared" si="10"/>
        <v>10050</v>
      </c>
      <c r="N214" s="38">
        <f t="shared" si="8"/>
        <v>167.5</v>
      </c>
      <c r="O214" s="37">
        <v>9</v>
      </c>
      <c r="P214" s="18" t="s">
        <v>136</v>
      </c>
      <c r="Q214" s="26">
        <v>41994</v>
      </c>
      <c r="R214" s="27">
        <v>0.29097222222222224</v>
      </c>
      <c r="S214" s="18">
        <v>3</v>
      </c>
      <c r="T214" s="18">
        <v>8</v>
      </c>
      <c r="U214" s="18">
        <v>0</v>
      </c>
      <c r="V214" s="22">
        <v>0</v>
      </c>
      <c r="W214" s="20">
        <v>0</v>
      </c>
      <c r="X214" s="24">
        <v>2</v>
      </c>
      <c r="Y214" s="25">
        <v>0</v>
      </c>
      <c r="Z214" s="25">
        <v>1</v>
      </c>
      <c r="AA214" s="25">
        <v>5</v>
      </c>
    </row>
    <row r="215" spans="1:42">
      <c r="A215" s="119">
        <v>212</v>
      </c>
      <c r="B215" s="18">
        <v>4</v>
      </c>
      <c r="C215" s="18" t="s">
        <v>222</v>
      </c>
      <c r="D215" s="25">
        <v>7</v>
      </c>
      <c r="E215" s="25">
        <v>0</v>
      </c>
      <c r="I215" s="34">
        <v>41989</v>
      </c>
      <c r="J215" s="35">
        <v>0.48055555555555557</v>
      </c>
      <c r="K215" s="36">
        <v>41996</v>
      </c>
      <c r="L215" s="35">
        <v>0.4597222222222222</v>
      </c>
      <c r="M215" s="37">
        <f t="shared" si="10"/>
        <v>10050</v>
      </c>
      <c r="N215" s="38">
        <f t="shared" si="8"/>
        <v>167.5</v>
      </c>
      <c r="O215" s="37">
        <v>9</v>
      </c>
      <c r="P215" s="18" t="s">
        <v>142</v>
      </c>
      <c r="Q215" s="26">
        <v>41995</v>
      </c>
      <c r="R215" s="27">
        <v>0.42638888888888887</v>
      </c>
      <c r="S215" s="18">
        <v>3</v>
      </c>
      <c r="T215" s="18">
        <v>2</v>
      </c>
      <c r="U215" s="18">
        <v>2</v>
      </c>
      <c r="V215" s="22">
        <v>0</v>
      </c>
      <c r="W215" s="20">
        <v>0</v>
      </c>
      <c r="X215" s="24">
        <v>0</v>
      </c>
      <c r="Y215" s="25">
        <v>0</v>
      </c>
      <c r="Z215" s="25">
        <v>0</v>
      </c>
      <c r="AA215" s="25">
        <v>2</v>
      </c>
    </row>
    <row r="216" spans="1:42">
      <c r="A216" s="119">
        <v>213</v>
      </c>
      <c r="B216" s="18">
        <v>4</v>
      </c>
      <c r="C216" s="18" t="s">
        <v>222</v>
      </c>
      <c r="D216" s="25">
        <v>7</v>
      </c>
      <c r="E216" s="25">
        <v>0</v>
      </c>
      <c r="I216" s="34">
        <v>41989</v>
      </c>
      <c r="J216" s="35">
        <v>0.48055555555555557</v>
      </c>
      <c r="K216" s="36">
        <v>41996</v>
      </c>
      <c r="L216" s="35">
        <v>0.4597222222222222</v>
      </c>
      <c r="M216" s="37">
        <f t="shared" si="10"/>
        <v>10050</v>
      </c>
      <c r="N216" s="38">
        <f t="shared" si="8"/>
        <v>167.5</v>
      </c>
      <c r="O216" s="37">
        <v>9</v>
      </c>
      <c r="P216" s="18" t="s">
        <v>143</v>
      </c>
      <c r="Q216" s="26">
        <v>41996</v>
      </c>
      <c r="R216" s="27">
        <v>0.23402777777777781</v>
      </c>
      <c r="S216" s="18">
        <v>1</v>
      </c>
      <c r="T216" s="18">
        <v>1</v>
      </c>
      <c r="U216" s="18">
        <v>1</v>
      </c>
      <c r="V216" s="22">
        <v>1</v>
      </c>
      <c r="W216" s="20">
        <v>0</v>
      </c>
      <c r="X216" s="24">
        <v>0</v>
      </c>
      <c r="Y216" s="25">
        <v>0</v>
      </c>
      <c r="Z216" s="25">
        <v>0</v>
      </c>
      <c r="AA216" s="25">
        <v>0</v>
      </c>
    </row>
    <row r="217" spans="1:42">
      <c r="A217" s="119">
        <v>214</v>
      </c>
      <c r="B217" s="18">
        <v>5</v>
      </c>
      <c r="C217" s="18" t="s">
        <v>223</v>
      </c>
      <c r="D217" s="25">
        <v>5</v>
      </c>
      <c r="E217" s="25">
        <v>1</v>
      </c>
      <c r="I217" s="34">
        <v>41989</v>
      </c>
      <c r="J217" s="35">
        <v>0.50208333333333333</v>
      </c>
      <c r="K217" s="36">
        <v>41996</v>
      </c>
      <c r="L217" s="35">
        <v>0.4861111111111111</v>
      </c>
      <c r="M217" s="37">
        <f>10080-23</f>
        <v>10057</v>
      </c>
      <c r="N217" s="38">
        <f t="shared" si="8"/>
        <v>167.61666666666667</v>
      </c>
      <c r="O217" s="37">
        <v>4</v>
      </c>
      <c r="P217" s="18" t="s">
        <v>107</v>
      </c>
      <c r="Q217" s="26">
        <v>41994</v>
      </c>
      <c r="R217" s="27">
        <v>0.38055555555555554</v>
      </c>
      <c r="S217" s="18">
        <v>1</v>
      </c>
      <c r="T217" s="18">
        <v>2</v>
      </c>
      <c r="U217" s="18">
        <v>2</v>
      </c>
      <c r="V217" s="22">
        <v>0</v>
      </c>
      <c r="W217" s="20">
        <v>2</v>
      </c>
      <c r="X217" s="24">
        <v>0</v>
      </c>
      <c r="Y217" s="25">
        <v>0</v>
      </c>
      <c r="Z217" s="25">
        <v>0</v>
      </c>
      <c r="AA217" s="25">
        <v>0</v>
      </c>
    </row>
    <row r="218" spans="1:42">
      <c r="A218" s="119">
        <v>215</v>
      </c>
      <c r="B218" s="18">
        <v>5</v>
      </c>
      <c r="C218" s="18" t="s">
        <v>223</v>
      </c>
      <c r="D218" s="25">
        <v>5</v>
      </c>
      <c r="E218" s="25">
        <v>1</v>
      </c>
      <c r="I218" s="34">
        <v>41989</v>
      </c>
      <c r="J218" s="35">
        <v>0.50208333333333333</v>
      </c>
      <c r="K218" s="36">
        <v>41996</v>
      </c>
      <c r="L218" s="35">
        <v>0.4861111111111111</v>
      </c>
      <c r="M218" s="37">
        <f>10080-23</f>
        <v>10057</v>
      </c>
      <c r="N218" s="38">
        <f t="shared" si="8"/>
        <v>167.61666666666667</v>
      </c>
      <c r="O218" s="37">
        <v>4</v>
      </c>
      <c r="P218" s="18" t="s">
        <v>92</v>
      </c>
      <c r="Q218" s="26">
        <v>41995</v>
      </c>
      <c r="R218" s="27">
        <v>0.25486111111111109</v>
      </c>
      <c r="S218" s="18">
        <v>1</v>
      </c>
      <c r="T218" s="18">
        <v>3</v>
      </c>
      <c r="U218" s="18">
        <v>2</v>
      </c>
      <c r="V218" s="22">
        <v>1</v>
      </c>
      <c r="W218" s="20">
        <v>1</v>
      </c>
      <c r="X218" s="24">
        <v>1</v>
      </c>
      <c r="Y218" s="25">
        <v>0</v>
      </c>
      <c r="Z218" s="25">
        <v>0</v>
      </c>
      <c r="AA218" s="25">
        <v>0</v>
      </c>
    </row>
    <row r="219" spans="1:42">
      <c r="A219" s="119">
        <v>216</v>
      </c>
      <c r="B219" s="18">
        <v>5</v>
      </c>
      <c r="C219" s="18" t="s">
        <v>223</v>
      </c>
      <c r="D219" s="25">
        <v>5</v>
      </c>
      <c r="E219" s="25">
        <v>1</v>
      </c>
      <c r="I219" s="34">
        <v>41989</v>
      </c>
      <c r="J219" s="35">
        <v>0.50208333333333333</v>
      </c>
      <c r="K219" s="36">
        <v>41996</v>
      </c>
      <c r="L219" s="35">
        <v>0.4861111111111111</v>
      </c>
      <c r="M219" s="37">
        <f>10080-23</f>
        <v>10057</v>
      </c>
      <c r="N219" s="38">
        <f t="shared" si="8"/>
        <v>167.61666666666667</v>
      </c>
      <c r="O219" s="37">
        <v>4</v>
      </c>
      <c r="P219" s="18" t="s">
        <v>120</v>
      </c>
      <c r="Q219" s="26">
        <v>41995</v>
      </c>
      <c r="R219" s="27">
        <v>0.27361111111111108</v>
      </c>
      <c r="S219" s="18">
        <v>3</v>
      </c>
      <c r="T219" s="18">
        <v>1</v>
      </c>
      <c r="U219" s="18">
        <v>1</v>
      </c>
      <c r="V219" s="22">
        <v>0</v>
      </c>
      <c r="W219" s="20">
        <v>1</v>
      </c>
      <c r="X219" s="24">
        <v>0</v>
      </c>
      <c r="Y219" s="25">
        <v>0</v>
      </c>
      <c r="Z219" s="25">
        <v>0</v>
      </c>
      <c r="AA219" s="25">
        <v>0</v>
      </c>
    </row>
    <row r="220" spans="1:42">
      <c r="A220" s="119">
        <v>217</v>
      </c>
      <c r="B220" s="18">
        <v>5</v>
      </c>
      <c r="C220" s="18" t="s">
        <v>223</v>
      </c>
      <c r="D220" s="25">
        <v>5</v>
      </c>
      <c r="E220" s="25">
        <v>1</v>
      </c>
      <c r="I220" s="34">
        <v>41989</v>
      </c>
      <c r="J220" s="35">
        <v>0.50208333333333333</v>
      </c>
      <c r="K220" s="36">
        <v>41996</v>
      </c>
      <c r="L220" s="35">
        <v>0.4861111111111111</v>
      </c>
      <c r="M220" s="37">
        <f>10080-23</f>
        <v>10057</v>
      </c>
      <c r="N220" s="38">
        <f t="shared" si="8"/>
        <v>167.61666666666667</v>
      </c>
      <c r="O220" s="37">
        <v>4</v>
      </c>
      <c r="P220" s="18" t="s">
        <v>297</v>
      </c>
      <c r="Q220" s="26">
        <v>41995</v>
      </c>
      <c r="R220" s="27">
        <v>0.59861111111111109</v>
      </c>
      <c r="S220" s="18">
        <v>8</v>
      </c>
      <c r="T220" s="18">
        <v>1</v>
      </c>
      <c r="U220" s="18">
        <v>0</v>
      </c>
      <c r="V220" s="22">
        <v>0</v>
      </c>
      <c r="W220" s="20">
        <v>0</v>
      </c>
      <c r="X220" s="24">
        <v>0</v>
      </c>
      <c r="Y220" s="25">
        <v>0</v>
      </c>
      <c r="Z220" s="25">
        <v>0</v>
      </c>
      <c r="AA220" s="25">
        <v>1</v>
      </c>
    </row>
    <row r="221" spans="1:42">
      <c r="A221" s="119">
        <v>218</v>
      </c>
      <c r="B221" s="18">
        <v>6</v>
      </c>
      <c r="C221" s="18" t="s">
        <v>225</v>
      </c>
      <c r="D221" s="25">
        <v>7</v>
      </c>
      <c r="E221" s="25">
        <v>0</v>
      </c>
      <c r="I221" s="34">
        <v>41990</v>
      </c>
      <c r="J221" s="35">
        <v>0.39444444444444443</v>
      </c>
      <c r="K221" s="36">
        <v>41997</v>
      </c>
      <c r="L221" s="35">
        <v>0.36874999999999997</v>
      </c>
      <c r="M221" s="37">
        <f t="shared" ref="M221:M229" si="11">10080-37</f>
        <v>10043</v>
      </c>
      <c r="N221" s="38">
        <f t="shared" si="8"/>
        <v>167.38333333333333</v>
      </c>
      <c r="O221" s="37">
        <v>9</v>
      </c>
      <c r="P221" s="18" t="s">
        <v>84</v>
      </c>
      <c r="Q221" s="26">
        <v>41990</v>
      </c>
      <c r="R221" s="27">
        <v>0.55763888888888891</v>
      </c>
      <c r="S221" s="18">
        <v>3</v>
      </c>
      <c r="T221" s="18">
        <v>1</v>
      </c>
      <c r="U221" s="18">
        <v>1</v>
      </c>
      <c r="V221" s="22">
        <v>0</v>
      </c>
      <c r="W221" s="20">
        <v>0</v>
      </c>
      <c r="X221" s="24">
        <v>1</v>
      </c>
      <c r="Y221" s="25">
        <v>0</v>
      </c>
      <c r="Z221" s="25">
        <v>0</v>
      </c>
      <c r="AA221" s="25">
        <v>0</v>
      </c>
      <c r="AB221" s="25">
        <v>5</v>
      </c>
      <c r="AC221" s="25">
        <v>3.7</v>
      </c>
      <c r="AD221" s="25">
        <v>1.3</v>
      </c>
      <c r="AE221" s="38">
        <f>1.3/6</f>
        <v>0.21666666666666667</v>
      </c>
    </row>
    <row r="222" spans="1:42">
      <c r="A222" s="119">
        <v>219</v>
      </c>
      <c r="B222" s="18">
        <v>6</v>
      </c>
      <c r="C222" s="18" t="s">
        <v>225</v>
      </c>
      <c r="D222" s="25">
        <v>7</v>
      </c>
      <c r="E222" s="25">
        <v>0</v>
      </c>
      <c r="I222" s="34">
        <v>41990</v>
      </c>
      <c r="J222" s="35">
        <v>0.39444444444444443</v>
      </c>
      <c r="K222" s="36">
        <v>41997</v>
      </c>
      <c r="L222" s="35">
        <v>0.36874999999999997</v>
      </c>
      <c r="M222" s="37">
        <f t="shared" si="11"/>
        <v>10043</v>
      </c>
      <c r="N222" s="38">
        <f t="shared" si="8"/>
        <v>167.38333333333333</v>
      </c>
      <c r="O222" s="37">
        <v>9</v>
      </c>
      <c r="P222" s="18" t="s">
        <v>119</v>
      </c>
      <c r="Q222" s="26">
        <v>41991</v>
      </c>
      <c r="R222" s="27">
        <v>0.66111111111111109</v>
      </c>
      <c r="S222" s="18">
        <v>3</v>
      </c>
      <c r="T222" s="18">
        <v>1</v>
      </c>
      <c r="U222" s="18">
        <v>1</v>
      </c>
      <c r="V222" s="22">
        <v>1</v>
      </c>
      <c r="W222" s="20">
        <v>0</v>
      </c>
      <c r="X222" s="24">
        <v>0</v>
      </c>
      <c r="Y222" s="25">
        <v>0</v>
      </c>
      <c r="Z222" s="25">
        <v>0</v>
      </c>
      <c r="AA222" s="25">
        <v>0</v>
      </c>
    </row>
    <row r="223" spans="1:42">
      <c r="A223" s="119">
        <v>220</v>
      </c>
      <c r="B223" s="25">
        <v>6</v>
      </c>
      <c r="C223" s="25" t="s">
        <v>225</v>
      </c>
      <c r="D223" s="25">
        <v>7</v>
      </c>
      <c r="E223" s="25">
        <v>0</v>
      </c>
      <c r="F223" s="25"/>
      <c r="G223" s="25"/>
      <c r="H223" s="25"/>
      <c r="I223" s="42">
        <v>41990</v>
      </c>
      <c r="J223" s="43">
        <v>0.39444444444444443</v>
      </c>
      <c r="K223" s="44">
        <v>41997</v>
      </c>
      <c r="L223" s="43">
        <v>0.36874999999999997</v>
      </c>
      <c r="M223" s="28">
        <f t="shared" si="11"/>
        <v>10043</v>
      </c>
      <c r="N223" s="45">
        <f t="shared" si="8"/>
        <v>167.38333333333333</v>
      </c>
      <c r="O223" s="28">
        <v>9</v>
      </c>
      <c r="P223" s="25" t="s">
        <v>120</v>
      </c>
      <c r="Q223" s="46">
        <v>41993</v>
      </c>
      <c r="R223" s="47">
        <v>0.61458333333333337</v>
      </c>
      <c r="S223" s="25">
        <v>3</v>
      </c>
      <c r="T223" s="25">
        <v>1</v>
      </c>
      <c r="U223" s="25">
        <v>1</v>
      </c>
      <c r="V223" s="22">
        <v>1</v>
      </c>
      <c r="W223" s="20">
        <v>0</v>
      </c>
      <c r="X223" s="24">
        <v>0</v>
      </c>
      <c r="Y223" s="25">
        <v>0</v>
      </c>
      <c r="Z223" s="25">
        <v>0</v>
      </c>
      <c r="AA223" s="25">
        <v>0</v>
      </c>
      <c r="AB223" s="25"/>
      <c r="AC223" s="25"/>
      <c r="AD223" s="25"/>
      <c r="AE223" s="45"/>
      <c r="AF223" s="25"/>
    </row>
    <row r="224" spans="1:42">
      <c r="A224" s="119">
        <v>221</v>
      </c>
      <c r="B224" s="18">
        <v>6</v>
      </c>
      <c r="C224" s="18" t="s">
        <v>225</v>
      </c>
      <c r="D224" s="25">
        <v>7</v>
      </c>
      <c r="E224" s="25">
        <v>0</v>
      </c>
      <c r="I224" s="34">
        <v>41990</v>
      </c>
      <c r="J224" s="35">
        <v>0.39444444444444443</v>
      </c>
      <c r="K224" s="36">
        <v>41997</v>
      </c>
      <c r="L224" s="35">
        <v>0.36874999999999997</v>
      </c>
      <c r="M224" s="37">
        <f t="shared" si="11"/>
        <v>10043</v>
      </c>
      <c r="N224" s="38">
        <f t="shared" si="8"/>
        <v>167.38333333333333</v>
      </c>
      <c r="O224" s="37">
        <v>9</v>
      </c>
      <c r="P224" s="18" t="s">
        <v>139</v>
      </c>
      <c r="Q224" s="26">
        <v>41993</v>
      </c>
      <c r="R224" s="27">
        <v>0.7006944444444444</v>
      </c>
      <c r="S224" s="18">
        <v>3</v>
      </c>
      <c r="T224" s="18">
        <v>1</v>
      </c>
      <c r="U224" s="18">
        <v>1</v>
      </c>
      <c r="V224" s="22">
        <v>0</v>
      </c>
      <c r="W224" s="20">
        <v>0</v>
      </c>
      <c r="X224" s="24">
        <v>1</v>
      </c>
      <c r="Y224" s="25">
        <v>0</v>
      </c>
      <c r="Z224" s="25">
        <v>0</v>
      </c>
      <c r="AA224" s="25">
        <v>0</v>
      </c>
    </row>
    <row r="225" spans="1:42">
      <c r="A225" s="119">
        <v>222</v>
      </c>
      <c r="B225" s="18">
        <v>6</v>
      </c>
      <c r="C225" s="18" t="s">
        <v>225</v>
      </c>
      <c r="D225" s="25">
        <v>7</v>
      </c>
      <c r="E225" s="25">
        <v>0</v>
      </c>
      <c r="I225" s="34">
        <v>41990</v>
      </c>
      <c r="J225" s="35">
        <v>0.39444444444444443</v>
      </c>
      <c r="K225" s="36">
        <v>41997</v>
      </c>
      <c r="L225" s="35">
        <v>0.36874999999999997</v>
      </c>
      <c r="M225" s="37">
        <f t="shared" si="11"/>
        <v>10043</v>
      </c>
      <c r="N225" s="38">
        <f t="shared" si="8"/>
        <v>167.38333333333333</v>
      </c>
      <c r="O225" s="37">
        <v>9</v>
      </c>
      <c r="P225" s="18" t="s">
        <v>149</v>
      </c>
      <c r="Q225" s="26">
        <v>41994</v>
      </c>
      <c r="R225" s="27">
        <v>0.22847222222222222</v>
      </c>
      <c r="S225" s="18">
        <v>3</v>
      </c>
      <c r="T225" s="18">
        <v>5</v>
      </c>
      <c r="U225" s="18">
        <v>1</v>
      </c>
      <c r="V225" s="22">
        <v>0</v>
      </c>
      <c r="W225" s="20">
        <v>0</v>
      </c>
      <c r="X225" s="24">
        <v>0</v>
      </c>
      <c r="Y225" s="25">
        <v>0</v>
      </c>
      <c r="Z225" s="25">
        <v>3</v>
      </c>
      <c r="AA225" s="25">
        <v>2</v>
      </c>
    </row>
    <row r="226" spans="1:42">
      <c r="A226" s="119">
        <v>223</v>
      </c>
      <c r="B226" s="18">
        <v>6</v>
      </c>
      <c r="C226" s="18" t="s">
        <v>225</v>
      </c>
      <c r="D226" s="25">
        <v>7</v>
      </c>
      <c r="E226" s="25">
        <v>0</v>
      </c>
      <c r="I226" s="34">
        <v>41990</v>
      </c>
      <c r="J226" s="35">
        <v>0.39444444444444443</v>
      </c>
      <c r="K226" s="36">
        <v>41997</v>
      </c>
      <c r="L226" s="35">
        <v>0.36874999999999997</v>
      </c>
      <c r="M226" s="37">
        <f t="shared" si="11"/>
        <v>10043</v>
      </c>
      <c r="N226" s="38">
        <f t="shared" si="8"/>
        <v>167.38333333333333</v>
      </c>
      <c r="O226" s="37">
        <v>9</v>
      </c>
      <c r="P226" s="18" t="s">
        <v>134</v>
      </c>
      <c r="Q226" s="26">
        <v>41994</v>
      </c>
      <c r="R226" s="27">
        <v>0.4826388888888889</v>
      </c>
      <c r="S226" s="18">
        <v>3</v>
      </c>
      <c r="T226" s="18">
        <v>1</v>
      </c>
      <c r="U226" s="18">
        <v>1</v>
      </c>
      <c r="V226" s="22">
        <v>0</v>
      </c>
      <c r="W226" s="20">
        <v>1</v>
      </c>
      <c r="X226" s="24">
        <v>0</v>
      </c>
      <c r="Y226" s="25">
        <v>0</v>
      </c>
      <c r="Z226" s="25">
        <v>0</v>
      </c>
      <c r="AA226" s="25">
        <v>0</v>
      </c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</row>
    <row r="227" spans="1:42">
      <c r="A227" s="119">
        <v>224</v>
      </c>
      <c r="B227" s="18">
        <v>6</v>
      </c>
      <c r="C227" s="18" t="s">
        <v>225</v>
      </c>
      <c r="D227" s="25">
        <v>7</v>
      </c>
      <c r="E227" s="25">
        <v>0</v>
      </c>
      <c r="I227" s="34">
        <v>41990</v>
      </c>
      <c r="J227" s="35">
        <v>0.39444444444444443</v>
      </c>
      <c r="K227" s="36">
        <v>41997</v>
      </c>
      <c r="L227" s="35">
        <v>0.36874999999999997</v>
      </c>
      <c r="M227" s="37">
        <f t="shared" si="11"/>
        <v>10043</v>
      </c>
      <c r="N227" s="38">
        <f t="shared" si="8"/>
        <v>167.38333333333333</v>
      </c>
      <c r="O227" s="37">
        <v>9</v>
      </c>
      <c r="P227" s="18" t="s">
        <v>136</v>
      </c>
      <c r="Q227" s="26">
        <v>41994</v>
      </c>
      <c r="R227" s="27">
        <v>0.59513888888888888</v>
      </c>
      <c r="S227" s="18">
        <v>3</v>
      </c>
      <c r="T227" s="18">
        <v>1</v>
      </c>
      <c r="U227" s="18">
        <v>1</v>
      </c>
      <c r="V227" s="22">
        <v>0</v>
      </c>
      <c r="W227" s="20">
        <v>1</v>
      </c>
      <c r="X227" s="24">
        <v>0</v>
      </c>
      <c r="Y227" s="25">
        <v>0</v>
      </c>
      <c r="Z227" s="25">
        <v>0</v>
      </c>
      <c r="AA227" s="25">
        <v>0</v>
      </c>
    </row>
    <row r="228" spans="1:42">
      <c r="A228" s="119">
        <v>225</v>
      </c>
      <c r="B228" s="18">
        <v>6</v>
      </c>
      <c r="C228" s="18" t="s">
        <v>225</v>
      </c>
      <c r="D228" s="25">
        <v>7</v>
      </c>
      <c r="E228" s="25">
        <v>0</v>
      </c>
      <c r="I228" s="34">
        <v>41990</v>
      </c>
      <c r="J228" s="35">
        <v>0.39444444444444443</v>
      </c>
      <c r="K228" s="36">
        <v>41997</v>
      </c>
      <c r="L228" s="35">
        <v>0.36874999999999997</v>
      </c>
      <c r="M228" s="37">
        <f t="shared" si="11"/>
        <v>10043</v>
      </c>
      <c r="N228" s="38">
        <f t="shared" si="8"/>
        <v>167.38333333333333</v>
      </c>
      <c r="O228" s="37">
        <v>9</v>
      </c>
      <c r="P228" s="18" t="s">
        <v>150</v>
      </c>
      <c r="Q228" s="26">
        <v>41995</v>
      </c>
      <c r="R228" s="27">
        <v>0.65763888888888888</v>
      </c>
      <c r="S228" s="18">
        <v>3</v>
      </c>
      <c r="T228" s="18">
        <v>1</v>
      </c>
      <c r="U228" s="18">
        <v>1</v>
      </c>
      <c r="V228" s="22">
        <v>0</v>
      </c>
      <c r="W228" s="20">
        <v>1</v>
      </c>
      <c r="X228" s="24">
        <v>0</v>
      </c>
      <c r="Y228" s="25">
        <v>0</v>
      </c>
      <c r="Z228" s="25">
        <v>0</v>
      </c>
      <c r="AA228" s="25">
        <v>0</v>
      </c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</row>
    <row r="229" spans="1:42">
      <c r="A229" s="119">
        <v>226</v>
      </c>
      <c r="B229" s="18">
        <v>6</v>
      </c>
      <c r="C229" s="18" t="s">
        <v>225</v>
      </c>
      <c r="D229" s="25">
        <v>7</v>
      </c>
      <c r="E229" s="25">
        <v>0</v>
      </c>
      <c r="I229" s="34">
        <v>41990</v>
      </c>
      <c r="J229" s="35">
        <v>0.39444444444444443</v>
      </c>
      <c r="K229" s="36">
        <v>41997</v>
      </c>
      <c r="L229" s="35">
        <v>0.36874999999999997</v>
      </c>
      <c r="M229" s="37">
        <f t="shared" si="11"/>
        <v>10043</v>
      </c>
      <c r="N229" s="38">
        <f t="shared" si="8"/>
        <v>167.38333333333333</v>
      </c>
      <c r="O229" s="37">
        <v>9</v>
      </c>
      <c r="P229" s="18" t="s">
        <v>152</v>
      </c>
      <c r="Q229" s="26">
        <v>41997</v>
      </c>
      <c r="R229" s="27">
        <v>0.21944444444444444</v>
      </c>
      <c r="S229" s="18">
        <v>3</v>
      </c>
      <c r="T229" s="18">
        <v>1</v>
      </c>
      <c r="U229" s="18">
        <v>1</v>
      </c>
      <c r="V229" s="22">
        <v>0</v>
      </c>
      <c r="W229" s="20">
        <v>0</v>
      </c>
      <c r="X229" s="24">
        <v>0</v>
      </c>
      <c r="Y229" s="25">
        <v>0</v>
      </c>
      <c r="Z229" s="25">
        <v>0</v>
      </c>
      <c r="AA229" s="25">
        <v>1</v>
      </c>
    </row>
    <row r="230" spans="1:42">
      <c r="A230" s="119">
        <v>227</v>
      </c>
      <c r="B230" s="18">
        <v>7</v>
      </c>
      <c r="C230" s="18" t="s">
        <v>226</v>
      </c>
      <c r="D230" s="25">
        <v>7</v>
      </c>
      <c r="E230" s="25">
        <v>0</v>
      </c>
      <c r="I230" s="34">
        <v>41990</v>
      </c>
      <c r="J230" s="35">
        <v>0.41666666666666669</v>
      </c>
      <c r="K230" s="36">
        <v>41997</v>
      </c>
      <c r="L230" s="35">
        <v>0.38541666666666669</v>
      </c>
      <c r="M230" s="37">
        <f t="shared" ref="M230:M236" si="12">10080-45</f>
        <v>10035</v>
      </c>
      <c r="N230" s="38">
        <f t="shared" si="8"/>
        <v>167.25</v>
      </c>
      <c r="O230" s="37">
        <v>7</v>
      </c>
      <c r="P230" s="18" t="s">
        <v>119</v>
      </c>
      <c r="Q230" s="26">
        <v>41991</v>
      </c>
      <c r="R230" s="27">
        <v>0.51041666666666663</v>
      </c>
      <c r="S230" s="18">
        <v>3</v>
      </c>
      <c r="T230" s="18">
        <v>1</v>
      </c>
      <c r="U230" s="18">
        <v>1</v>
      </c>
      <c r="V230" s="22">
        <v>0</v>
      </c>
      <c r="W230" s="20">
        <v>1</v>
      </c>
      <c r="X230" s="24">
        <v>0</v>
      </c>
      <c r="Y230" s="25">
        <v>0</v>
      </c>
      <c r="Z230" s="25">
        <v>0</v>
      </c>
      <c r="AA230" s="25">
        <v>0</v>
      </c>
      <c r="AB230" s="25">
        <v>5</v>
      </c>
      <c r="AC230" s="25">
        <v>1.88</v>
      </c>
      <c r="AD230" s="25">
        <v>3.45</v>
      </c>
      <c r="AE230" s="38">
        <f>3.45/8</f>
        <v>0.43125000000000002</v>
      </c>
    </row>
    <row r="231" spans="1:42">
      <c r="A231" s="119">
        <v>228</v>
      </c>
      <c r="B231" s="18">
        <v>7</v>
      </c>
      <c r="C231" s="18" t="s">
        <v>226</v>
      </c>
      <c r="D231" s="25">
        <v>7</v>
      </c>
      <c r="E231" s="25">
        <v>0</v>
      </c>
      <c r="I231" s="34">
        <v>41990</v>
      </c>
      <c r="J231" s="35">
        <v>0.41666666666666669</v>
      </c>
      <c r="K231" s="36">
        <v>41997</v>
      </c>
      <c r="L231" s="35">
        <v>0.38541666666666669</v>
      </c>
      <c r="M231" s="37">
        <f t="shared" si="12"/>
        <v>10035</v>
      </c>
      <c r="N231" s="38">
        <f t="shared" si="8"/>
        <v>167.25</v>
      </c>
      <c r="O231" s="37">
        <v>7</v>
      </c>
      <c r="P231" s="18" t="s">
        <v>139</v>
      </c>
      <c r="Q231" s="26">
        <v>41992</v>
      </c>
      <c r="R231" s="27">
        <v>0.48749999999999999</v>
      </c>
      <c r="S231" s="18">
        <v>3</v>
      </c>
      <c r="T231" s="18">
        <v>1</v>
      </c>
      <c r="U231" s="18">
        <v>1</v>
      </c>
      <c r="V231" s="22">
        <v>1</v>
      </c>
      <c r="W231" s="20">
        <v>0</v>
      </c>
      <c r="X231" s="24">
        <v>0</v>
      </c>
      <c r="Y231" s="25">
        <v>0</v>
      </c>
      <c r="Z231" s="25">
        <v>0</v>
      </c>
      <c r="AA231" s="25">
        <v>0</v>
      </c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</row>
    <row r="232" spans="1:42">
      <c r="A232" s="119">
        <v>229</v>
      </c>
      <c r="B232" s="18">
        <v>7</v>
      </c>
      <c r="C232" s="18" t="s">
        <v>226</v>
      </c>
      <c r="D232" s="25">
        <v>7</v>
      </c>
      <c r="E232" s="25">
        <v>0</v>
      </c>
      <c r="I232" s="34">
        <v>41990</v>
      </c>
      <c r="J232" s="35">
        <v>0.41666666666666669</v>
      </c>
      <c r="K232" s="36">
        <v>41997</v>
      </c>
      <c r="L232" s="35">
        <v>0.38541666666666669</v>
      </c>
      <c r="M232" s="37">
        <f t="shared" si="12"/>
        <v>10035</v>
      </c>
      <c r="N232" s="38">
        <f t="shared" si="8"/>
        <v>167.25</v>
      </c>
      <c r="O232" s="37">
        <v>7</v>
      </c>
      <c r="P232" s="18" t="s">
        <v>148</v>
      </c>
      <c r="Q232" s="26">
        <v>41992</v>
      </c>
      <c r="R232" s="27">
        <v>0.57152777777777775</v>
      </c>
      <c r="S232" s="18">
        <v>3</v>
      </c>
      <c r="T232" s="18">
        <v>1</v>
      </c>
      <c r="U232" s="18">
        <v>0</v>
      </c>
      <c r="V232" s="22">
        <v>0</v>
      </c>
      <c r="W232" s="20">
        <v>0</v>
      </c>
      <c r="X232" s="24">
        <v>1</v>
      </c>
      <c r="Y232" s="25">
        <v>0</v>
      </c>
      <c r="Z232" s="25">
        <v>0</v>
      </c>
      <c r="AA232" s="25">
        <v>0</v>
      </c>
    </row>
    <row r="233" spans="1:42">
      <c r="A233" s="119">
        <v>230</v>
      </c>
      <c r="B233" s="18">
        <v>7</v>
      </c>
      <c r="C233" s="18" t="s">
        <v>226</v>
      </c>
      <c r="D233" s="25">
        <v>7</v>
      </c>
      <c r="E233" s="25">
        <v>0</v>
      </c>
      <c r="I233" s="34">
        <v>41990</v>
      </c>
      <c r="J233" s="35">
        <v>0.41666666666666669</v>
      </c>
      <c r="K233" s="36">
        <v>41997</v>
      </c>
      <c r="L233" s="35">
        <v>0.38541666666666669</v>
      </c>
      <c r="M233" s="37">
        <f t="shared" si="12"/>
        <v>10035</v>
      </c>
      <c r="N233" s="38">
        <f t="shared" si="8"/>
        <v>167.25</v>
      </c>
      <c r="O233" s="37">
        <v>7</v>
      </c>
      <c r="P233" s="18" t="s">
        <v>136</v>
      </c>
      <c r="Q233" s="26">
        <v>41993</v>
      </c>
      <c r="R233" s="27">
        <v>0.49027777777777781</v>
      </c>
      <c r="S233" s="18">
        <v>3</v>
      </c>
      <c r="T233" s="18">
        <v>1</v>
      </c>
      <c r="U233" s="18">
        <v>1</v>
      </c>
      <c r="V233" s="22">
        <v>0</v>
      </c>
      <c r="W233" s="20">
        <v>0</v>
      </c>
      <c r="X233" s="24">
        <v>0</v>
      </c>
      <c r="Y233" s="25">
        <v>0</v>
      </c>
      <c r="Z233" s="25">
        <v>0</v>
      </c>
      <c r="AA233" s="25">
        <v>1</v>
      </c>
    </row>
    <row r="234" spans="1:42">
      <c r="A234" s="119">
        <v>231</v>
      </c>
      <c r="B234" s="18">
        <v>7</v>
      </c>
      <c r="C234" s="18" t="s">
        <v>226</v>
      </c>
      <c r="D234" s="25">
        <v>7</v>
      </c>
      <c r="E234" s="25">
        <v>0</v>
      </c>
      <c r="I234" s="34">
        <v>41990</v>
      </c>
      <c r="J234" s="35">
        <v>0.41666666666666669</v>
      </c>
      <c r="K234" s="36">
        <v>41997</v>
      </c>
      <c r="L234" s="35">
        <v>0.38541666666666669</v>
      </c>
      <c r="M234" s="37">
        <f t="shared" si="12"/>
        <v>10035</v>
      </c>
      <c r="N234" s="38">
        <f t="shared" si="8"/>
        <v>167.25</v>
      </c>
      <c r="O234" s="37">
        <v>7</v>
      </c>
      <c r="P234" s="18" t="s">
        <v>152</v>
      </c>
      <c r="Q234" s="26">
        <v>41995</v>
      </c>
      <c r="R234" s="27">
        <v>0.3972222222222222</v>
      </c>
      <c r="S234" s="18">
        <v>1</v>
      </c>
      <c r="T234" s="18">
        <v>9</v>
      </c>
      <c r="U234" s="18">
        <v>3</v>
      </c>
      <c r="V234" s="22">
        <v>2</v>
      </c>
      <c r="W234" s="20">
        <v>1</v>
      </c>
      <c r="X234" s="24">
        <v>3</v>
      </c>
      <c r="Y234" s="25">
        <v>0</v>
      </c>
      <c r="Z234" s="25">
        <v>0</v>
      </c>
      <c r="AA234" s="25">
        <v>3</v>
      </c>
      <c r="AB234" s="25">
        <v>5</v>
      </c>
      <c r="AC234" s="25">
        <v>2.48</v>
      </c>
      <c r="AD234" s="25">
        <v>3.48</v>
      </c>
      <c r="AE234" s="38">
        <f>3.48/5</f>
        <v>0.69599999999999995</v>
      </c>
    </row>
    <row r="235" spans="1:42">
      <c r="A235" s="119">
        <v>232</v>
      </c>
      <c r="B235" s="18">
        <v>7</v>
      </c>
      <c r="C235" s="18" t="s">
        <v>226</v>
      </c>
      <c r="D235" s="25">
        <v>7</v>
      </c>
      <c r="E235" s="25">
        <v>0</v>
      </c>
      <c r="I235" s="34">
        <v>41990</v>
      </c>
      <c r="J235" s="35">
        <v>0.41666666666666669</v>
      </c>
      <c r="K235" s="36">
        <v>41997</v>
      </c>
      <c r="L235" s="35">
        <v>0.38541666666666669</v>
      </c>
      <c r="M235" s="37">
        <f t="shared" si="12"/>
        <v>10035</v>
      </c>
      <c r="N235" s="38">
        <f t="shared" si="8"/>
        <v>167.25</v>
      </c>
      <c r="O235" s="37">
        <v>7</v>
      </c>
      <c r="P235" s="18" t="s">
        <v>143</v>
      </c>
      <c r="Q235" s="26">
        <v>41995</v>
      </c>
      <c r="R235" s="27">
        <v>0.60069444444444442</v>
      </c>
      <c r="S235" s="18">
        <v>3</v>
      </c>
      <c r="T235" s="18">
        <v>1</v>
      </c>
      <c r="U235" s="18">
        <v>1</v>
      </c>
      <c r="V235" s="22">
        <v>0</v>
      </c>
      <c r="W235" s="20">
        <v>1</v>
      </c>
      <c r="X235" s="24">
        <v>0</v>
      </c>
      <c r="Y235" s="25">
        <v>0</v>
      </c>
      <c r="Z235" s="25">
        <v>0</v>
      </c>
      <c r="AA235" s="25">
        <v>0</v>
      </c>
    </row>
    <row r="236" spans="1:42">
      <c r="A236" s="119">
        <v>233</v>
      </c>
      <c r="B236" s="18">
        <v>7</v>
      </c>
      <c r="C236" s="18" t="s">
        <v>226</v>
      </c>
      <c r="D236" s="18">
        <v>7</v>
      </c>
      <c r="E236" s="25">
        <v>0</v>
      </c>
      <c r="I236" s="34">
        <v>41990</v>
      </c>
      <c r="J236" s="35">
        <v>0.41666666666666669</v>
      </c>
      <c r="K236" s="36">
        <v>41997</v>
      </c>
      <c r="L236" s="35">
        <v>0.38541666666666669</v>
      </c>
      <c r="M236" s="37">
        <f t="shared" si="12"/>
        <v>10035</v>
      </c>
      <c r="N236" s="38">
        <f t="shared" si="8"/>
        <v>167.25</v>
      </c>
      <c r="O236" s="37">
        <v>7</v>
      </c>
      <c r="P236" s="18" t="s">
        <v>144</v>
      </c>
      <c r="Q236" s="26">
        <v>41995</v>
      </c>
      <c r="R236" s="27">
        <v>0.66736111111111107</v>
      </c>
      <c r="S236" s="18">
        <v>3</v>
      </c>
      <c r="T236" s="18">
        <v>1</v>
      </c>
      <c r="U236" s="18">
        <v>1</v>
      </c>
      <c r="V236" s="22">
        <v>0</v>
      </c>
      <c r="W236" s="20">
        <v>1</v>
      </c>
      <c r="X236" s="24">
        <v>0</v>
      </c>
      <c r="Y236" s="25">
        <v>0</v>
      </c>
      <c r="Z236" s="25">
        <v>0</v>
      </c>
      <c r="AA236" s="25">
        <v>0</v>
      </c>
    </row>
    <row r="237" spans="1:42" s="140" customFormat="1">
      <c r="A237" s="139">
        <v>234</v>
      </c>
      <c r="B237" s="140">
        <v>8</v>
      </c>
      <c r="C237" s="140" t="s">
        <v>227</v>
      </c>
      <c r="D237" s="141">
        <v>5</v>
      </c>
      <c r="E237" s="141">
        <v>0</v>
      </c>
      <c r="I237" s="142">
        <v>41990</v>
      </c>
      <c r="J237" s="143">
        <v>0.44375000000000003</v>
      </c>
      <c r="K237" s="144">
        <v>41997</v>
      </c>
      <c r="L237" s="143">
        <v>0.41388888888888892</v>
      </c>
      <c r="M237" s="145">
        <f>10080-43</f>
        <v>10037</v>
      </c>
      <c r="N237" s="146">
        <f t="shared" si="8"/>
        <v>167.28333333333333</v>
      </c>
      <c r="O237" s="145">
        <v>4</v>
      </c>
      <c r="P237" s="140" t="s">
        <v>118</v>
      </c>
      <c r="Q237" s="147">
        <v>41991</v>
      </c>
      <c r="R237" s="148">
        <v>0.86111111111111116</v>
      </c>
      <c r="S237" s="140">
        <v>1</v>
      </c>
      <c r="T237" s="140">
        <v>1</v>
      </c>
      <c r="U237" s="140">
        <v>1</v>
      </c>
      <c r="V237" s="149">
        <v>1</v>
      </c>
      <c r="W237" s="141">
        <v>0</v>
      </c>
      <c r="X237" s="150">
        <v>0</v>
      </c>
      <c r="Y237" s="141">
        <v>0</v>
      </c>
      <c r="Z237" s="141">
        <v>0</v>
      </c>
      <c r="AA237" s="141">
        <v>0</v>
      </c>
      <c r="AB237" s="141">
        <v>10</v>
      </c>
      <c r="AC237" s="141">
        <v>4.3</v>
      </c>
      <c r="AD237" s="141">
        <v>0.7</v>
      </c>
      <c r="AE237" s="146">
        <f>0.7/30</f>
        <v>2.3333333333333331E-2</v>
      </c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</row>
    <row r="238" spans="1:42">
      <c r="A238" s="119">
        <v>235</v>
      </c>
      <c r="B238" s="18">
        <v>8</v>
      </c>
      <c r="C238" s="18" t="s">
        <v>227</v>
      </c>
      <c r="D238" s="25">
        <v>5</v>
      </c>
      <c r="E238" s="25">
        <v>0</v>
      </c>
      <c r="I238" s="34">
        <v>41990</v>
      </c>
      <c r="J238" s="35">
        <v>0.44375000000000003</v>
      </c>
      <c r="K238" s="36">
        <v>41997</v>
      </c>
      <c r="L238" s="35">
        <v>0.41388888888888892</v>
      </c>
      <c r="M238" s="37">
        <f>10080-43</f>
        <v>10037</v>
      </c>
      <c r="N238" s="38">
        <f t="shared" si="8"/>
        <v>167.28333333333333</v>
      </c>
      <c r="O238" s="37">
        <v>4</v>
      </c>
      <c r="P238" s="18" t="s">
        <v>120</v>
      </c>
      <c r="Q238" s="26">
        <v>41992</v>
      </c>
      <c r="R238" s="27">
        <v>0.49374999999999997</v>
      </c>
      <c r="S238" s="18">
        <v>3</v>
      </c>
      <c r="T238" s="18">
        <v>3</v>
      </c>
      <c r="U238" s="18">
        <v>2</v>
      </c>
      <c r="V238" s="22">
        <v>0</v>
      </c>
      <c r="W238" s="20">
        <v>0</v>
      </c>
      <c r="X238" s="24">
        <v>1</v>
      </c>
      <c r="Y238" s="25">
        <v>0</v>
      </c>
      <c r="Z238" s="25">
        <v>0</v>
      </c>
      <c r="AA238" s="25">
        <v>2</v>
      </c>
      <c r="AB238" s="25">
        <v>15</v>
      </c>
      <c r="AC238" s="25">
        <v>4.18</v>
      </c>
      <c r="AD238" s="25">
        <v>3.68</v>
      </c>
      <c r="AE238" s="38">
        <f>3.68/6</f>
        <v>0.6133333333333334</v>
      </c>
    </row>
    <row r="239" spans="1:42" s="140" customFormat="1">
      <c r="A239" s="139">
        <v>236</v>
      </c>
      <c r="B239" s="140">
        <v>8</v>
      </c>
      <c r="C239" s="140" t="s">
        <v>227</v>
      </c>
      <c r="D239" s="141">
        <v>5</v>
      </c>
      <c r="E239" s="141">
        <v>0</v>
      </c>
      <c r="I239" s="142">
        <v>41990</v>
      </c>
      <c r="J239" s="143">
        <v>0.44375000000000003</v>
      </c>
      <c r="K239" s="144">
        <v>41997</v>
      </c>
      <c r="L239" s="143">
        <v>0.41388888888888892</v>
      </c>
      <c r="M239" s="145">
        <f>10080-43</f>
        <v>10037</v>
      </c>
      <c r="N239" s="146">
        <f t="shared" si="8"/>
        <v>167.28333333333333</v>
      </c>
      <c r="O239" s="145">
        <v>4</v>
      </c>
      <c r="P239" s="140" t="s">
        <v>139</v>
      </c>
      <c r="Q239" s="147">
        <v>41993</v>
      </c>
      <c r="R239" s="148">
        <v>0.70486111111111116</v>
      </c>
      <c r="S239" s="140">
        <v>1</v>
      </c>
      <c r="T239" s="140">
        <v>4</v>
      </c>
      <c r="U239" s="140">
        <v>1</v>
      </c>
      <c r="V239" s="149">
        <v>1</v>
      </c>
      <c r="W239" s="141">
        <v>0</v>
      </c>
      <c r="X239" s="150">
        <v>3</v>
      </c>
      <c r="Y239" s="141">
        <v>0</v>
      </c>
      <c r="Z239" s="141">
        <v>0</v>
      </c>
      <c r="AA239" s="141">
        <v>0</v>
      </c>
      <c r="AB239" s="141">
        <v>5</v>
      </c>
      <c r="AC239" s="141">
        <v>2.2999999999999998</v>
      </c>
      <c r="AD239" s="141">
        <v>3.2</v>
      </c>
      <c r="AE239" s="146">
        <f>3.2/30</f>
        <v>0.10666666666666667</v>
      </c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</row>
    <row r="240" spans="1:42">
      <c r="A240" s="119">
        <v>237</v>
      </c>
      <c r="B240" s="18">
        <v>8</v>
      </c>
      <c r="C240" s="18" t="s">
        <v>227</v>
      </c>
      <c r="D240" s="25">
        <v>5</v>
      </c>
      <c r="E240" s="25">
        <v>0</v>
      </c>
      <c r="I240" s="34">
        <v>41990</v>
      </c>
      <c r="J240" s="35">
        <v>0.44375000000000003</v>
      </c>
      <c r="K240" s="36">
        <v>41997</v>
      </c>
      <c r="L240" s="35">
        <v>0.41388888888888892</v>
      </c>
      <c r="M240" s="37">
        <f>10080-43</f>
        <v>10037</v>
      </c>
      <c r="N240" s="38">
        <f t="shared" si="8"/>
        <v>167.28333333333333</v>
      </c>
      <c r="O240" s="37">
        <v>4</v>
      </c>
      <c r="P240" s="18" t="s">
        <v>134</v>
      </c>
      <c r="Q240" s="26">
        <v>41997</v>
      </c>
      <c r="R240" s="27">
        <v>8.2638888888888887E-2</v>
      </c>
      <c r="S240" s="18">
        <v>7</v>
      </c>
      <c r="T240" s="18">
        <v>1</v>
      </c>
      <c r="U240" s="18">
        <v>1</v>
      </c>
      <c r="V240" s="22">
        <v>0</v>
      </c>
      <c r="W240" s="20">
        <v>1</v>
      </c>
      <c r="X240" s="24">
        <v>0</v>
      </c>
      <c r="Y240" s="25">
        <v>0</v>
      </c>
      <c r="Z240" s="25">
        <v>0</v>
      </c>
      <c r="AA240" s="25">
        <v>0</v>
      </c>
      <c r="AB240" s="18">
        <v>20</v>
      </c>
      <c r="AC240" s="25">
        <v>6.7</v>
      </c>
      <c r="AD240" s="25">
        <v>2.5</v>
      </c>
      <c r="AE240" s="38">
        <f>2.5/9</f>
        <v>0.27777777777777779</v>
      </c>
    </row>
    <row r="241" spans="1:42">
      <c r="A241" s="119">
        <v>238</v>
      </c>
      <c r="B241" s="18">
        <v>9</v>
      </c>
      <c r="C241" s="18" t="s">
        <v>228</v>
      </c>
      <c r="D241" s="25">
        <v>6</v>
      </c>
      <c r="E241" s="25">
        <v>0</v>
      </c>
      <c r="I241" s="34">
        <v>41990</v>
      </c>
      <c r="J241" s="35">
        <v>0.46458333333333335</v>
      </c>
      <c r="K241" s="36">
        <v>41997</v>
      </c>
      <c r="L241" s="35">
        <v>0.43958333333333338</v>
      </c>
      <c r="M241" s="37">
        <f>10080-36</f>
        <v>10044</v>
      </c>
      <c r="N241" s="38">
        <f t="shared" si="8"/>
        <v>167.4</v>
      </c>
      <c r="O241" s="37">
        <v>0</v>
      </c>
      <c r="Q241" s="26"/>
      <c r="R241" s="27"/>
      <c r="Y241" s="25"/>
      <c r="Z241" s="25"/>
      <c r="AA241" s="25"/>
    </row>
    <row r="242" spans="1:42" s="140" customFormat="1">
      <c r="A242" s="139">
        <v>239</v>
      </c>
      <c r="B242" s="140">
        <v>10</v>
      </c>
      <c r="C242" s="140" t="s">
        <v>229</v>
      </c>
      <c r="D242" s="141">
        <v>7</v>
      </c>
      <c r="E242" s="141">
        <v>0</v>
      </c>
      <c r="I242" s="142">
        <v>41990</v>
      </c>
      <c r="J242" s="143">
        <v>0.49652777777777773</v>
      </c>
      <c r="K242" s="144">
        <v>41997</v>
      </c>
      <c r="L242" s="143">
        <v>0.45624999999999999</v>
      </c>
      <c r="M242" s="145">
        <f t="shared" ref="M242:M251" si="13">10080-58</f>
        <v>10022</v>
      </c>
      <c r="N242" s="146">
        <f t="shared" si="8"/>
        <v>167.03333333333333</v>
      </c>
      <c r="O242" s="145">
        <v>10</v>
      </c>
      <c r="P242" s="140" t="s">
        <v>101</v>
      </c>
      <c r="Q242" s="147">
        <v>41991</v>
      </c>
      <c r="R242" s="148">
        <v>0.26944444444444443</v>
      </c>
      <c r="S242" s="140">
        <v>1</v>
      </c>
      <c r="T242" s="140">
        <v>1</v>
      </c>
      <c r="U242" s="140">
        <v>1</v>
      </c>
      <c r="V242" s="149">
        <v>1</v>
      </c>
      <c r="W242" s="141">
        <v>0</v>
      </c>
      <c r="X242" s="150">
        <v>0</v>
      </c>
      <c r="Y242" s="141">
        <v>0</v>
      </c>
      <c r="Z242" s="141">
        <v>0</v>
      </c>
      <c r="AA242" s="141">
        <v>0</v>
      </c>
      <c r="AB242" s="141">
        <v>5</v>
      </c>
      <c r="AC242" s="141">
        <v>3.1</v>
      </c>
      <c r="AD242" s="141">
        <v>5.5</v>
      </c>
      <c r="AE242" s="146">
        <v>0.18</v>
      </c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</row>
    <row r="243" spans="1:42">
      <c r="A243" s="119">
        <v>240</v>
      </c>
      <c r="B243" s="18">
        <v>10</v>
      </c>
      <c r="C243" s="18" t="s">
        <v>229</v>
      </c>
      <c r="D243" s="25">
        <v>7</v>
      </c>
      <c r="E243" s="25">
        <v>0</v>
      </c>
      <c r="I243" s="34">
        <v>41990</v>
      </c>
      <c r="J243" s="35">
        <v>0.49652777777777773</v>
      </c>
      <c r="K243" s="36">
        <v>41997</v>
      </c>
      <c r="L243" s="35">
        <v>0.45624999999999999</v>
      </c>
      <c r="M243" s="37">
        <f t="shared" si="13"/>
        <v>10022</v>
      </c>
      <c r="N243" s="38">
        <f t="shared" si="8"/>
        <v>167.03333333333333</v>
      </c>
      <c r="O243" s="37">
        <v>10</v>
      </c>
      <c r="P243" s="18" t="s">
        <v>107</v>
      </c>
      <c r="Q243" s="26">
        <v>41991</v>
      </c>
      <c r="R243" s="27">
        <v>0.47638888888888892</v>
      </c>
      <c r="S243" s="18">
        <v>3</v>
      </c>
      <c r="T243" s="18">
        <v>1</v>
      </c>
      <c r="U243" s="18">
        <v>1</v>
      </c>
      <c r="V243" s="22">
        <v>0</v>
      </c>
      <c r="W243" s="20">
        <v>0</v>
      </c>
      <c r="X243" s="24">
        <v>0</v>
      </c>
      <c r="Y243" s="25">
        <v>0</v>
      </c>
      <c r="Z243" s="25">
        <v>0</v>
      </c>
      <c r="AA243" s="25">
        <v>1</v>
      </c>
      <c r="AB243" s="25">
        <v>15</v>
      </c>
      <c r="AC243" s="25">
        <v>4.75</v>
      </c>
      <c r="AD243" s="25">
        <v>4.5</v>
      </c>
      <c r="AE243" s="38">
        <f>1.5/10</f>
        <v>0.15</v>
      </c>
    </row>
    <row r="244" spans="1:42">
      <c r="A244" s="119">
        <v>241</v>
      </c>
      <c r="B244" s="18">
        <v>10</v>
      </c>
      <c r="C244" s="18" t="s">
        <v>229</v>
      </c>
      <c r="D244" s="25">
        <v>7</v>
      </c>
      <c r="E244" s="25">
        <v>0</v>
      </c>
      <c r="I244" s="34">
        <v>41990</v>
      </c>
      <c r="J244" s="35">
        <v>0.49652777777777773</v>
      </c>
      <c r="K244" s="36">
        <v>41997</v>
      </c>
      <c r="L244" s="35">
        <v>0.45624999999999999</v>
      </c>
      <c r="M244" s="37">
        <f t="shared" si="13"/>
        <v>10022</v>
      </c>
      <c r="N244" s="38">
        <f t="shared" si="8"/>
        <v>167.03333333333333</v>
      </c>
      <c r="O244" s="37">
        <v>10</v>
      </c>
      <c r="P244" s="18" t="s">
        <v>92</v>
      </c>
      <c r="Q244" s="26">
        <v>41991</v>
      </c>
      <c r="R244" s="27">
        <v>0.55486111111111114</v>
      </c>
      <c r="S244" s="18">
        <v>3</v>
      </c>
      <c r="T244" s="18">
        <v>2</v>
      </c>
      <c r="U244" s="18">
        <v>1</v>
      </c>
      <c r="V244" s="22">
        <v>0</v>
      </c>
      <c r="W244" s="20">
        <v>0</v>
      </c>
      <c r="X244" s="24">
        <v>0</v>
      </c>
      <c r="Y244" s="25">
        <v>0</v>
      </c>
      <c r="Z244" s="25">
        <v>0</v>
      </c>
      <c r="AA244" s="25">
        <v>2</v>
      </c>
    </row>
    <row r="245" spans="1:42">
      <c r="A245" s="119">
        <v>242</v>
      </c>
      <c r="B245" s="18">
        <v>10</v>
      </c>
      <c r="C245" s="18" t="s">
        <v>229</v>
      </c>
      <c r="D245" s="25">
        <v>7</v>
      </c>
      <c r="E245" s="25">
        <v>0</v>
      </c>
      <c r="I245" s="34">
        <v>41990</v>
      </c>
      <c r="J245" s="35">
        <v>0.49652777777777773</v>
      </c>
      <c r="K245" s="36">
        <v>41997</v>
      </c>
      <c r="L245" s="35">
        <v>0.45624999999999999</v>
      </c>
      <c r="M245" s="37">
        <f t="shared" si="13"/>
        <v>10022</v>
      </c>
      <c r="N245" s="38">
        <f t="shared" si="8"/>
        <v>167.03333333333333</v>
      </c>
      <c r="O245" s="37">
        <v>10</v>
      </c>
      <c r="P245" s="18" t="s">
        <v>139</v>
      </c>
      <c r="Q245" s="26">
        <v>41992</v>
      </c>
      <c r="R245" s="27">
        <v>0.4236111111111111</v>
      </c>
      <c r="S245" s="18">
        <v>3</v>
      </c>
      <c r="T245" s="18">
        <v>2</v>
      </c>
      <c r="U245" s="18">
        <v>2</v>
      </c>
      <c r="V245" s="22">
        <v>0</v>
      </c>
      <c r="W245" s="20">
        <v>0</v>
      </c>
      <c r="X245" s="24">
        <v>0</v>
      </c>
      <c r="Y245" s="25">
        <v>0</v>
      </c>
      <c r="Z245" s="25">
        <v>0</v>
      </c>
      <c r="AA245" s="25">
        <v>2</v>
      </c>
    </row>
    <row r="246" spans="1:42">
      <c r="A246" s="119">
        <v>243</v>
      </c>
      <c r="B246" s="18">
        <v>10</v>
      </c>
      <c r="C246" s="18" t="s">
        <v>229</v>
      </c>
      <c r="D246" s="25">
        <v>7</v>
      </c>
      <c r="E246" s="25">
        <v>0</v>
      </c>
      <c r="I246" s="34">
        <v>41990</v>
      </c>
      <c r="J246" s="35">
        <v>0.49652777777777773</v>
      </c>
      <c r="K246" s="36">
        <v>41997</v>
      </c>
      <c r="L246" s="35">
        <v>0.45624999999999999</v>
      </c>
      <c r="M246" s="37">
        <f t="shared" si="13"/>
        <v>10022</v>
      </c>
      <c r="N246" s="38">
        <f t="shared" si="8"/>
        <v>167.03333333333333</v>
      </c>
      <c r="O246" s="37">
        <v>10</v>
      </c>
      <c r="P246" s="18" t="s">
        <v>156</v>
      </c>
      <c r="Q246" s="26">
        <v>41993</v>
      </c>
      <c r="R246" s="27">
        <v>0.22708333333333333</v>
      </c>
      <c r="S246" s="18">
        <v>1</v>
      </c>
      <c r="T246" s="18">
        <v>4</v>
      </c>
      <c r="U246" s="18">
        <v>2</v>
      </c>
      <c r="V246" s="22">
        <v>2</v>
      </c>
      <c r="W246" s="20">
        <v>0</v>
      </c>
      <c r="X246" s="24">
        <v>2</v>
      </c>
      <c r="Y246" s="25">
        <v>0</v>
      </c>
      <c r="Z246" s="25">
        <v>0</v>
      </c>
      <c r="AA246" s="25">
        <v>0</v>
      </c>
    </row>
    <row r="247" spans="1:42">
      <c r="A247" s="119">
        <v>244</v>
      </c>
      <c r="B247" s="18">
        <v>10</v>
      </c>
      <c r="C247" s="18" t="s">
        <v>229</v>
      </c>
      <c r="D247" s="25">
        <v>7</v>
      </c>
      <c r="E247" s="25">
        <v>0</v>
      </c>
      <c r="I247" s="34">
        <v>41990</v>
      </c>
      <c r="J247" s="35">
        <v>0.49652777777777773</v>
      </c>
      <c r="K247" s="36">
        <v>41997</v>
      </c>
      <c r="L247" s="35">
        <v>0.45624999999999999</v>
      </c>
      <c r="M247" s="37">
        <f t="shared" si="13"/>
        <v>10022</v>
      </c>
      <c r="N247" s="38">
        <f t="shared" si="8"/>
        <v>167.03333333333333</v>
      </c>
      <c r="O247" s="37">
        <v>10</v>
      </c>
      <c r="P247" s="18" t="s">
        <v>148</v>
      </c>
      <c r="Q247" s="26">
        <v>41993</v>
      </c>
      <c r="R247" s="27">
        <v>0.50069444444444444</v>
      </c>
      <c r="S247" s="18">
        <v>3</v>
      </c>
      <c r="T247" s="18">
        <v>6</v>
      </c>
      <c r="U247" s="18">
        <v>3</v>
      </c>
      <c r="V247" s="22">
        <v>0</v>
      </c>
      <c r="W247" s="20">
        <v>0</v>
      </c>
      <c r="X247" s="24">
        <v>0</v>
      </c>
      <c r="Y247" s="25">
        <v>0</v>
      </c>
      <c r="Z247" s="25">
        <v>0</v>
      </c>
      <c r="AA247" s="25">
        <v>6</v>
      </c>
    </row>
    <row r="248" spans="1:42">
      <c r="A248" s="119">
        <v>245</v>
      </c>
      <c r="B248" s="18">
        <v>10</v>
      </c>
      <c r="C248" s="18" t="s">
        <v>229</v>
      </c>
      <c r="D248" s="25">
        <v>7</v>
      </c>
      <c r="E248" s="25">
        <v>0</v>
      </c>
      <c r="I248" s="34">
        <v>41990</v>
      </c>
      <c r="J248" s="35">
        <v>0.49652777777777773</v>
      </c>
      <c r="K248" s="36">
        <v>41997</v>
      </c>
      <c r="L248" s="35">
        <v>0.45624999999999999</v>
      </c>
      <c r="M248" s="37">
        <f t="shared" si="13"/>
        <v>10022</v>
      </c>
      <c r="N248" s="38">
        <f t="shared" si="8"/>
        <v>167.03333333333333</v>
      </c>
      <c r="O248" s="37">
        <v>10</v>
      </c>
      <c r="P248" s="18" t="s">
        <v>152</v>
      </c>
      <c r="Q248" s="26">
        <v>41995</v>
      </c>
      <c r="R248" s="27">
        <v>0.67291666666666661</v>
      </c>
      <c r="S248" s="18">
        <v>3</v>
      </c>
      <c r="T248" s="18">
        <v>2</v>
      </c>
      <c r="U248" s="18">
        <v>0</v>
      </c>
      <c r="V248" s="22">
        <v>0</v>
      </c>
      <c r="W248" s="20">
        <v>0</v>
      </c>
      <c r="X248" s="24">
        <v>1</v>
      </c>
      <c r="Y248" s="25">
        <v>0</v>
      </c>
      <c r="Z248" s="25">
        <v>0</v>
      </c>
      <c r="AA248" s="25">
        <v>1</v>
      </c>
    </row>
    <row r="249" spans="1:42">
      <c r="A249" s="119">
        <v>246</v>
      </c>
      <c r="B249" s="18">
        <v>10</v>
      </c>
      <c r="C249" s="18" t="s">
        <v>229</v>
      </c>
      <c r="D249" s="25">
        <v>7</v>
      </c>
      <c r="E249" s="25">
        <v>0</v>
      </c>
      <c r="I249" s="34">
        <v>41990</v>
      </c>
      <c r="J249" s="35">
        <v>0.49652777777777773</v>
      </c>
      <c r="K249" s="36">
        <v>41997</v>
      </c>
      <c r="L249" s="35">
        <v>0.45624999999999999</v>
      </c>
      <c r="M249" s="37">
        <f t="shared" si="13"/>
        <v>10022</v>
      </c>
      <c r="N249" s="38">
        <f t="shared" si="8"/>
        <v>167.03333333333333</v>
      </c>
      <c r="O249" s="37">
        <v>10</v>
      </c>
      <c r="P249" s="18" t="s">
        <v>144</v>
      </c>
      <c r="Q249" s="26">
        <v>41995</v>
      </c>
      <c r="R249" s="27">
        <v>0.74722222222222223</v>
      </c>
      <c r="S249" s="18">
        <v>3</v>
      </c>
      <c r="T249" s="18">
        <v>1</v>
      </c>
      <c r="U249" s="18">
        <v>0</v>
      </c>
      <c r="V249" s="22">
        <v>0</v>
      </c>
      <c r="W249" s="20">
        <v>0</v>
      </c>
      <c r="X249" s="24">
        <v>1</v>
      </c>
      <c r="Y249" s="25">
        <v>0</v>
      </c>
      <c r="Z249" s="25">
        <v>0</v>
      </c>
      <c r="AA249" s="25">
        <v>0</v>
      </c>
    </row>
    <row r="250" spans="1:42">
      <c r="A250" s="119">
        <v>247</v>
      </c>
      <c r="B250" s="18">
        <v>10</v>
      </c>
      <c r="C250" s="18" t="s">
        <v>229</v>
      </c>
      <c r="D250" s="25">
        <v>7</v>
      </c>
      <c r="E250" s="25">
        <v>0</v>
      </c>
      <c r="I250" s="34">
        <v>41990</v>
      </c>
      <c r="J250" s="35">
        <v>0.49652777777777773</v>
      </c>
      <c r="K250" s="36">
        <v>41997</v>
      </c>
      <c r="L250" s="35">
        <v>0.45624999999999999</v>
      </c>
      <c r="M250" s="37">
        <f t="shared" si="13"/>
        <v>10022</v>
      </c>
      <c r="N250" s="38">
        <f t="shared" si="8"/>
        <v>167.03333333333333</v>
      </c>
      <c r="O250" s="37">
        <v>10</v>
      </c>
      <c r="P250" s="18" t="s">
        <v>114</v>
      </c>
      <c r="Q250" s="26">
        <v>41996</v>
      </c>
      <c r="R250" s="27">
        <v>0.26319444444444445</v>
      </c>
      <c r="S250" s="18">
        <v>3</v>
      </c>
      <c r="T250" s="18">
        <v>2</v>
      </c>
      <c r="U250" s="18">
        <v>2</v>
      </c>
      <c r="V250" s="22">
        <v>0</v>
      </c>
      <c r="W250" s="20">
        <v>0</v>
      </c>
      <c r="X250" s="24">
        <v>0</v>
      </c>
      <c r="Y250" s="25">
        <v>0</v>
      </c>
      <c r="Z250" s="25">
        <v>0</v>
      </c>
      <c r="AA250" s="25">
        <v>2</v>
      </c>
    </row>
    <row r="251" spans="1:42">
      <c r="A251" s="119">
        <v>248</v>
      </c>
      <c r="B251" s="18">
        <v>10</v>
      </c>
      <c r="C251" s="18" t="s">
        <v>229</v>
      </c>
      <c r="D251" s="25">
        <v>7</v>
      </c>
      <c r="E251" s="25">
        <v>0</v>
      </c>
      <c r="I251" s="34">
        <v>41990</v>
      </c>
      <c r="J251" s="35">
        <v>0.49652777777777773</v>
      </c>
      <c r="K251" s="36">
        <v>41997</v>
      </c>
      <c r="L251" s="35">
        <v>0.45624999999999999</v>
      </c>
      <c r="M251" s="37">
        <f t="shared" si="13"/>
        <v>10022</v>
      </c>
      <c r="N251" s="38">
        <f t="shared" si="8"/>
        <v>167.03333333333333</v>
      </c>
      <c r="O251" s="37">
        <v>10</v>
      </c>
      <c r="P251" s="18" t="s">
        <v>299</v>
      </c>
      <c r="Q251" s="26">
        <v>41996</v>
      </c>
      <c r="R251" s="27">
        <v>0.26944444444444443</v>
      </c>
      <c r="S251" s="18">
        <v>1</v>
      </c>
      <c r="T251" s="18">
        <v>3</v>
      </c>
      <c r="U251" s="18">
        <v>2</v>
      </c>
      <c r="V251" s="22">
        <v>2</v>
      </c>
      <c r="W251" s="20">
        <v>0</v>
      </c>
      <c r="X251" s="24">
        <v>0</v>
      </c>
      <c r="Y251" s="25">
        <v>0</v>
      </c>
      <c r="Z251" s="25">
        <v>0</v>
      </c>
      <c r="AA251" s="25">
        <v>1</v>
      </c>
    </row>
    <row r="252" spans="1:42">
      <c r="A252" s="119">
        <v>249</v>
      </c>
      <c r="B252" s="18">
        <v>11</v>
      </c>
      <c r="C252" s="18" t="s">
        <v>230</v>
      </c>
      <c r="D252" s="25">
        <v>7</v>
      </c>
      <c r="E252" s="25">
        <v>0</v>
      </c>
      <c r="I252" s="34">
        <v>41991</v>
      </c>
      <c r="J252" s="35">
        <v>0.37013888888888885</v>
      </c>
      <c r="K252" s="36">
        <v>41998</v>
      </c>
      <c r="L252" s="35">
        <v>0.41944444444444445</v>
      </c>
      <c r="M252" s="37">
        <f>10080+71</f>
        <v>10151</v>
      </c>
      <c r="N252" s="38">
        <f t="shared" si="8"/>
        <v>169.18333333333334</v>
      </c>
      <c r="O252" s="37">
        <v>1</v>
      </c>
      <c r="P252" s="18" t="s">
        <v>100</v>
      </c>
      <c r="Q252" s="26">
        <v>41995</v>
      </c>
      <c r="R252" s="27">
        <v>0.34027777777777773</v>
      </c>
      <c r="S252" s="18">
        <v>3</v>
      </c>
      <c r="T252" s="18">
        <v>4</v>
      </c>
      <c r="U252" s="18">
        <v>1</v>
      </c>
      <c r="V252" s="22">
        <v>0</v>
      </c>
      <c r="W252" s="20">
        <v>0</v>
      </c>
      <c r="X252" s="24">
        <v>3</v>
      </c>
      <c r="Y252" s="25">
        <v>0</v>
      </c>
      <c r="Z252" s="25">
        <v>0</v>
      </c>
      <c r="AA252" s="25">
        <v>1</v>
      </c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</row>
    <row r="253" spans="1:42">
      <c r="A253" s="119">
        <v>250</v>
      </c>
      <c r="B253" s="18">
        <v>12</v>
      </c>
      <c r="C253" s="18" t="s">
        <v>231</v>
      </c>
      <c r="D253" s="25">
        <v>7</v>
      </c>
      <c r="E253" s="25">
        <v>0</v>
      </c>
      <c r="I253" s="34">
        <v>41991</v>
      </c>
      <c r="J253" s="35">
        <v>0.38472222222222219</v>
      </c>
      <c r="K253" s="36">
        <v>41998</v>
      </c>
      <c r="L253" s="35">
        <v>0.40486111111111112</v>
      </c>
      <c r="M253" s="37">
        <f>10080+39</f>
        <v>10119</v>
      </c>
      <c r="N253" s="38">
        <f t="shared" si="8"/>
        <v>168.65</v>
      </c>
      <c r="O253" s="37">
        <v>3</v>
      </c>
      <c r="P253" s="18" t="s">
        <v>104</v>
      </c>
      <c r="Q253" s="26">
        <v>41992</v>
      </c>
      <c r="R253" s="27">
        <v>0.50138888888888888</v>
      </c>
      <c r="S253" s="18">
        <v>3</v>
      </c>
      <c r="T253" s="18">
        <v>1</v>
      </c>
      <c r="U253" s="18">
        <v>0</v>
      </c>
      <c r="V253" s="22">
        <v>0</v>
      </c>
      <c r="W253" s="20">
        <v>0</v>
      </c>
      <c r="X253" s="24">
        <v>1</v>
      </c>
      <c r="Y253" s="25">
        <v>0</v>
      </c>
      <c r="Z253" s="25">
        <v>0</v>
      </c>
      <c r="AA253" s="25">
        <v>0</v>
      </c>
      <c r="AB253" s="25">
        <v>5</v>
      </c>
      <c r="AC253" s="25">
        <v>3.07</v>
      </c>
      <c r="AD253" s="25">
        <v>0.68</v>
      </c>
      <c r="AE253" s="38">
        <v>0</v>
      </c>
    </row>
    <row r="254" spans="1:42">
      <c r="A254" s="119">
        <v>251</v>
      </c>
      <c r="B254" s="18">
        <v>12</v>
      </c>
      <c r="C254" s="18" t="s">
        <v>231</v>
      </c>
      <c r="D254" s="25">
        <v>7</v>
      </c>
      <c r="E254" s="25">
        <v>0</v>
      </c>
      <c r="I254" s="34">
        <v>41991</v>
      </c>
      <c r="J254" s="35">
        <v>0.38472222222222219</v>
      </c>
      <c r="K254" s="36">
        <v>41998</v>
      </c>
      <c r="L254" s="35">
        <v>0.40486111111111112</v>
      </c>
      <c r="M254" s="37">
        <f>10080+39</f>
        <v>10119</v>
      </c>
      <c r="N254" s="38">
        <f t="shared" si="8"/>
        <v>168.65</v>
      </c>
      <c r="O254" s="37">
        <v>3</v>
      </c>
      <c r="P254" s="18" t="s">
        <v>84</v>
      </c>
      <c r="Q254" s="26">
        <v>41996</v>
      </c>
      <c r="R254" s="27">
        <v>0.66666666666666663</v>
      </c>
      <c r="S254" s="18">
        <v>3</v>
      </c>
      <c r="T254" s="18">
        <v>1</v>
      </c>
      <c r="U254" s="18">
        <v>1</v>
      </c>
      <c r="V254" s="22">
        <v>0</v>
      </c>
      <c r="W254" s="20">
        <v>1</v>
      </c>
      <c r="X254" s="24">
        <v>0</v>
      </c>
      <c r="Y254" s="25">
        <v>0</v>
      </c>
      <c r="Z254" s="25">
        <v>0</v>
      </c>
      <c r="AA254" s="25">
        <v>0</v>
      </c>
      <c r="AB254" s="25">
        <v>5</v>
      </c>
      <c r="AC254" s="25">
        <v>3.07</v>
      </c>
      <c r="AD254" s="25">
        <v>0.68</v>
      </c>
      <c r="AE254" s="38">
        <f>0.68/5</f>
        <v>0.13600000000000001</v>
      </c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</row>
    <row r="255" spans="1:42" s="140" customFormat="1">
      <c r="A255" s="139">
        <v>252</v>
      </c>
      <c r="B255" s="140">
        <v>12</v>
      </c>
      <c r="C255" s="140" t="s">
        <v>231</v>
      </c>
      <c r="D255" s="141">
        <v>7</v>
      </c>
      <c r="E255" s="141">
        <v>0</v>
      </c>
      <c r="I255" s="142">
        <v>41991</v>
      </c>
      <c r="J255" s="143">
        <v>0.38472222222222219</v>
      </c>
      <c r="K255" s="144">
        <v>41998</v>
      </c>
      <c r="L255" s="143">
        <v>0.40486111111111112</v>
      </c>
      <c r="M255" s="145">
        <f>10080+39</f>
        <v>10119</v>
      </c>
      <c r="N255" s="146">
        <f t="shared" ref="N255:N318" si="14">VALUE(M255/60)</f>
        <v>168.65</v>
      </c>
      <c r="O255" s="145">
        <v>3</v>
      </c>
      <c r="P255" s="140" t="s">
        <v>118</v>
      </c>
      <c r="Q255" s="147">
        <v>41997</v>
      </c>
      <c r="R255" s="148">
        <v>0.38263888888888892</v>
      </c>
      <c r="S255" s="140">
        <v>1</v>
      </c>
      <c r="T255" s="140">
        <v>1</v>
      </c>
      <c r="U255" s="140">
        <v>1</v>
      </c>
      <c r="V255" s="149">
        <v>1</v>
      </c>
      <c r="W255" s="141">
        <v>0</v>
      </c>
      <c r="X255" s="150">
        <v>0</v>
      </c>
      <c r="Y255" s="141">
        <v>0</v>
      </c>
      <c r="Z255" s="141">
        <v>0</v>
      </c>
      <c r="AA255" s="141">
        <v>0</v>
      </c>
      <c r="AB255" s="141">
        <v>0</v>
      </c>
      <c r="AC255" s="141">
        <v>1.98</v>
      </c>
      <c r="AD255" s="141">
        <v>0</v>
      </c>
      <c r="AE255" s="146">
        <v>0</v>
      </c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</row>
    <row r="256" spans="1:42">
      <c r="A256" s="119">
        <v>253</v>
      </c>
      <c r="B256" s="18">
        <v>13</v>
      </c>
      <c r="C256" s="18" t="s">
        <v>232</v>
      </c>
      <c r="D256" s="25">
        <v>7</v>
      </c>
      <c r="E256" s="25">
        <v>0</v>
      </c>
      <c r="I256" s="34">
        <v>41991</v>
      </c>
      <c r="J256" s="35">
        <v>0.41319444444444442</v>
      </c>
      <c r="K256" s="36">
        <v>41998</v>
      </c>
      <c r="L256" s="35">
        <v>0.39097222222222222</v>
      </c>
      <c r="M256" s="37">
        <f>10080-32</f>
        <v>10048</v>
      </c>
      <c r="N256" s="38">
        <f t="shared" si="14"/>
        <v>167.46666666666667</v>
      </c>
      <c r="O256" s="37">
        <v>0</v>
      </c>
      <c r="Q256" s="26"/>
      <c r="R256" s="27"/>
      <c r="Y256" s="25"/>
      <c r="Z256" s="25"/>
      <c r="AA256" s="25"/>
      <c r="AB256" s="25"/>
      <c r="AC256" s="25"/>
      <c r="AD256" s="25"/>
    </row>
    <row r="257" spans="1:42" s="140" customFormat="1">
      <c r="A257" s="139">
        <v>254</v>
      </c>
      <c r="B257" s="140">
        <v>14</v>
      </c>
      <c r="C257" s="140" t="s">
        <v>233</v>
      </c>
      <c r="D257" s="141">
        <v>7</v>
      </c>
      <c r="E257" s="141">
        <v>0</v>
      </c>
      <c r="I257" s="142">
        <v>41991</v>
      </c>
      <c r="J257" s="143">
        <v>0.44513888888888892</v>
      </c>
      <c r="K257" s="144">
        <v>41998</v>
      </c>
      <c r="L257" s="143">
        <v>0.35347222222222219</v>
      </c>
      <c r="M257" s="145">
        <f>10080-132</f>
        <v>9948</v>
      </c>
      <c r="N257" s="146">
        <f t="shared" si="14"/>
        <v>165.8</v>
      </c>
      <c r="O257" s="145">
        <v>1</v>
      </c>
      <c r="P257" s="140" t="s">
        <v>101</v>
      </c>
      <c r="Q257" s="147">
        <v>41998</v>
      </c>
      <c r="R257" s="148">
        <v>0.1423611111111111</v>
      </c>
      <c r="S257" s="140">
        <v>1</v>
      </c>
      <c r="T257" s="140">
        <v>1</v>
      </c>
      <c r="U257" s="140">
        <v>1</v>
      </c>
      <c r="V257" s="149">
        <v>0</v>
      </c>
      <c r="W257" s="141">
        <v>0</v>
      </c>
      <c r="X257" s="150">
        <v>0</v>
      </c>
      <c r="Y257" s="141">
        <v>0</v>
      </c>
      <c r="Z257" s="141">
        <v>0</v>
      </c>
      <c r="AA257" s="141">
        <v>1</v>
      </c>
      <c r="AB257" s="141">
        <v>15</v>
      </c>
      <c r="AC257" s="141">
        <v>3.3</v>
      </c>
      <c r="AD257" s="141">
        <v>0</v>
      </c>
      <c r="AE257" s="146">
        <v>0</v>
      </c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</row>
    <row r="258" spans="1:42" s="140" customFormat="1">
      <c r="A258" s="139">
        <v>255</v>
      </c>
      <c r="B258" s="140">
        <v>15</v>
      </c>
      <c r="C258" s="140" t="s">
        <v>234</v>
      </c>
      <c r="D258" s="141">
        <v>8</v>
      </c>
      <c r="E258" s="141">
        <v>0</v>
      </c>
      <c r="I258" s="142">
        <v>41991</v>
      </c>
      <c r="J258" s="143">
        <v>0.46249999999999997</v>
      </c>
      <c r="K258" s="144">
        <v>41998</v>
      </c>
      <c r="L258" s="143">
        <v>0.33611111111111108</v>
      </c>
      <c r="M258" s="145">
        <f>10080-182</f>
        <v>9898</v>
      </c>
      <c r="N258" s="146">
        <f t="shared" si="14"/>
        <v>164.96666666666667</v>
      </c>
      <c r="O258" s="145">
        <v>3</v>
      </c>
      <c r="P258" s="140" t="s">
        <v>100</v>
      </c>
      <c r="Q258" s="147">
        <v>41992</v>
      </c>
      <c r="R258" s="148">
        <v>0.76180555555555562</v>
      </c>
      <c r="S258" s="140">
        <v>1</v>
      </c>
      <c r="T258" s="140">
        <v>1</v>
      </c>
      <c r="U258" s="140">
        <v>1</v>
      </c>
      <c r="V258" s="149">
        <v>0</v>
      </c>
      <c r="W258" s="141">
        <v>1</v>
      </c>
      <c r="X258" s="150">
        <v>0</v>
      </c>
      <c r="Y258" s="141">
        <v>0</v>
      </c>
      <c r="Z258" s="141">
        <v>0</v>
      </c>
      <c r="AA258" s="141">
        <v>0</v>
      </c>
      <c r="AB258" s="141">
        <v>5</v>
      </c>
      <c r="AC258" s="141">
        <v>3.45</v>
      </c>
      <c r="AD258" s="141">
        <v>2.1</v>
      </c>
      <c r="AE258" s="146">
        <f>2.1/14</f>
        <v>0.15</v>
      </c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</row>
    <row r="259" spans="1:42" s="140" customFormat="1">
      <c r="A259" s="139">
        <v>256</v>
      </c>
      <c r="B259" s="140">
        <v>15</v>
      </c>
      <c r="C259" s="140" t="s">
        <v>234</v>
      </c>
      <c r="D259" s="141">
        <v>8</v>
      </c>
      <c r="E259" s="141">
        <v>0</v>
      </c>
      <c r="I259" s="142">
        <v>41991</v>
      </c>
      <c r="J259" s="143">
        <v>0.46249999999999997</v>
      </c>
      <c r="K259" s="144">
        <v>41998</v>
      </c>
      <c r="L259" s="143">
        <v>0.33611111111111108</v>
      </c>
      <c r="M259" s="145">
        <f>10080-182</f>
        <v>9898</v>
      </c>
      <c r="N259" s="146">
        <f t="shared" si="14"/>
        <v>164.96666666666667</v>
      </c>
      <c r="O259" s="145">
        <v>3</v>
      </c>
      <c r="P259" s="140" t="s">
        <v>101</v>
      </c>
      <c r="Q259" s="147">
        <v>41993</v>
      </c>
      <c r="R259" s="148">
        <v>4.5833333333333337E-2</v>
      </c>
      <c r="S259" s="140">
        <v>1</v>
      </c>
      <c r="T259" s="140">
        <v>1</v>
      </c>
      <c r="U259" s="140">
        <v>1</v>
      </c>
      <c r="V259" s="149">
        <v>1</v>
      </c>
      <c r="W259" s="141">
        <v>0</v>
      </c>
      <c r="X259" s="150">
        <v>0</v>
      </c>
      <c r="Y259" s="141">
        <v>0</v>
      </c>
      <c r="Z259" s="141">
        <v>0</v>
      </c>
      <c r="AA259" s="141">
        <v>0</v>
      </c>
      <c r="AB259" s="141">
        <v>35</v>
      </c>
      <c r="AC259" s="141">
        <v>1.8</v>
      </c>
      <c r="AD259" s="141">
        <v>5.2</v>
      </c>
      <c r="AE259" s="146">
        <f>5.2/11</f>
        <v>0.47272727272727272</v>
      </c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</row>
    <row r="260" spans="1:42" s="140" customFormat="1">
      <c r="A260" s="139">
        <v>257</v>
      </c>
      <c r="B260" s="140">
        <v>15</v>
      </c>
      <c r="C260" s="140" t="s">
        <v>234</v>
      </c>
      <c r="D260" s="141">
        <v>8</v>
      </c>
      <c r="E260" s="141">
        <v>0</v>
      </c>
      <c r="I260" s="142">
        <v>41991</v>
      </c>
      <c r="J260" s="143">
        <v>0.46249999999999997</v>
      </c>
      <c r="K260" s="144">
        <v>41998</v>
      </c>
      <c r="L260" s="143">
        <v>0.33611111111111108</v>
      </c>
      <c r="M260" s="145">
        <f>10080-182</f>
        <v>9898</v>
      </c>
      <c r="N260" s="146">
        <f t="shared" si="14"/>
        <v>164.96666666666667</v>
      </c>
      <c r="O260" s="145">
        <v>3</v>
      </c>
      <c r="P260" s="140" t="s">
        <v>84</v>
      </c>
      <c r="Q260" s="147">
        <v>41996</v>
      </c>
      <c r="R260" s="148">
        <v>0.13402777777777777</v>
      </c>
      <c r="S260" s="140">
        <v>1</v>
      </c>
      <c r="T260" s="140">
        <v>1</v>
      </c>
      <c r="U260" s="140">
        <v>1</v>
      </c>
      <c r="V260" s="149">
        <v>1</v>
      </c>
      <c r="W260" s="141">
        <v>0</v>
      </c>
      <c r="X260" s="150">
        <v>0</v>
      </c>
      <c r="Y260" s="141">
        <v>0</v>
      </c>
      <c r="Z260" s="141">
        <v>0</v>
      </c>
      <c r="AA260" s="141">
        <v>0</v>
      </c>
      <c r="AB260" s="141">
        <v>5</v>
      </c>
      <c r="AC260" s="141">
        <v>2</v>
      </c>
      <c r="AD260" s="141">
        <v>0</v>
      </c>
      <c r="AE260" s="146">
        <v>0</v>
      </c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</row>
    <row r="261" spans="1:42" s="140" customFormat="1">
      <c r="A261" s="139">
        <v>258</v>
      </c>
      <c r="B261" s="140">
        <v>16</v>
      </c>
      <c r="C261" s="140" t="s">
        <v>235</v>
      </c>
      <c r="D261" s="141">
        <v>8</v>
      </c>
      <c r="E261" s="141">
        <v>0</v>
      </c>
      <c r="I261" s="142">
        <v>41993</v>
      </c>
      <c r="J261" s="143">
        <v>0.39583333333333331</v>
      </c>
      <c r="K261" s="144">
        <v>42000</v>
      </c>
      <c r="L261" s="143">
        <v>0.35902777777777778</v>
      </c>
      <c r="M261" s="145">
        <f t="shared" ref="M261:M268" si="15">10080-53</f>
        <v>10027</v>
      </c>
      <c r="N261" s="146">
        <f t="shared" si="14"/>
        <v>167.11666666666667</v>
      </c>
      <c r="O261" s="145">
        <v>8</v>
      </c>
      <c r="P261" s="140" t="s">
        <v>100</v>
      </c>
      <c r="Q261" s="147">
        <v>41994</v>
      </c>
      <c r="R261" s="148">
        <v>0.10555555555555556</v>
      </c>
      <c r="S261" s="140">
        <v>1</v>
      </c>
      <c r="T261" s="140">
        <v>2</v>
      </c>
      <c r="U261" s="140">
        <v>2</v>
      </c>
      <c r="V261" s="149">
        <v>0</v>
      </c>
      <c r="W261" s="141">
        <v>2</v>
      </c>
      <c r="X261" s="150">
        <v>0</v>
      </c>
      <c r="Y261" s="141">
        <v>0</v>
      </c>
      <c r="Z261" s="141">
        <v>0</v>
      </c>
      <c r="AA261" s="141">
        <v>0</v>
      </c>
      <c r="AB261" s="141">
        <v>5</v>
      </c>
      <c r="AC261" s="141">
        <v>2.48</v>
      </c>
      <c r="AD261" s="141">
        <v>2</v>
      </c>
      <c r="AE261" s="146">
        <f>2/3</f>
        <v>0.66666666666666663</v>
      </c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</row>
    <row r="262" spans="1:42">
      <c r="A262" s="119">
        <v>259</v>
      </c>
      <c r="B262" s="18">
        <v>16</v>
      </c>
      <c r="C262" s="18" t="s">
        <v>235</v>
      </c>
      <c r="D262" s="25">
        <v>8</v>
      </c>
      <c r="E262" s="25">
        <v>0</v>
      </c>
      <c r="I262" s="34">
        <v>41993</v>
      </c>
      <c r="J262" s="35">
        <v>0.39583333333333331</v>
      </c>
      <c r="K262" s="36">
        <v>42000</v>
      </c>
      <c r="L262" s="35">
        <v>0.35902777777777778</v>
      </c>
      <c r="M262" s="37">
        <f t="shared" si="15"/>
        <v>10027</v>
      </c>
      <c r="N262" s="38">
        <f t="shared" si="14"/>
        <v>167.11666666666667</v>
      </c>
      <c r="O262" s="37">
        <v>8</v>
      </c>
      <c r="P262" s="18" t="s">
        <v>84</v>
      </c>
      <c r="Q262" s="26">
        <v>41994</v>
      </c>
      <c r="R262" s="27">
        <v>0.26319444444444445</v>
      </c>
      <c r="S262" s="18">
        <v>9</v>
      </c>
      <c r="T262" s="18">
        <v>1</v>
      </c>
      <c r="U262" s="18">
        <v>1</v>
      </c>
      <c r="V262" s="22">
        <v>0</v>
      </c>
      <c r="W262" s="20">
        <v>0</v>
      </c>
      <c r="X262" s="24">
        <v>0</v>
      </c>
      <c r="Y262" s="25">
        <v>0</v>
      </c>
      <c r="Z262" s="25">
        <v>0</v>
      </c>
      <c r="AA262" s="25">
        <v>1</v>
      </c>
      <c r="AB262" s="25"/>
      <c r="AC262" s="25"/>
      <c r="AD262" s="25"/>
    </row>
    <row r="263" spans="1:42">
      <c r="A263" s="119">
        <v>260</v>
      </c>
      <c r="B263" s="18">
        <v>16</v>
      </c>
      <c r="C263" s="18" t="s">
        <v>235</v>
      </c>
      <c r="D263" s="25">
        <v>8</v>
      </c>
      <c r="E263" s="25">
        <v>0</v>
      </c>
      <c r="I263" s="34">
        <v>41993</v>
      </c>
      <c r="J263" s="35">
        <v>0.39583333333333331</v>
      </c>
      <c r="K263" s="36">
        <v>42000</v>
      </c>
      <c r="L263" s="35">
        <v>0.35902777777777778</v>
      </c>
      <c r="M263" s="37">
        <f t="shared" si="15"/>
        <v>10027</v>
      </c>
      <c r="N263" s="38">
        <f t="shared" si="14"/>
        <v>167.11666666666667</v>
      </c>
      <c r="O263" s="37">
        <v>8</v>
      </c>
      <c r="P263" s="18" t="s">
        <v>108</v>
      </c>
      <c r="Q263" s="26">
        <v>41997</v>
      </c>
      <c r="R263" s="27">
        <v>1.1111111111111112E-2</v>
      </c>
      <c r="S263" s="18">
        <v>1</v>
      </c>
      <c r="T263" s="18">
        <v>1</v>
      </c>
      <c r="U263" s="18">
        <v>1</v>
      </c>
      <c r="V263" s="22">
        <v>0</v>
      </c>
      <c r="W263" s="20">
        <v>0</v>
      </c>
      <c r="X263" s="24">
        <v>0</v>
      </c>
      <c r="Y263" s="25">
        <v>0</v>
      </c>
      <c r="Z263" s="25">
        <v>0</v>
      </c>
      <c r="AA263" s="25">
        <v>1</v>
      </c>
      <c r="AB263" s="25"/>
      <c r="AC263" s="25"/>
      <c r="AD263" s="25"/>
    </row>
    <row r="264" spans="1:42">
      <c r="A264" s="119">
        <v>261</v>
      </c>
      <c r="B264" s="18">
        <v>16</v>
      </c>
      <c r="C264" s="18" t="s">
        <v>235</v>
      </c>
      <c r="D264" s="25">
        <v>8</v>
      </c>
      <c r="E264" s="25">
        <v>0</v>
      </c>
      <c r="I264" s="34">
        <v>41993</v>
      </c>
      <c r="J264" s="35">
        <v>0.39583333333333331</v>
      </c>
      <c r="K264" s="36">
        <v>42000</v>
      </c>
      <c r="L264" s="35">
        <v>0.35902777777777778</v>
      </c>
      <c r="M264" s="37">
        <f t="shared" si="15"/>
        <v>10027</v>
      </c>
      <c r="N264" s="38">
        <f t="shared" si="14"/>
        <v>167.11666666666667</v>
      </c>
      <c r="O264" s="37">
        <v>8</v>
      </c>
      <c r="P264" s="18" t="s">
        <v>156</v>
      </c>
      <c r="Q264" s="26">
        <v>41997</v>
      </c>
      <c r="R264" s="27">
        <v>0.13541666666666666</v>
      </c>
      <c r="S264" s="18">
        <v>1</v>
      </c>
      <c r="T264" s="18">
        <v>3</v>
      </c>
      <c r="U264" s="18">
        <v>1</v>
      </c>
      <c r="V264" s="22">
        <v>1</v>
      </c>
      <c r="W264" s="20">
        <v>0</v>
      </c>
      <c r="X264" s="24">
        <v>2</v>
      </c>
      <c r="Y264" s="25">
        <v>0</v>
      </c>
      <c r="Z264" s="25">
        <v>0</v>
      </c>
      <c r="AA264" s="25">
        <v>0</v>
      </c>
      <c r="AB264" s="25"/>
      <c r="AC264" s="25"/>
      <c r="AD264" s="25"/>
    </row>
    <row r="265" spans="1:42">
      <c r="A265" s="119">
        <v>262</v>
      </c>
      <c r="B265" s="18">
        <v>16</v>
      </c>
      <c r="C265" s="18" t="s">
        <v>235</v>
      </c>
      <c r="D265" s="25">
        <v>8</v>
      </c>
      <c r="E265" s="25">
        <v>0</v>
      </c>
      <c r="I265" s="34">
        <v>41993</v>
      </c>
      <c r="J265" s="35">
        <v>0.39583333333333331</v>
      </c>
      <c r="K265" s="36">
        <v>42000</v>
      </c>
      <c r="L265" s="35">
        <v>0.35902777777777778</v>
      </c>
      <c r="M265" s="37">
        <f t="shared" si="15"/>
        <v>10027</v>
      </c>
      <c r="N265" s="38">
        <f t="shared" si="14"/>
        <v>167.11666666666667</v>
      </c>
      <c r="O265" s="37">
        <v>8</v>
      </c>
      <c r="P265" s="18" t="s">
        <v>148</v>
      </c>
      <c r="Q265" s="26">
        <v>41997</v>
      </c>
      <c r="R265" s="27">
        <v>0.28333333333333333</v>
      </c>
      <c r="S265" s="18">
        <v>1</v>
      </c>
      <c r="T265" s="18">
        <v>1</v>
      </c>
      <c r="U265" s="18">
        <v>1</v>
      </c>
      <c r="V265" s="22">
        <v>0</v>
      </c>
      <c r="W265" s="20">
        <v>1</v>
      </c>
      <c r="X265" s="24">
        <v>0</v>
      </c>
      <c r="Y265" s="25">
        <v>0</v>
      </c>
      <c r="Z265" s="25">
        <v>0</v>
      </c>
      <c r="AA265" s="25">
        <v>0</v>
      </c>
      <c r="AB265" s="25"/>
      <c r="AC265" s="25"/>
      <c r="AD265" s="25"/>
    </row>
    <row r="266" spans="1:42">
      <c r="A266" s="119">
        <v>263</v>
      </c>
      <c r="B266" s="18">
        <v>16</v>
      </c>
      <c r="C266" s="18" t="s">
        <v>235</v>
      </c>
      <c r="D266" s="25">
        <v>8</v>
      </c>
      <c r="E266" s="25">
        <v>0</v>
      </c>
      <c r="I266" s="34">
        <v>41993</v>
      </c>
      <c r="J266" s="35">
        <v>0.39583333333333331</v>
      </c>
      <c r="K266" s="36">
        <v>42000</v>
      </c>
      <c r="L266" s="35">
        <v>0.35902777777777778</v>
      </c>
      <c r="M266" s="37">
        <f t="shared" si="15"/>
        <v>10027</v>
      </c>
      <c r="N266" s="38">
        <f t="shared" si="14"/>
        <v>167.11666666666667</v>
      </c>
      <c r="O266" s="37">
        <v>8</v>
      </c>
      <c r="P266" s="18" t="s">
        <v>303</v>
      </c>
      <c r="Q266" s="26">
        <v>41998</v>
      </c>
      <c r="R266" s="27">
        <v>0.78541666666666676</v>
      </c>
      <c r="S266" s="18">
        <v>1</v>
      </c>
      <c r="T266" s="18">
        <v>1</v>
      </c>
      <c r="U266" s="18">
        <v>1</v>
      </c>
      <c r="V266" s="22">
        <v>0</v>
      </c>
      <c r="W266" s="20">
        <v>1</v>
      </c>
      <c r="X266" s="24">
        <v>0</v>
      </c>
      <c r="Y266" s="25">
        <v>0</v>
      </c>
      <c r="Z266" s="25">
        <v>0</v>
      </c>
      <c r="AA266" s="25">
        <v>0</v>
      </c>
      <c r="AB266" s="25"/>
      <c r="AC266" s="25"/>
      <c r="AD266" s="25"/>
    </row>
    <row r="267" spans="1:42">
      <c r="A267" s="119">
        <v>264</v>
      </c>
      <c r="B267" s="18">
        <v>16</v>
      </c>
      <c r="C267" s="18" t="s">
        <v>235</v>
      </c>
      <c r="D267" s="25">
        <v>8</v>
      </c>
      <c r="E267" s="25">
        <v>0</v>
      </c>
      <c r="I267" s="34">
        <v>41993</v>
      </c>
      <c r="J267" s="35">
        <v>0.39583333333333331</v>
      </c>
      <c r="K267" s="36">
        <v>42000</v>
      </c>
      <c r="L267" s="35">
        <v>0.35902777777777778</v>
      </c>
      <c r="M267" s="37">
        <f t="shared" si="15"/>
        <v>10027</v>
      </c>
      <c r="N267" s="38">
        <f t="shared" si="14"/>
        <v>167.11666666666667</v>
      </c>
      <c r="O267" s="37">
        <v>8</v>
      </c>
      <c r="P267" s="18" t="s">
        <v>109</v>
      </c>
      <c r="Q267" s="26">
        <v>42000</v>
      </c>
      <c r="R267" s="27">
        <v>0.14375000000000002</v>
      </c>
      <c r="S267" s="18">
        <v>9</v>
      </c>
      <c r="T267" s="18">
        <v>1</v>
      </c>
      <c r="U267" s="18">
        <v>1</v>
      </c>
      <c r="V267" s="22">
        <v>0</v>
      </c>
      <c r="W267" s="20">
        <v>0</v>
      </c>
      <c r="X267" s="24">
        <v>0</v>
      </c>
      <c r="Y267" s="25">
        <v>0</v>
      </c>
      <c r="Z267" s="25">
        <v>0</v>
      </c>
      <c r="AA267" s="25">
        <v>1</v>
      </c>
      <c r="AB267" s="25"/>
      <c r="AC267" s="25"/>
      <c r="AD267" s="25"/>
    </row>
    <row r="268" spans="1:42">
      <c r="A268" s="119">
        <v>265</v>
      </c>
      <c r="B268" s="18">
        <v>16</v>
      </c>
      <c r="C268" s="18" t="s">
        <v>235</v>
      </c>
      <c r="D268" s="25">
        <v>8</v>
      </c>
      <c r="E268" s="25">
        <v>0</v>
      </c>
      <c r="I268" s="34">
        <v>41993</v>
      </c>
      <c r="J268" s="35">
        <v>0.39583333333333331</v>
      </c>
      <c r="K268" s="36">
        <v>42000</v>
      </c>
      <c r="L268" s="35">
        <v>0.35902777777777778</v>
      </c>
      <c r="M268" s="37">
        <f t="shared" si="15"/>
        <v>10027</v>
      </c>
      <c r="N268" s="38">
        <f t="shared" si="14"/>
        <v>167.11666666666667</v>
      </c>
      <c r="O268" s="37">
        <v>8</v>
      </c>
      <c r="P268" s="18" t="s">
        <v>110</v>
      </c>
      <c r="Q268" s="26">
        <v>42000</v>
      </c>
      <c r="R268" s="27">
        <v>0.23124999999999998</v>
      </c>
      <c r="S268" s="18">
        <v>3</v>
      </c>
      <c r="T268" s="18">
        <v>1</v>
      </c>
      <c r="U268" s="18">
        <v>1</v>
      </c>
      <c r="V268" s="22">
        <v>0</v>
      </c>
      <c r="W268" s="20">
        <v>0</v>
      </c>
      <c r="X268" s="24">
        <v>0</v>
      </c>
      <c r="Y268" s="25">
        <v>0</v>
      </c>
      <c r="Z268" s="25">
        <v>0</v>
      </c>
      <c r="AA268" s="25">
        <v>1</v>
      </c>
      <c r="AB268" s="25"/>
      <c r="AC268" s="25"/>
      <c r="AD268" s="25"/>
      <c r="AG268" s="140"/>
      <c r="AH268" s="140"/>
      <c r="AI268" s="140"/>
      <c r="AJ268" s="140"/>
      <c r="AK268" s="140"/>
      <c r="AL268" s="140"/>
      <c r="AM268" s="140"/>
      <c r="AN268" s="140"/>
      <c r="AO268" s="140"/>
      <c r="AP268" s="140"/>
    </row>
    <row r="269" spans="1:42">
      <c r="A269" s="119">
        <v>266</v>
      </c>
      <c r="B269" s="18">
        <v>17</v>
      </c>
      <c r="C269" s="18" t="s">
        <v>237</v>
      </c>
      <c r="D269" s="25">
        <v>8</v>
      </c>
      <c r="E269" s="25">
        <v>0</v>
      </c>
      <c r="I269" s="34">
        <v>41993</v>
      </c>
      <c r="J269" s="35">
        <v>0.41319444444444442</v>
      </c>
      <c r="K269" s="36">
        <v>42000</v>
      </c>
      <c r="L269" s="35">
        <v>0.38472222222222219</v>
      </c>
      <c r="M269" s="37">
        <f t="shared" ref="M269:M274" si="16">10080-41</f>
        <v>10039</v>
      </c>
      <c r="N269" s="38">
        <f t="shared" si="14"/>
        <v>167.31666666666666</v>
      </c>
      <c r="O269" s="37">
        <v>6</v>
      </c>
      <c r="P269" s="18" t="s">
        <v>100</v>
      </c>
      <c r="Q269" s="26">
        <v>41993</v>
      </c>
      <c r="R269" s="27">
        <v>0.55486111111111114</v>
      </c>
      <c r="S269" s="18">
        <v>5</v>
      </c>
      <c r="T269" s="18">
        <v>1</v>
      </c>
      <c r="U269" s="18">
        <v>1</v>
      </c>
      <c r="V269" s="22">
        <v>0</v>
      </c>
      <c r="W269" s="20">
        <v>0</v>
      </c>
      <c r="X269" s="24">
        <v>0</v>
      </c>
      <c r="Y269" s="25">
        <v>0</v>
      </c>
      <c r="Z269" s="25">
        <v>0</v>
      </c>
      <c r="AA269" s="25">
        <v>1</v>
      </c>
      <c r="AB269" s="25"/>
      <c r="AC269" s="25"/>
      <c r="AD269" s="25"/>
    </row>
    <row r="270" spans="1:42" s="140" customFormat="1">
      <c r="A270" s="139">
        <v>267</v>
      </c>
      <c r="B270" s="140">
        <v>17</v>
      </c>
      <c r="C270" s="140" t="s">
        <v>237</v>
      </c>
      <c r="D270" s="141">
        <v>8</v>
      </c>
      <c r="E270" s="141">
        <v>0</v>
      </c>
      <c r="I270" s="142">
        <v>41993</v>
      </c>
      <c r="J270" s="143">
        <v>0.41319444444444442</v>
      </c>
      <c r="K270" s="144">
        <v>42000</v>
      </c>
      <c r="L270" s="143">
        <v>0.38472222222222219</v>
      </c>
      <c r="M270" s="145">
        <f t="shared" si="16"/>
        <v>10039</v>
      </c>
      <c r="N270" s="146">
        <f t="shared" si="14"/>
        <v>167.31666666666666</v>
      </c>
      <c r="O270" s="145">
        <v>6</v>
      </c>
      <c r="P270" s="140" t="s">
        <v>100</v>
      </c>
      <c r="Q270" s="147">
        <v>41994</v>
      </c>
      <c r="R270" s="148">
        <v>0.4375</v>
      </c>
      <c r="S270" s="140">
        <v>1</v>
      </c>
      <c r="T270" s="140">
        <v>1</v>
      </c>
      <c r="U270" s="140">
        <v>1</v>
      </c>
      <c r="V270" s="149">
        <v>0</v>
      </c>
      <c r="W270" s="141">
        <v>0</v>
      </c>
      <c r="X270" s="150">
        <v>0</v>
      </c>
      <c r="Y270" s="141">
        <v>0</v>
      </c>
      <c r="Z270" s="141">
        <v>0</v>
      </c>
      <c r="AA270" s="141">
        <v>1</v>
      </c>
      <c r="AB270" s="141">
        <v>10</v>
      </c>
      <c r="AC270" s="141">
        <v>7</v>
      </c>
      <c r="AD270" s="141">
        <v>2</v>
      </c>
      <c r="AE270" s="146">
        <f>2/3</f>
        <v>0.66666666666666663</v>
      </c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</row>
    <row r="271" spans="1:42" s="140" customFormat="1">
      <c r="A271" s="139">
        <v>268</v>
      </c>
      <c r="B271" s="140">
        <v>17</v>
      </c>
      <c r="C271" s="140" t="s">
        <v>237</v>
      </c>
      <c r="D271" s="141">
        <v>8</v>
      </c>
      <c r="E271" s="141">
        <v>0</v>
      </c>
      <c r="I271" s="142">
        <v>41993</v>
      </c>
      <c r="J271" s="143">
        <v>0.41319444444444442</v>
      </c>
      <c r="K271" s="144">
        <v>42000</v>
      </c>
      <c r="L271" s="143">
        <v>0.38472222222222219</v>
      </c>
      <c r="M271" s="145">
        <f t="shared" si="16"/>
        <v>10039</v>
      </c>
      <c r="N271" s="146">
        <f t="shared" si="14"/>
        <v>167.31666666666666</v>
      </c>
      <c r="O271" s="145">
        <v>6</v>
      </c>
      <c r="P271" s="140" t="s">
        <v>100</v>
      </c>
      <c r="Q271" s="147">
        <v>41995</v>
      </c>
      <c r="R271" s="148">
        <v>3.125E-2</v>
      </c>
      <c r="S271" s="140">
        <v>1</v>
      </c>
      <c r="T271" s="140">
        <v>1</v>
      </c>
      <c r="U271" s="140">
        <v>1</v>
      </c>
      <c r="V271" s="149">
        <v>0</v>
      </c>
      <c r="W271" s="141">
        <v>1</v>
      </c>
      <c r="X271" s="150">
        <v>0</v>
      </c>
      <c r="Y271" s="141">
        <v>0</v>
      </c>
      <c r="Z271" s="141">
        <v>0</v>
      </c>
      <c r="AA271" s="141">
        <v>0</v>
      </c>
      <c r="AB271" s="141">
        <v>20</v>
      </c>
      <c r="AC271" s="141">
        <v>1.25</v>
      </c>
      <c r="AD271" s="141">
        <v>0.3</v>
      </c>
      <c r="AE271" s="146">
        <v>0.15</v>
      </c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</row>
    <row r="272" spans="1:42" s="140" customFormat="1">
      <c r="A272" s="139">
        <v>269</v>
      </c>
      <c r="B272" s="140">
        <v>17</v>
      </c>
      <c r="C272" s="140" t="s">
        <v>237</v>
      </c>
      <c r="D272" s="141">
        <v>8</v>
      </c>
      <c r="E272" s="141">
        <v>0</v>
      </c>
      <c r="I272" s="142">
        <v>41993</v>
      </c>
      <c r="J272" s="143">
        <v>0.41319444444444442</v>
      </c>
      <c r="K272" s="144">
        <v>42000</v>
      </c>
      <c r="L272" s="143">
        <v>0.38472222222222219</v>
      </c>
      <c r="M272" s="145">
        <f t="shared" si="16"/>
        <v>10039</v>
      </c>
      <c r="N272" s="146">
        <f t="shared" si="14"/>
        <v>167.31666666666666</v>
      </c>
      <c r="O272" s="145">
        <v>6</v>
      </c>
      <c r="P272" s="140" t="s">
        <v>100</v>
      </c>
      <c r="Q272" s="147">
        <v>41996</v>
      </c>
      <c r="R272" s="148">
        <v>0.33333333333333331</v>
      </c>
      <c r="S272" s="140">
        <v>3</v>
      </c>
      <c r="T272" s="140">
        <v>2</v>
      </c>
      <c r="U272" s="140">
        <v>1</v>
      </c>
      <c r="V272" s="149">
        <v>0</v>
      </c>
      <c r="W272" s="141">
        <v>0</v>
      </c>
      <c r="X272" s="150">
        <v>1</v>
      </c>
      <c r="Y272" s="141">
        <v>0</v>
      </c>
      <c r="Z272" s="141">
        <v>0</v>
      </c>
      <c r="AA272" s="141">
        <v>1</v>
      </c>
      <c r="AB272" s="141">
        <v>15</v>
      </c>
      <c r="AC272" s="141">
        <v>2.35</v>
      </c>
      <c r="AD272" s="141">
        <v>0.7</v>
      </c>
      <c r="AE272" s="146">
        <f>0.7/3</f>
        <v>0.23333333333333331</v>
      </c>
    </row>
    <row r="273" spans="1:42" s="140" customFormat="1">
      <c r="A273" s="139">
        <v>270</v>
      </c>
      <c r="B273" s="140">
        <v>17</v>
      </c>
      <c r="C273" s="140" t="s">
        <v>237</v>
      </c>
      <c r="D273" s="141">
        <v>8</v>
      </c>
      <c r="E273" s="141">
        <v>0</v>
      </c>
      <c r="I273" s="142">
        <v>41993</v>
      </c>
      <c r="J273" s="143">
        <v>0.41319444444444442</v>
      </c>
      <c r="K273" s="144">
        <v>42000</v>
      </c>
      <c r="L273" s="143">
        <v>0.38472222222222219</v>
      </c>
      <c r="M273" s="145">
        <f t="shared" si="16"/>
        <v>10039</v>
      </c>
      <c r="N273" s="146">
        <f t="shared" si="14"/>
        <v>167.31666666666666</v>
      </c>
      <c r="O273" s="145">
        <v>6</v>
      </c>
      <c r="P273" s="140" t="s">
        <v>100</v>
      </c>
      <c r="Q273" s="147">
        <v>41997</v>
      </c>
      <c r="R273" s="148">
        <v>0.21319444444444444</v>
      </c>
      <c r="S273" s="140">
        <v>1</v>
      </c>
      <c r="T273" s="140">
        <v>1</v>
      </c>
      <c r="U273" s="140">
        <v>1</v>
      </c>
      <c r="V273" s="149">
        <v>0</v>
      </c>
      <c r="W273" s="141">
        <v>0</v>
      </c>
      <c r="X273" s="150">
        <v>0</v>
      </c>
      <c r="Y273" s="141">
        <v>0</v>
      </c>
      <c r="Z273" s="141">
        <v>0</v>
      </c>
      <c r="AA273" s="141">
        <v>1</v>
      </c>
      <c r="AB273" s="141">
        <v>0</v>
      </c>
      <c r="AC273" s="141">
        <v>1.25</v>
      </c>
      <c r="AD273" s="141">
        <v>0.7</v>
      </c>
      <c r="AE273" s="146">
        <v>0.7</v>
      </c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</row>
    <row r="274" spans="1:42">
      <c r="A274" s="119">
        <v>271</v>
      </c>
      <c r="B274" s="18">
        <v>17</v>
      </c>
      <c r="C274" s="18" t="s">
        <v>237</v>
      </c>
      <c r="D274" s="25">
        <v>8</v>
      </c>
      <c r="E274" s="25">
        <v>0</v>
      </c>
      <c r="I274" s="34">
        <v>41993</v>
      </c>
      <c r="J274" s="35">
        <v>0.41319444444444442</v>
      </c>
      <c r="K274" s="36">
        <v>42000</v>
      </c>
      <c r="L274" s="35">
        <v>0.38472222222222219</v>
      </c>
      <c r="M274" s="37">
        <f t="shared" si="16"/>
        <v>10039</v>
      </c>
      <c r="N274" s="38">
        <f t="shared" si="14"/>
        <v>167.31666666666666</v>
      </c>
      <c r="O274" s="37">
        <v>6</v>
      </c>
      <c r="P274" s="18" t="s">
        <v>100</v>
      </c>
      <c r="Q274" s="26">
        <v>41998</v>
      </c>
      <c r="R274" s="27">
        <v>0.67013888888888884</v>
      </c>
      <c r="S274" s="18">
        <v>3</v>
      </c>
      <c r="T274" s="18">
        <v>1</v>
      </c>
      <c r="U274" s="18">
        <v>1</v>
      </c>
      <c r="V274" s="22">
        <v>0</v>
      </c>
      <c r="W274" s="20">
        <v>0</v>
      </c>
      <c r="X274" s="24">
        <v>0</v>
      </c>
      <c r="Y274" s="25">
        <v>0</v>
      </c>
      <c r="Z274" s="25">
        <v>0</v>
      </c>
      <c r="AA274" s="25">
        <v>1</v>
      </c>
      <c r="AB274" s="25"/>
      <c r="AC274" s="25"/>
      <c r="AD274" s="25"/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</row>
    <row r="275" spans="1:42" s="140" customFormat="1">
      <c r="A275" s="139">
        <v>272</v>
      </c>
      <c r="B275" s="140">
        <v>18</v>
      </c>
      <c r="C275" s="140" t="s">
        <v>238</v>
      </c>
      <c r="D275" s="141">
        <v>8</v>
      </c>
      <c r="E275" s="141">
        <v>0</v>
      </c>
      <c r="I275" s="142">
        <v>41993</v>
      </c>
      <c r="J275" s="143">
        <v>0.43055555555555558</v>
      </c>
      <c r="K275" s="144">
        <v>42000</v>
      </c>
      <c r="L275" s="143">
        <v>0.42291666666666666</v>
      </c>
      <c r="M275" s="145">
        <f>10080-11</f>
        <v>10069</v>
      </c>
      <c r="N275" s="146">
        <f t="shared" si="14"/>
        <v>167.81666666666666</v>
      </c>
      <c r="O275" s="145">
        <v>4</v>
      </c>
      <c r="P275" s="140" t="s">
        <v>100</v>
      </c>
      <c r="Q275" s="147">
        <v>41994</v>
      </c>
      <c r="R275" s="148">
        <v>0.27569444444444446</v>
      </c>
      <c r="S275" s="140">
        <v>1</v>
      </c>
      <c r="T275" s="140">
        <v>1</v>
      </c>
      <c r="U275" s="140">
        <v>1</v>
      </c>
      <c r="V275" s="149">
        <v>1</v>
      </c>
      <c r="W275" s="141">
        <v>0</v>
      </c>
      <c r="X275" s="150">
        <v>0</v>
      </c>
      <c r="Y275" s="141">
        <v>0</v>
      </c>
      <c r="Z275" s="141">
        <v>0</v>
      </c>
      <c r="AA275" s="141">
        <v>0</v>
      </c>
      <c r="AB275" s="141">
        <v>40</v>
      </c>
      <c r="AC275" s="141">
        <v>3</v>
      </c>
      <c r="AD275" s="141">
        <v>5.5</v>
      </c>
      <c r="AE275" s="146">
        <f>5.5/19</f>
        <v>0.28947368421052633</v>
      </c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</row>
    <row r="276" spans="1:42">
      <c r="A276" s="119">
        <v>273</v>
      </c>
      <c r="B276" s="18">
        <v>18</v>
      </c>
      <c r="C276" s="18" t="s">
        <v>238</v>
      </c>
      <c r="D276" s="25">
        <v>8</v>
      </c>
      <c r="E276" s="25">
        <v>0</v>
      </c>
      <c r="I276" s="34">
        <v>41993</v>
      </c>
      <c r="J276" s="35">
        <v>0.43055555555555558</v>
      </c>
      <c r="K276" s="36">
        <v>42000</v>
      </c>
      <c r="L276" s="35">
        <v>0.42291666666666666</v>
      </c>
      <c r="M276" s="37">
        <f>10080-11</f>
        <v>10069</v>
      </c>
      <c r="N276" s="38">
        <f t="shared" si="14"/>
        <v>167.81666666666666</v>
      </c>
      <c r="O276" s="37">
        <v>4</v>
      </c>
      <c r="P276" s="18" t="s">
        <v>104</v>
      </c>
      <c r="Q276" s="26">
        <v>41997</v>
      </c>
      <c r="R276" s="27">
        <v>0.28888888888888892</v>
      </c>
      <c r="S276" s="18">
        <v>5</v>
      </c>
      <c r="T276" s="18">
        <v>1</v>
      </c>
      <c r="U276" s="18">
        <v>1</v>
      </c>
      <c r="V276" s="22">
        <v>0</v>
      </c>
      <c r="W276" s="20">
        <v>0</v>
      </c>
      <c r="X276" s="24">
        <v>0</v>
      </c>
      <c r="Y276" s="25">
        <v>0</v>
      </c>
      <c r="Z276" s="25">
        <v>0</v>
      </c>
      <c r="AA276" s="25">
        <v>1</v>
      </c>
      <c r="AB276" s="25"/>
      <c r="AC276" s="25"/>
      <c r="AD276" s="25"/>
    </row>
    <row r="277" spans="1:42">
      <c r="A277" s="119">
        <v>274</v>
      </c>
      <c r="B277" s="18">
        <v>18</v>
      </c>
      <c r="C277" s="18" t="s">
        <v>238</v>
      </c>
      <c r="D277" s="25">
        <v>8</v>
      </c>
      <c r="E277" s="25">
        <v>0</v>
      </c>
      <c r="I277" s="34">
        <v>41993</v>
      </c>
      <c r="J277" s="35">
        <v>0.43055555555555558</v>
      </c>
      <c r="K277" s="36">
        <v>42000</v>
      </c>
      <c r="L277" s="35">
        <v>0.42291666666666666</v>
      </c>
      <c r="M277" s="37">
        <f>10080-11</f>
        <v>10069</v>
      </c>
      <c r="N277" s="38">
        <f t="shared" si="14"/>
        <v>167.81666666666666</v>
      </c>
      <c r="O277" s="37">
        <v>4</v>
      </c>
      <c r="P277" s="18" t="s">
        <v>84</v>
      </c>
      <c r="Q277" s="26">
        <v>41998</v>
      </c>
      <c r="R277" s="27">
        <v>9.6527777777777768E-2</v>
      </c>
      <c r="S277" s="18">
        <v>1</v>
      </c>
      <c r="T277" s="18">
        <v>1</v>
      </c>
      <c r="U277" s="18">
        <v>1</v>
      </c>
      <c r="V277" s="22">
        <v>0</v>
      </c>
      <c r="W277" s="20">
        <v>1</v>
      </c>
      <c r="X277" s="24">
        <v>0</v>
      </c>
      <c r="Y277" s="25">
        <v>0</v>
      </c>
      <c r="Z277" s="25">
        <v>0</v>
      </c>
      <c r="AA277" s="25">
        <v>0</v>
      </c>
      <c r="AB277" s="25"/>
      <c r="AC277" s="25"/>
      <c r="AD277" s="25"/>
    </row>
    <row r="278" spans="1:42">
      <c r="A278" s="119">
        <v>275</v>
      </c>
      <c r="B278" s="18">
        <v>18</v>
      </c>
      <c r="C278" s="18" t="s">
        <v>238</v>
      </c>
      <c r="D278" s="25">
        <v>8</v>
      </c>
      <c r="E278" s="25">
        <v>0</v>
      </c>
      <c r="I278" s="34">
        <v>41993</v>
      </c>
      <c r="J278" s="35">
        <v>0.43055555555555558</v>
      </c>
      <c r="K278" s="36">
        <v>42000</v>
      </c>
      <c r="L278" s="35">
        <v>0.42291666666666666</v>
      </c>
      <c r="M278" s="37">
        <f>10080-11</f>
        <v>10069</v>
      </c>
      <c r="N278" s="38">
        <f t="shared" si="14"/>
        <v>167.81666666666666</v>
      </c>
      <c r="O278" s="37">
        <v>4</v>
      </c>
      <c r="P278" s="18" t="s">
        <v>107</v>
      </c>
      <c r="Q278" s="26">
        <v>41999</v>
      </c>
      <c r="R278" s="27">
        <v>0.1673611111111111</v>
      </c>
      <c r="S278" s="18">
        <v>1</v>
      </c>
      <c r="T278" s="18">
        <v>1</v>
      </c>
      <c r="U278" s="18">
        <v>1</v>
      </c>
      <c r="V278" s="22">
        <v>1</v>
      </c>
      <c r="W278" s="20">
        <v>0</v>
      </c>
      <c r="X278" s="24">
        <v>0</v>
      </c>
      <c r="Y278" s="25">
        <v>0</v>
      </c>
      <c r="Z278" s="25">
        <v>0</v>
      </c>
      <c r="AA278" s="25">
        <v>0</v>
      </c>
      <c r="AB278" s="25"/>
      <c r="AC278" s="25"/>
      <c r="AD278" s="25"/>
    </row>
    <row r="279" spans="1:42" s="140" customFormat="1">
      <c r="A279" s="139">
        <v>276</v>
      </c>
      <c r="B279" s="140">
        <v>19</v>
      </c>
      <c r="C279" s="140" t="s">
        <v>239</v>
      </c>
      <c r="D279" s="141">
        <v>8</v>
      </c>
      <c r="E279" s="141">
        <v>0</v>
      </c>
      <c r="I279" s="142">
        <v>41993</v>
      </c>
      <c r="J279" s="143">
        <v>0.44444444444444442</v>
      </c>
      <c r="K279" s="144">
        <v>42000</v>
      </c>
      <c r="L279" s="143">
        <v>0.45624999999999999</v>
      </c>
      <c r="M279" s="145">
        <f t="shared" ref="M279:M290" si="17">10080+17</f>
        <v>10097</v>
      </c>
      <c r="N279" s="146">
        <f t="shared" si="14"/>
        <v>168.28333333333333</v>
      </c>
      <c r="O279" s="145">
        <v>12</v>
      </c>
      <c r="P279" s="140" t="s">
        <v>101</v>
      </c>
      <c r="Q279" s="147">
        <v>41994</v>
      </c>
      <c r="R279" s="148">
        <v>6.3888888888888884E-2</v>
      </c>
      <c r="S279" s="140">
        <v>1</v>
      </c>
      <c r="T279" s="140">
        <v>1</v>
      </c>
      <c r="U279" s="140">
        <v>1</v>
      </c>
      <c r="V279" s="149">
        <v>0</v>
      </c>
      <c r="W279" s="141">
        <v>0</v>
      </c>
      <c r="X279" s="150">
        <v>1</v>
      </c>
      <c r="Y279" s="141">
        <v>0</v>
      </c>
      <c r="Z279" s="141">
        <v>0</v>
      </c>
      <c r="AA279" s="141">
        <v>0</v>
      </c>
      <c r="AB279" s="141">
        <v>25</v>
      </c>
      <c r="AC279" s="141">
        <v>6.7</v>
      </c>
      <c r="AD279" s="141">
        <v>3.5</v>
      </c>
      <c r="AE279" s="146">
        <f>3.5/30</f>
        <v>0.11666666666666667</v>
      </c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</row>
    <row r="280" spans="1:42">
      <c r="A280" s="119">
        <v>277</v>
      </c>
      <c r="B280" s="18">
        <v>19</v>
      </c>
      <c r="C280" s="18" t="s">
        <v>239</v>
      </c>
      <c r="D280" s="25">
        <v>8</v>
      </c>
      <c r="E280" s="25">
        <v>0</v>
      </c>
      <c r="I280" s="34">
        <v>41993</v>
      </c>
      <c r="J280" s="35">
        <v>0.44444444444444442</v>
      </c>
      <c r="K280" s="36">
        <v>42000</v>
      </c>
      <c r="L280" s="35">
        <v>0.45624999999999999</v>
      </c>
      <c r="M280" s="37">
        <f t="shared" si="17"/>
        <v>10097</v>
      </c>
      <c r="N280" s="38">
        <f t="shared" si="14"/>
        <v>168.28333333333333</v>
      </c>
      <c r="O280" s="37">
        <v>12</v>
      </c>
      <c r="P280" s="18" t="s">
        <v>107</v>
      </c>
      <c r="Q280" s="26">
        <v>41994</v>
      </c>
      <c r="R280" s="27">
        <v>0.30138888888888887</v>
      </c>
      <c r="S280" s="18">
        <v>3</v>
      </c>
      <c r="T280" s="18">
        <v>1</v>
      </c>
      <c r="U280" s="18">
        <v>0</v>
      </c>
      <c r="V280" s="22">
        <v>0</v>
      </c>
      <c r="W280" s="20">
        <v>0</v>
      </c>
      <c r="X280" s="24">
        <v>0</v>
      </c>
      <c r="Y280" s="25">
        <v>0</v>
      </c>
      <c r="Z280" s="25">
        <v>0</v>
      </c>
      <c r="AA280" s="25">
        <v>1</v>
      </c>
      <c r="AB280" s="25"/>
      <c r="AC280" s="25"/>
      <c r="AD280" s="25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</row>
    <row r="281" spans="1:42">
      <c r="A281" s="119">
        <v>278</v>
      </c>
      <c r="B281" s="18">
        <v>19</v>
      </c>
      <c r="C281" s="18" t="s">
        <v>239</v>
      </c>
      <c r="D281" s="25">
        <v>8</v>
      </c>
      <c r="E281" s="25">
        <v>0</v>
      </c>
      <c r="I281" s="34">
        <v>41993</v>
      </c>
      <c r="J281" s="35">
        <v>0.44444444444444442</v>
      </c>
      <c r="K281" s="36">
        <v>42000</v>
      </c>
      <c r="L281" s="35">
        <v>0.45624999999999999</v>
      </c>
      <c r="M281" s="37">
        <f t="shared" si="17"/>
        <v>10097</v>
      </c>
      <c r="N281" s="38">
        <f t="shared" si="14"/>
        <v>168.28333333333333</v>
      </c>
      <c r="O281" s="37">
        <v>12</v>
      </c>
      <c r="P281" s="18" t="s">
        <v>92</v>
      </c>
      <c r="Q281" s="26">
        <v>41995</v>
      </c>
      <c r="R281" s="27">
        <v>6.7361111111111108E-2</v>
      </c>
      <c r="S281" s="18">
        <v>1</v>
      </c>
      <c r="T281" s="18">
        <v>1</v>
      </c>
      <c r="U281" s="18">
        <v>0</v>
      </c>
      <c r="V281" s="22">
        <v>0</v>
      </c>
      <c r="W281" s="20">
        <v>0</v>
      </c>
      <c r="X281" s="24">
        <v>0</v>
      </c>
      <c r="Y281" s="25">
        <v>0</v>
      </c>
      <c r="Z281" s="25">
        <v>0</v>
      </c>
      <c r="AA281" s="25">
        <v>1</v>
      </c>
      <c r="AB281" s="25"/>
      <c r="AC281" s="25"/>
      <c r="AD281" s="25"/>
    </row>
    <row r="282" spans="1:42">
      <c r="A282" s="119">
        <v>279</v>
      </c>
      <c r="B282" s="18">
        <v>19</v>
      </c>
      <c r="C282" s="18" t="s">
        <v>239</v>
      </c>
      <c r="D282" s="25">
        <v>8</v>
      </c>
      <c r="E282" s="25">
        <v>0</v>
      </c>
      <c r="I282" s="34">
        <v>41993</v>
      </c>
      <c r="J282" s="35">
        <v>0.44444444444444442</v>
      </c>
      <c r="K282" s="36">
        <v>42000</v>
      </c>
      <c r="L282" s="35">
        <v>0.45624999999999999</v>
      </c>
      <c r="M282" s="37">
        <f t="shared" si="17"/>
        <v>10097</v>
      </c>
      <c r="N282" s="38">
        <f t="shared" si="14"/>
        <v>168.28333333333333</v>
      </c>
      <c r="O282" s="37">
        <v>12</v>
      </c>
      <c r="P282" s="18" t="s">
        <v>118</v>
      </c>
      <c r="Q282" s="26">
        <v>41995</v>
      </c>
      <c r="R282" s="27">
        <v>0.20833333333333334</v>
      </c>
      <c r="S282" s="18">
        <v>1</v>
      </c>
      <c r="T282" s="18">
        <v>1</v>
      </c>
      <c r="U282" s="18">
        <v>1</v>
      </c>
      <c r="V282" s="22">
        <v>0</v>
      </c>
      <c r="W282" s="20">
        <v>0</v>
      </c>
      <c r="X282" s="24">
        <v>0</v>
      </c>
      <c r="Y282" s="25">
        <v>0</v>
      </c>
      <c r="Z282" s="25">
        <v>0</v>
      </c>
      <c r="AA282" s="25">
        <v>1</v>
      </c>
      <c r="AB282" s="25"/>
      <c r="AC282" s="25"/>
      <c r="AD282" s="25"/>
    </row>
    <row r="283" spans="1:42">
      <c r="A283" s="119">
        <v>280</v>
      </c>
      <c r="B283" s="18">
        <v>19</v>
      </c>
      <c r="C283" s="18" t="s">
        <v>239</v>
      </c>
      <c r="D283" s="25">
        <v>8</v>
      </c>
      <c r="E283" s="25">
        <v>0</v>
      </c>
      <c r="I283" s="34">
        <v>41993</v>
      </c>
      <c r="J283" s="35">
        <v>0.44444444444444442</v>
      </c>
      <c r="K283" s="36">
        <v>42000</v>
      </c>
      <c r="L283" s="35">
        <v>0.45624999999999999</v>
      </c>
      <c r="M283" s="37">
        <f t="shared" si="17"/>
        <v>10097</v>
      </c>
      <c r="N283" s="38">
        <f t="shared" si="14"/>
        <v>168.28333333333333</v>
      </c>
      <c r="O283" s="37">
        <v>12</v>
      </c>
      <c r="P283" s="18" t="s">
        <v>297</v>
      </c>
      <c r="Q283" s="26">
        <v>41997</v>
      </c>
      <c r="R283" s="27">
        <v>0.1013888888888889</v>
      </c>
      <c r="S283" s="18">
        <v>1</v>
      </c>
      <c r="T283" s="18">
        <v>1</v>
      </c>
      <c r="U283" s="18">
        <v>1</v>
      </c>
      <c r="V283" s="22">
        <v>1</v>
      </c>
      <c r="W283" s="20">
        <v>0</v>
      </c>
      <c r="X283" s="24">
        <v>0</v>
      </c>
      <c r="Y283" s="25">
        <v>0</v>
      </c>
      <c r="Z283" s="25">
        <v>0</v>
      </c>
      <c r="AA283" s="25">
        <v>0</v>
      </c>
      <c r="AB283" s="25"/>
      <c r="AC283" s="25"/>
      <c r="AD283" s="25"/>
    </row>
    <row r="284" spans="1:42">
      <c r="A284" s="119">
        <v>281</v>
      </c>
      <c r="B284" s="18">
        <v>19</v>
      </c>
      <c r="C284" s="18" t="s">
        <v>239</v>
      </c>
      <c r="D284" s="25">
        <v>8</v>
      </c>
      <c r="E284" s="25">
        <v>0</v>
      </c>
      <c r="I284" s="34">
        <v>41993</v>
      </c>
      <c r="J284" s="35">
        <v>0.44444444444444442</v>
      </c>
      <c r="K284" s="36">
        <v>42000</v>
      </c>
      <c r="L284" s="35">
        <v>0.45624999999999999</v>
      </c>
      <c r="M284" s="37">
        <f t="shared" si="17"/>
        <v>10097</v>
      </c>
      <c r="N284" s="38">
        <f t="shared" si="14"/>
        <v>168.28333333333333</v>
      </c>
      <c r="O284" s="37">
        <v>12</v>
      </c>
      <c r="P284" s="18" t="s">
        <v>139</v>
      </c>
      <c r="Q284" s="26">
        <v>41997</v>
      </c>
      <c r="R284" s="27">
        <v>0.12222222222222223</v>
      </c>
      <c r="S284" s="18">
        <v>1</v>
      </c>
      <c r="T284" s="18">
        <v>1</v>
      </c>
      <c r="U284" s="18">
        <v>1</v>
      </c>
      <c r="V284" s="22">
        <v>0</v>
      </c>
      <c r="W284" s="20">
        <v>1</v>
      </c>
      <c r="X284" s="24">
        <v>0</v>
      </c>
      <c r="Y284" s="25">
        <v>0</v>
      </c>
      <c r="Z284" s="25">
        <v>0</v>
      </c>
      <c r="AA284" s="25">
        <v>0</v>
      </c>
      <c r="AB284" s="25"/>
      <c r="AC284" s="25"/>
      <c r="AD284" s="25"/>
    </row>
    <row r="285" spans="1:42">
      <c r="A285" s="119">
        <v>282</v>
      </c>
      <c r="B285" s="18">
        <v>19</v>
      </c>
      <c r="C285" s="18" t="s">
        <v>239</v>
      </c>
      <c r="D285" s="25">
        <v>8</v>
      </c>
      <c r="E285" s="25">
        <v>0</v>
      </c>
      <c r="I285" s="34">
        <v>41993</v>
      </c>
      <c r="J285" s="35">
        <v>0.44444444444444442</v>
      </c>
      <c r="K285" s="36">
        <v>42000</v>
      </c>
      <c r="L285" s="35">
        <v>0.45624999999999999</v>
      </c>
      <c r="M285" s="37">
        <f t="shared" si="17"/>
        <v>10097</v>
      </c>
      <c r="N285" s="38">
        <f t="shared" si="14"/>
        <v>168.28333333333333</v>
      </c>
      <c r="O285" s="37">
        <v>12</v>
      </c>
      <c r="P285" s="18" t="s">
        <v>156</v>
      </c>
      <c r="Q285" s="26">
        <v>41997</v>
      </c>
      <c r="R285" s="27">
        <v>0.13125000000000001</v>
      </c>
      <c r="S285" s="18">
        <v>1</v>
      </c>
      <c r="T285" s="18">
        <v>2</v>
      </c>
      <c r="U285" s="18">
        <v>2</v>
      </c>
      <c r="V285" s="22">
        <v>2</v>
      </c>
      <c r="W285" s="20">
        <v>0</v>
      </c>
      <c r="X285" s="24">
        <v>0</v>
      </c>
      <c r="Y285" s="25">
        <v>0</v>
      </c>
      <c r="Z285" s="25">
        <v>0</v>
      </c>
      <c r="AA285" s="25">
        <v>0</v>
      </c>
      <c r="AB285" s="25"/>
      <c r="AC285" s="25"/>
      <c r="AD285" s="25"/>
    </row>
    <row r="286" spans="1:42">
      <c r="A286" s="119">
        <v>283</v>
      </c>
      <c r="B286" s="18">
        <v>19</v>
      </c>
      <c r="C286" s="18" t="s">
        <v>239</v>
      </c>
      <c r="D286" s="25">
        <v>8</v>
      </c>
      <c r="E286" s="25">
        <v>0</v>
      </c>
      <c r="I286" s="34">
        <v>41993</v>
      </c>
      <c r="J286" s="35">
        <v>0.44444444444444442</v>
      </c>
      <c r="K286" s="36">
        <v>42000</v>
      </c>
      <c r="L286" s="35">
        <v>0.45624999999999999</v>
      </c>
      <c r="M286" s="37">
        <f t="shared" si="17"/>
        <v>10097</v>
      </c>
      <c r="N286" s="38">
        <f t="shared" si="14"/>
        <v>168.28333333333333</v>
      </c>
      <c r="O286" s="37">
        <v>12</v>
      </c>
      <c r="P286" s="18" t="s">
        <v>149</v>
      </c>
      <c r="Q286" s="26">
        <v>41998</v>
      </c>
      <c r="R286" s="27">
        <v>7.2222222222222229E-2</v>
      </c>
      <c r="S286" s="18">
        <v>1</v>
      </c>
      <c r="T286" s="18">
        <v>4</v>
      </c>
      <c r="U286" s="18">
        <v>4</v>
      </c>
      <c r="V286" s="22">
        <v>2</v>
      </c>
      <c r="W286" s="20">
        <v>1</v>
      </c>
      <c r="X286" s="24">
        <v>0</v>
      </c>
      <c r="Y286" s="25">
        <v>0</v>
      </c>
      <c r="Z286" s="25">
        <v>0</v>
      </c>
      <c r="AA286" s="25">
        <v>1</v>
      </c>
      <c r="AB286" s="25"/>
      <c r="AC286" s="25"/>
      <c r="AD286" s="25"/>
    </row>
    <row r="287" spans="1:42">
      <c r="A287" s="119">
        <v>284</v>
      </c>
      <c r="B287" s="18">
        <v>19</v>
      </c>
      <c r="C287" s="18" t="s">
        <v>239</v>
      </c>
      <c r="D287" s="25">
        <v>8</v>
      </c>
      <c r="E287" s="25">
        <v>0</v>
      </c>
      <c r="I287" s="34">
        <v>41993</v>
      </c>
      <c r="J287" s="35">
        <v>0.44444444444444442</v>
      </c>
      <c r="K287" s="36">
        <v>42000</v>
      </c>
      <c r="L287" s="35">
        <v>0.45624999999999999</v>
      </c>
      <c r="M287" s="37">
        <f t="shared" si="17"/>
        <v>10097</v>
      </c>
      <c r="N287" s="38">
        <f t="shared" si="14"/>
        <v>168.28333333333333</v>
      </c>
      <c r="O287" s="37">
        <v>12</v>
      </c>
      <c r="P287" s="18" t="s">
        <v>134</v>
      </c>
      <c r="Q287" s="26">
        <v>41998</v>
      </c>
      <c r="R287" s="27">
        <v>0.59166666666666667</v>
      </c>
      <c r="S287" s="18">
        <v>3</v>
      </c>
      <c r="T287" s="18">
        <v>6</v>
      </c>
      <c r="U287" s="18">
        <v>4</v>
      </c>
      <c r="V287" s="22">
        <v>0</v>
      </c>
      <c r="W287" s="20">
        <v>1</v>
      </c>
      <c r="X287" s="24">
        <v>0</v>
      </c>
      <c r="Y287" s="25">
        <v>0</v>
      </c>
      <c r="Z287" s="25">
        <v>0</v>
      </c>
      <c r="AA287" s="25">
        <v>5</v>
      </c>
      <c r="AB287" s="25"/>
      <c r="AC287" s="25"/>
      <c r="AD287" s="25"/>
    </row>
    <row r="288" spans="1:42">
      <c r="A288" s="119">
        <v>285</v>
      </c>
      <c r="B288" s="18">
        <v>19</v>
      </c>
      <c r="C288" s="18" t="s">
        <v>239</v>
      </c>
      <c r="D288" s="25">
        <v>8</v>
      </c>
      <c r="E288" s="25">
        <v>0</v>
      </c>
      <c r="I288" s="34">
        <v>41993</v>
      </c>
      <c r="J288" s="35">
        <v>0.44444444444444442</v>
      </c>
      <c r="K288" s="36">
        <v>42000</v>
      </c>
      <c r="L288" s="35">
        <v>0.45624999999999999</v>
      </c>
      <c r="M288" s="37">
        <f t="shared" si="17"/>
        <v>10097</v>
      </c>
      <c r="N288" s="38">
        <f t="shared" si="14"/>
        <v>168.28333333333333</v>
      </c>
      <c r="O288" s="37">
        <v>12</v>
      </c>
      <c r="P288" s="18" t="s">
        <v>142</v>
      </c>
      <c r="Q288" s="26">
        <v>41999</v>
      </c>
      <c r="R288" s="27">
        <v>0.56041666666666667</v>
      </c>
      <c r="S288" s="18">
        <v>3</v>
      </c>
      <c r="T288" s="18">
        <v>1</v>
      </c>
      <c r="U288" s="18">
        <v>1</v>
      </c>
      <c r="V288" s="22">
        <v>0</v>
      </c>
      <c r="W288" s="20">
        <v>1</v>
      </c>
      <c r="X288" s="24">
        <v>0</v>
      </c>
      <c r="Y288" s="25">
        <v>0</v>
      </c>
      <c r="Z288" s="25">
        <v>0</v>
      </c>
      <c r="AA288" s="25">
        <v>0</v>
      </c>
      <c r="AB288" s="25"/>
      <c r="AC288" s="25"/>
      <c r="AD288" s="25"/>
    </row>
    <row r="289" spans="1:42">
      <c r="A289" s="119">
        <v>286</v>
      </c>
      <c r="B289" s="18">
        <v>19</v>
      </c>
      <c r="C289" s="18" t="s">
        <v>239</v>
      </c>
      <c r="D289" s="25">
        <v>8</v>
      </c>
      <c r="E289" s="25">
        <v>0</v>
      </c>
      <c r="I289" s="34">
        <v>41993</v>
      </c>
      <c r="J289" s="35">
        <v>0.44444444444444442</v>
      </c>
      <c r="K289" s="36">
        <v>42000</v>
      </c>
      <c r="L289" s="35">
        <v>0.45624999999999999</v>
      </c>
      <c r="M289" s="37">
        <f t="shared" si="17"/>
        <v>10097</v>
      </c>
      <c r="N289" s="38">
        <f t="shared" si="14"/>
        <v>168.28333333333333</v>
      </c>
      <c r="O289" s="37">
        <v>12</v>
      </c>
      <c r="P289" s="18" t="s">
        <v>152</v>
      </c>
      <c r="Q289" s="26">
        <v>41999</v>
      </c>
      <c r="R289" s="27">
        <v>0.68194444444444446</v>
      </c>
      <c r="S289" s="18">
        <v>3</v>
      </c>
      <c r="T289" s="18">
        <v>2</v>
      </c>
      <c r="U289" s="18">
        <v>2</v>
      </c>
      <c r="V289" s="22">
        <v>1</v>
      </c>
      <c r="W289" s="20">
        <v>1</v>
      </c>
      <c r="X289" s="24">
        <v>0</v>
      </c>
      <c r="Y289" s="25">
        <v>0</v>
      </c>
      <c r="Z289" s="25">
        <v>0</v>
      </c>
      <c r="AA289" s="25">
        <v>0</v>
      </c>
      <c r="AB289" s="25"/>
      <c r="AC289" s="25"/>
      <c r="AD289" s="25"/>
    </row>
    <row r="290" spans="1:42">
      <c r="A290" s="119">
        <v>287</v>
      </c>
      <c r="B290" s="18">
        <v>19</v>
      </c>
      <c r="C290" s="18" t="s">
        <v>239</v>
      </c>
      <c r="D290" s="25">
        <v>8</v>
      </c>
      <c r="E290" s="25">
        <v>0</v>
      </c>
      <c r="I290" s="34">
        <v>41993</v>
      </c>
      <c r="J290" s="35">
        <v>0.44444444444444442</v>
      </c>
      <c r="K290" s="36">
        <v>42000</v>
      </c>
      <c r="L290" s="35">
        <v>0.45624999999999999</v>
      </c>
      <c r="M290" s="37">
        <f t="shared" si="17"/>
        <v>10097</v>
      </c>
      <c r="N290" s="38">
        <f t="shared" si="14"/>
        <v>168.28333333333333</v>
      </c>
      <c r="O290" s="37">
        <v>12</v>
      </c>
      <c r="P290" s="18" t="s">
        <v>143</v>
      </c>
      <c r="Q290" s="26">
        <v>42000</v>
      </c>
      <c r="R290" s="27">
        <v>0.19513888888888889</v>
      </c>
      <c r="S290" s="18">
        <v>1</v>
      </c>
      <c r="T290" s="18">
        <v>3</v>
      </c>
      <c r="U290" s="18">
        <v>2</v>
      </c>
      <c r="V290" s="22">
        <v>1</v>
      </c>
      <c r="W290" s="20">
        <v>1</v>
      </c>
      <c r="X290" s="24">
        <v>1</v>
      </c>
      <c r="Y290" s="25">
        <v>0</v>
      </c>
      <c r="Z290" s="25">
        <v>0</v>
      </c>
      <c r="AA290" s="25">
        <v>0</v>
      </c>
      <c r="AB290" s="25"/>
      <c r="AC290" s="25"/>
      <c r="AD290" s="25"/>
    </row>
    <row r="291" spans="1:42">
      <c r="A291" s="119">
        <v>289</v>
      </c>
      <c r="B291" s="18">
        <v>20</v>
      </c>
      <c r="C291" s="18" t="s">
        <v>240</v>
      </c>
      <c r="D291" s="25">
        <v>8</v>
      </c>
      <c r="E291" s="25">
        <v>0</v>
      </c>
      <c r="I291" s="34">
        <v>41993</v>
      </c>
      <c r="J291" s="35">
        <v>0.45833333333333331</v>
      </c>
      <c r="K291" s="36">
        <v>42000</v>
      </c>
      <c r="L291" s="35">
        <v>0.46875</v>
      </c>
      <c r="M291" s="37">
        <v>10095</v>
      </c>
      <c r="N291" s="38">
        <f t="shared" si="14"/>
        <v>168.25</v>
      </c>
      <c r="O291" s="37">
        <v>6</v>
      </c>
      <c r="P291" s="18" t="s">
        <v>104</v>
      </c>
      <c r="Q291" s="26">
        <v>41994</v>
      </c>
      <c r="R291" s="27">
        <v>0.34236111111111112</v>
      </c>
      <c r="S291" s="18">
        <v>3</v>
      </c>
      <c r="T291" s="18">
        <v>9</v>
      </c>
      <c r="U291" s="18">
        <v>3</v>
      </c>
      <c r="V291" s="22">
        <v>1</v>
      </c>
      <c r="W291" s="20">
        <v>2</v>
      </c>
      <c r="X291" s="24">
        <v>4</v>
      </c>
      <c r="Y291" s="25">
        <v>0</v>
      </c>
      <c r="Z291" s="25">
        <v>2</v>
      </c>
      <c r="AA291" s="25">
        <v>0</v>
      </c>
      <c r="AB291" s="25"/>
      <c r="AC291" s="25"/>
      <c r="AD291" s="25"/>
    </row>
    <row r="292" spans="1:42" s="140" customFormat="1">
      <c r="A292" s="139">
        <v>290</v>
      </c>
      <c r="B292" s="140">
        <v>20</v>
      </c>
      <c r="C292" s="140" t="s">
        <v>240</v>
      </c>
      <c r="D292" s="141">
        <v>8</v>
      </c>
      <c r="E292" s="141">
        <v>0</v>
      </c>
      <c r="I292" s="142">
        <v>41993</v>
      </c>
      <c r="J292" s="143">
        <v>0.45833333333333331</v>
      </c>
      <c r="K292" s="144">
        <v>42000</v>
      </c>
      <c r="L292" s="143">
        <v>0.46875</v>
      </c>
      <c r="M292" s="145">
        <v>10095</v>
      </c>
      <c r="N292" s="146">
        <f t="shared" si="14"/>
        <v>168.25</v>
      </c>
      <c r="O292" s="145">
        <v>6</v>
      </c>
      <c r="P292" s="140" t="s">
        <v>84</v>
      </c>
      <c r="Q292" s="147">
        <v>41994</v>
      </c>
      <c r="R292" s="148">
        <v>0.76041666666666663</v>
      </c>
      <c r="S292" s="140">
        <v>1</v>
      </c>
      <c r="T292" s="140">
        <v>4</v>
      </c>
      <c r="U292" s="140">
        <v>1</v>
      </c>
      <c r="V292" s="149">
        <v>1</v>
      </c>
      <c r="W292" s="141">
        <v>0</v>
      </c>
      <c r="X292" s="150">
        <v>3</v>
      </c>
      <c r="Y292" s="141">
        <v>0</v>
      </c>
      <c r="Z292" s="141">
        <v>0</v>
      </c>
      <c r="AA292" s="141">
        <v>0</v>
      </c>
      <c r="AB292" s="141">
        <v>25</v>
      </c>
      <c r="AC292" s="141">
        <v>4.2</v>
      </c>
      <c r="AD292" s="141">
        <v>0.3</v>
      </c>
      <c r="AE292" s="146">
        <v>0.1</v>
      </c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</row>
    <row r="293" spans="1:42">
      <c r="A293" s="119">
        <v>290.892857142857</v>
      </c>
      <c r="B293" s="18">
        <v>20</v>
      </c>
      <c r="C293" s="18" t="s">
        <v>240</v>
      </c>
      <c r="D293" s="25">
        <v>8</v>
      </c>
      <c r="E293" s="25">
        <v>0</v>
      </c>
      <c r="I293" s="34">
        <v>41993</v>
      </c>
      <c r="J293" s="35">
        <v>0.45833333333333331</v>
      </c>
      <c r="K293" s="36">
        <v>42000</v>
      </c>
      <c r="L293" s="35">
        <v>0.46875</v>
      </c>
      <c r="M293" s="37">
        <v>10095</v>
      </c>
      <c r="N293" s="38">
        <f t="shared" si="14"/>
        <v>168.25</v>
      </c>
      <c r="O293" s="37">
        <v>6</v>
      </c>
      <c r="P293" s="18" t="s">
        <v>107</v>
      </c>
      <c r="Q293" s="26">
        <v>41995</v>
      </c>
      <c r="R293" s="27">
        <v>0.26944444444444443</v>
      </c>
      <c r="S293" s="18">
        <v>3</v>
      </c>
      <c r="T293" s="18">
        <v>3</v>
      </c>
      <c r="U293" s="18">
        <v>2</v>
      </c>
      <c r="V293" s="22">
        <v>1</v>
      </c>
      <c r="W293" s="20">
        <v>1</v>
      </c>
      <c r="X293" s="24">
        <v>1</v>
      </c>
      <c r="Y293" s="25">
        <v>0</v>
      </c>
      <c r="Z293" s="25">
        <v>0</v>
      </c>
      <c r="AA293" s="25">
        <v>0</v>
      </c>
      <c r="AB293" s="25"/>
      <c r="AC293" s="25"/>
      <c r="AD293" s="25"/>
    </row>
    <row r="294" spans="1:42">
      <c r="A294" s="119">
        <v>292.22448979591798</v>
      </c>
      <c r="B294" s="18">
        <v>20</v>
      </c>
      <c r="C294" s="18" t="s">
        <v>240</v>
      </c>
      <c r="D294" s="25">
        <v>8</v>
      </c>
      <c r="E294" s="25">
        <v>0</v>
      </c>
      <c r="I294" s="34">
        <v>41993</v>
      </c>
      <c r="J294" s="35">
        <v>0.45833333333333331</v>
      </c>
      <c r="K294" s="36">
        <v>42000</v>
      </c>
      <c r="L294" s="35">
        <v>0.46875</v>
      </c>
      <c r="M294" s="37">
        <v>10095</v>
      </c>
      <c r="N294" s="38">
        <f t="shared" si="14"/>
        <v>168.25</v>
      </c>
      <c r="O294" s="37">
        <v>6</v>
      </c>
      <c r="P294" s="18" t="s">
        <v>119</v>
      </c>
      <c r="Q294" s="26">
        <v>41997</v>
      </c>
      <c r="R294" s="27">
        <v>0.43541666666666662</v>
      </c>
      <c r="S294" s="18">
        <v>3</v>
      </c>
      <c r="T294" s="18">
        <v>1</v>
      </c>
      <c r="U294" s="18">
        <v>1</v>
      </c>
      <c r="V294" s="22">
        <v>0</v>
      </c>
      <c r="W294" s="20">
        <v>0</v>
      </c>
      <c r="X294" s="24">
        <v>0</v>
      </c>
      <c r="Y294" s="25">
        <v>0</v>
      </c>
      <c r="Z294" s="25">
        <v>0</v>
      </c>
      <c r="AA294" s="25">
        <v>1</v>
      </c>
      <c r="AB294" s="25"/>
      <c r="AC294" s="25"/>
      <c r="AD294" s="25"/>
    </row>
    <row r="295" spans="1:42">
      <c r="A295" s="119">
        <v>293.42729591836701</v>
      </c>
      <c r="B295" s="18">
        <v>20</v>
      </c>
      <c r="C295" s="18" t="s">
        <v>240</v>
      </c>
      <c r="D295" s="25">
        <v>8</v>
      </c>
      <c r="E295" s="25">
        <v>0</v>
      </c>
      <c r="I295" s="34">
        <v>41993</v>
      </c>
      <c r="J295" s="35">
        <v>0.45833333333333331</v>
      </c>
      <c r="K295" s="36">
        <v>42000</v>
      </c>
      <c r="L295" s="35">
        <v>0.46875</v>
      </c>
      <c r="M295" s="37">
        <v>10095</v>
      </c>
      <c r="N295" s="38">
        <f t="shared" si="14"/>
        <v>168.25</v>
      </c>
      <c r="O295" s="37">
        <v>6</v>
      </c>
      <c r="P295" s="18" t="s">
        <v>118</v>
      </c>
      <c r="Q295" s="26">
        <v>41999</v>
      </c>
      <c r="R295" s="27">
        <v>0.59791666666666665</v>
      </c>
      <c r="S295" s="18">
        <v>3</v>
      </c>
      <c r="T295" s="18">
        <v>2</v>
      </c>
      <c r="U295" s="18">
        <v>1</v>
      </c>
      <c r="V295" s="22">
        <v>1</v>
      </c>
      <c r="W295" s="20">
        <v>0</v>
      </c>
      <c r="X295" s="24">
        <v>0</v>
      </c>
      <c r="Y295" s="25">
        <v>0</v>
      </c>
      <c r="Z295" s="25">
        <v>1</v>
      </c>
      <c r="AA295" s="25">
        <v>0</v>
      </c>
      <c r="AB295" s="25"/>
      <c r="AC295" s="25"/>
      <c r="AD295" s="25"/>
    </row>
    <row r="296" spans="1:42">
      <c r="A296" s="119">
        <v>294.63010204081598</v>
      </c>
      <c r="B296" s="18">
        <v>20</v>
      </c>
      <c r="C296" s="18" t="s">
        <v>240</v>
      </c>
      <c r="D296" s="25">
        <v>8</v>
      </c>
      <c r="E296" s="25">
        <v>0</v>
      </c>
      <c r="I296" s="34">
        <v>41993</v>
      </c>
      <c r="J296" s="35">
        <v>0.45833333333333331</v>
      </c>
      <c r="K296" s="36">
        <v>42000</v>
      </c>
      <c r="L296" s="35">
        <v>0.46875</v>
      </c>
      <c r="M296" s="37">
        <v>10095</v>
      </c>
      <c r="N296" s="38">
        <f t="shared" si="14"/>
        <v>168.25</v>
      </c>
      <c r="O296" s="37">
        <v>6</v>
      </c>
      <c r="P296" s="18" t="s">
        <v>297</v>
      </c>
      <c r="Q296" s="26">
        <v>41999</v>
      </c>
      <c r="R296" s="27">
        <v>0.73472222222222217</v>
      </c>
      <c r="S296" s="18">
        <v>3</v>
      </c>
      <c r="T296" s="18">
        <v>0</v>
      </c>
      <c r="U296" s="18">
        <v>0</v>
      </c>
      <c r="V296" s="22">
        <v>0</v>
      </c>
      <c r="W296" s="20">
        <v>0</v>
      </c>
      <c r="X296" s="24">
        <v>0</v>
      </c>
      <c r="Y296" s="25">
        <v>0</v>
      </c>
      <c r="Z296" s="25">
        <v>0</v>
      </c>
      <c r="AA296" s="25">
        <v>1</v>
      </c>
      <c r="AB296" s="25"/>
      <c r="AC296" s="25"/>
      <c r="AD296" s="25"/>
    </row>
    <row r="297" spans="1:42">
      <c r="A297" s="119">
        <v>295.83290816326502</v>
      </c>
      <c r="B297" s="18">
        <v>1</v>
      </c>
      <c r="C297" s="18" t="s">
        <v>254</v>
      </c>
      <c r="D297" s="25">
        <v>6</v>
      </c>
      <c r="E297" s="25">
        <v>0</v>
      </c>
      <c r="I297" s="34">
        <v>42003</v>
      </c>
      <c r="J297" s="35">
        <v>0.3576388888888889</v>
      </c>
      <c r="K297" s="36">
        <v>42010</v>
      </c>
      <c r="L297" s="35">
        <v>0.35347222222222219</v>
      </c>
      <c r="M297" s="37">
        <f>10080-4</f>
        <v>10076</v>
      </c>
      <c r="N297" s="38">
        <f t="shared" si="14"/>
        <v>167.93333333333334</v>
      </c>
      <c r="O297" s="37">
        <v>1</v>
      </c>
      <c r="P297" s="18" t="s">
        <v>101</v>
      </c>
      <c r="Q297" s="26">
        <v>42007</v>
      </c>
      <c r="R297" s="27">
        <v>0.48888888888888887</v>
      </c>
      <c r="S297" s="18">
        <v>5</v>
      </c>
      <c r="T297" s="18">
        <v>1</v>
      </c>
      <c r="U297" s="18">
        <v>1</v>
      </c>
      <c r="V297" s="22">
        <v>1</v>
      </c>
      <c r="W297" s="20">
        <v>0</v>
      </c>
      <c r="X297" s="24">
        <v>0</v>
      </c>
      <c r="Y297" s="25">
        <v>0</v>
      </c>
      <c r="Z297" s="25">
        <v>0</v>
      </c>
      <c r="AA297" s="25">
        <v>0</v>
      </c>
      <c r="AB297" s="25"/>
      <c r="AC297" s="25"/>
      <c r="AD297" s="25"/>
    </row>
    <row r="298" spans="1:42">
      <c r="A298" s="119">
        <v>297.03571428571399</v>
      </c>
      <c r="B298" s="18">
        <v>2</v>
      </c>
      <c r="C298" s="18" t="s">
        <v>255</v>
      </c>
      <c r="I298" s="34"/>
      <c r="N298" s="38">
        <f t="shared" si="14"/>
        <v>0</v>
      </c>
      <c r="O298" s="37">
        <v>0</v>
      </c>
      <c r="Q298" s="26"/>
      <c r="R298" s="27"/>
      <c r="Y298" s="25"/>
      <c r="Z298" s="25"/>
      <c r="AA298" s="25"/>
      <c r="AB298" s="25"/>
      <c r="AC298" s="25"/>
      <c r="AD298" s="25"/>
    </row>
    <row r="299" spans="1:42">
      <c r="A299" s="119">
        <v>298.23852040816303</v>
      </c>
      <c r="B299" s="18">
        <v>3</v>
      </c>
      <c r="C299" s="18" t="s">
        <v>256</v>
      </c>
      <c r="D299" s="18">
        <v>6</v>
      </c>
      <c r="E299" s="18">
        <v>0</v>
      </c>
      <c r="I299" s="34">
        <v>42003</v>
      </c>
      <c r="J299" s="35">
        <v>0.39583333333333331</v>
      </c>
      <c r="K299" s="36">
        <v>42010</v>
      </c>
      <c r="L299" s="35">
        <v>0.37916666666666665</v>
      </c>
      <c r="M299" s="37">
        <f>10080-24</f>
        <v>10056</v>
      </c>
      <c r="N299" s="38">
        <f t="shared" si="14"/>
        <v>167.6</v>
      </c>
      <c r="O299" s="37">
        <v>0</v>
      </c>
      <c r="Q299" s="26"/>
      <c r="R299" s="27"/>
      <c r="Y299" s="25"/>
      <c r="Z299" s="25"/>
      <c r="AA299" s="25"/>
      <c r="AB299" s="25"/>
      <c r="AC299" s="25"/>
      <c r="AD299" s="25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</row>
    <row r="300" spans="1:42">
      <c r="A300" s="119">
        <v>299.441326530612</v>
      </c>
      <c r="B300" s="18">
        <v>4</v>
      </c>
      <c r="C300" s="18" t="s">
        <v>257</v>
      </c>
      <c r="D300" s="18">
        <v>6</v>
      </c>
      <c r="E300" s="18">
        <v>0</v>
      </c>
      <c r="I300" s="34">
        <v>42003</v>
      </c>
      <c r="J300" s="35">
        <v>0.41041666666666665</v>
      </c>
      <c r="K300" s="36">
        <v>42010</v>
      </c>
      <c r="L300" s="35">
        <v>0.38750000000000001</v>
      </c>
      <c r="M300" s="37">
        <f>10080-33</f>
        <v>10047</v>
      </c>
      <c r="N300" s="38">
        <f t="shared" si="14"/>
        <v>167.45</v>
      </c>
      <c r="O300" s="37">
        <v>2</v>
      </c>
      <c r="P300" s="18" t="s">
        <v>99</v>
      </c>
      <c r="Q300" s="26">
        <v>42006</v>
      </c>
      <c r="R300" s="27">
        <v>0.42499999999999999</v>
      </c>
      <c r="S300" s="18">
        <v>3</v>
      </c>
      <c r="T300" s="18">
        <v>6</v>
      </c>
      <c r="U300" s="18">
        <v>3</v>
      </c>
      <c r="V300" s="22">
        <v>0</v>
      </c>
      <c r="W300" s="20">
        <v>0</v>
      </c>
      <c r="X300" s="24">
        <v>3</v>
      </c>
      <c r="Y300" s="25">
        <v>0</v>
      </c>
      <c r="Z300" s="25">
        <v>0</v>
      </c>
      <c r="AA300" s="25">
        <v>3</v>
      </c>
      <c r="AB300" s="25"/>
      <c r="AC300" s="25"/>
      <c r="AD300" s="25"/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</row>
    <row r="301" spans="1:42">
      <c r="A301" s="119">
        <v>300.64413265306098</v>
      </c>
      <c r="B301" s="18">
        <v>4</v>
      </c>
      <c r="C301" s="18" t="s">
        <v>257</v>
      </c>
      <c r="D301" s="18">
        <v>6</v>
      </c>
      <c r="E301" s="18">
        <v>0</v>
      </c>
      <c r="I301" s="34">
        <v>42003</v>
      </c>
      <c r="J301" s="35">
        <v>0.41041666666666665</v>
      </c>
      <c r="K301" s="36">
        <v>42010</v>
      </c>
      <c r="L301" s="35">
        <v>0.38750000000000001</v>
      </c>
      <c r="M301" s="37">
        <f>10080-33</f>
        <v>10047</v>
      </c>
      <c r="N301" s="38">
        <f t="shared" si="14"/>
        <v>167.45</v>
      </c>
      <c r="O301" s="37">
        <v>2</v>
      </c>
      <c r="P301" s="18" t="s">
        <v>101</v>
      </c>
      <c r="Q301" s="26">
        <v>42008</v>
      </c>
      <c r="R301" s="27">
        <v>0.30763888888888891</v>
      </c>
      <c r="S301" s="18">
        <v>3</v>
      </c>
      <c r="T301" s="18">
        <v>2</v>
      </c>
      <c r="U301" s="18">
        <v>1</v>
      </c>
      <c r="V301" s="22">
        <v>1</v>
      </c>
      <c r="W301" s="20">
        <v>0</v>
      </c>
      <c r="X301" s="24">
        <v>0</v>
      </c>
      <c r="Y301" s="25">
        <v>0</v>
      </c>
      <c r="Z301" s="25">
        <v>0</v>
      </c>
      <c r="AA301" s="25">
        <v>1</v>
      </c>
      <c r="AB301" s="25"/>
      <c r="AC301" s="25"/>
      <c r="AD301" s="25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</row>
    <row r="302" spans="1:42">
      <c r="A302" s="119">
        <v>301.84693877551001</v>
      </c>
      <c r="B302" s="18">
        <v>5</v>
      </c>
      <c r="C302" s="18" t="s">
        <v>258</v>
      </c>
      <c r="D302" s="18">
        <v>8</v>
      </c>
      <c r="E302" s="18">
        <v>0</v>
      </c>
      <c r="I302" s="34">
        <v>42003</v>
      </c>
      <c r="J302" s="35">
        <v>0.46180555555555558</v>
      </c>
      <c r="K302" s="36">
        <v>42010</v>
      </c>
      <c r="L302" s="35">
        <v>0.4284722222222222</v>
      </c>
      <c r="M302" s="37">
        <f>10080-48</f>
        <v>10032</v>
      </c>
      <c r="N302" s="38">
        <f t="shared" si="14"/>
        <v>167.2</v>
      </c>
      <c r="O302" s="37">
        <v>5</v>
      </c>
      <c r="P302" s="18" t="s">
        <v>101</v>
      </c>
      <c r="Q302" s="26">
        <v>42004</v>
      </c>
      <c r="R302" s="27">
        <v>0.56180555555555556</v>
      </c>
      <c r="S302" s="18">
        <v>3</v>
      </c>
      <c r="T302" s="18">
        <v>1</v>
      </c>
      <c r="U302" s="18">
        <v>0</v>
      </c>
      <c r="V302" s="22">
        <v>0</v>
      </c>
      <c r="W302" s="20">
        <v>0</v>
      </c>
      <c r="X302" s="24">
        <v>1</v>
      </c>
      <c r="Y302" s="25">
        <v>0</v>
      </c>
      <c r="Z302" s="25">
        <v>0</v>
      </c>
      <c r="AA302" s="25">
        <v>0</v>
      </c>
      <c r="AB302" s="25"/>
      <c r="AC302" s="25"/>
      <c r="AD302" s="25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</row>
    <row r="303" spans="1:42">
      <c r="A303" s="119">
        <v>303.04974489795899</v>
      </c>
      <c r="B303" s="18">
        <v>5</v>
      </c>
      <c r="C303" s="18" t="s">
        <v>258</v>
      </c>
      <c r="D303" s="18">
        <v>8</v>
      </c>
      <c r="E303" s="18">
        <v>0</v>
      </c>
      <c r="I303" s="34">
        <v>42003</v>
      </c>
      <c r="J303" s="35">
        <v>0.46180555555555558</v>
      </c>
      <c r="K303" s="36">
        <v>42010</v>
      </c>
      <c r="L303" s="35">
        <v>0.4284722222222222</v>
      </c>
      <c r="M303" s="37">
        <f>10080-48</f>
        <v>10032</v>
      </c>
      <c r="N303" s="38">
        <f t="shared" si="14"/>
        <v>167.2</v>
      </c>
      <c r="O303" s="37">
        <v>5</v>
      </c>
      <c r="P303" s="18" t="s">
        <v>104</v>
      </c>
      <c r="Q303" s="26">
        <v>42004</v>
      </c>
      <c r="R303" s="27">
        <v>0.6958333333333333</v>
      </c>
      <c r="S303" s="18">
        <v>3</v>
      </c>
      <c r="T303" s="18">
        <v>6</v>
      </c>
      <c r="U303" s="18">
        <v>2</v>
      </c>
      <c r="V303" s="22">
        <v>0</v>
      </c>
      <c r="W303" s="20">
        <v>0</v>
      </c>
      <c r="X303" s="24">
        <v>0</v>
      </c>
      <c r="Y303" s="25">
        <v>0</v>
      </c>
      <c r="Z303" s="25">
        <v>1</v>
      </c>
      <c r="AA303" s="25">
        <v>5</v>
      </c>
      <c r="AB303" s="25"/>
      <c r="AC303" s="25"/>
      <c r="AD303" s="25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</row>
    <row r="304" spans="1:42">
      <c r="A304" s="119">
        <v>304.25255102040802</v>
      </c>
      <c r="B304" s="18">
        <v>5</v>
      </c>
      <c r="C304" s="18" t="s">
        <v>258</v>
      </c>
      <c r="D304" s="18">
        <v>8</v>
      </c>
      <c r="E304" s="18">
        <v>0</v>
      </c>
      <c r="I304" s="34">
        <v>42003</v>
      </c>
      <c r="J304" s="35">
        <v>0.46180555555555558</v>
      </c>
      <c r="K304" s="36">
        <v>42010</v>
      </c>
      <c r="L304" s="35">
        <v>0.4284722222222222</v>
      </c>
      <c r="M304" s="37">
        <f>10080-48</f>
        <v>10032</v>
      </c>
      <c r="N304" s="38">
        <f t="shared" si="14"/>
        <v>167.2</v>
      </c>
      <c r="O304" s="37">
        <v>5</v>
      </c>
      <c r="P304" s="18" t="s">
        <v>107</v>
      </c>
      <c r="Q304" s="26">
        <v>42006</v>
      </c>
      <c r="R304" s="27">
        <v>0.28263888888888888</v>
      </c>
      <c r="S304" s="18">
        <v>3</v>
      </c>
      <c r="T304" s="18">
        <v>1</v>
      </c>
      <c r="U304" s="25">
        <v>1</v>
      </c>
      <c r="V304" s="22">
        <v>0</v>
      </c>
      <c r="W304" s="20">
        <v>1</v>
      </c>
      <c r="X304" s="24">
        <v>0</v>
      </c>
      <c r="Y304" s="25">
        <v>0</v>
      </c>
      <c r="Z304" s="25">
        <v>0</v>
      </c>
      <c r="AA304" s="25">
        <v>0</v>
      </c>
      <c r="AB304" s="25"/>
      <c r="AC304" s="25"/>
    </row>
    <row r="305" spans="1:42">
      <c r="A305" s="119">
        <v>305.455357142857</v>
      </c>
      <c r="B305" s="18">
        <v>5</v>
      </c>
      <c r="C305" s="18" t="s">
        <v>258</v>
      </c>
      <c r="D305" s="18">
        <v>8</v>
      </c>
      <c r="E305" s="18">
        <v>0</v>
      </c>
      <c r="I305" s="34">
        <v>42003</v>
      </c>
      <c r="J305" s="35">
        <v>0.46180555555555558</v>
      </c>
      <c r="K305" s="36">
        <v>42010</v>
      </c>
      <c r="L305" s="35">
        <v>0.4284722222222222</v>
      </c>
      <c r="M305" s="37">
        <f>10080-48</f>
        <v>10032</v>
      </c>
      <c r="N305" s="38">
        <f t="shared" si="14"/>
        <v>167.2</v>
      </c>
      <c r="O305" s="37">
        <v>5</v>
      </c>
      <c r="P305" s="18" t="s">
        <v>120</v>
      </c>
      <c r="Q305" s="26">
        <v>42008</v>
      </c>
      <c r="R305" s="27">
        <v>0.22916666666666666</v>
      </c>
      <c r="S305" s="18">
        <v>3</v>
      </c>
      <c r="T305" s="18">
        <v>2</v>
      </c>
      <c r="U305" s="25">
        <v>1</v>
      </c>
      <c r="V305" s="22">
        <v>0</v>
      </c>
      <c r="W305" s="20">
        <v>0</v>
      </c>
      <c r="X305" s="24">
        <v>0</v>
      </c>
      <c r="Y305" s="25">
        <v>0</v>
      </c>
      <c r="Z305" s="25">
        <v>1</v>
      </c>
      <c r="AA305" s="25">
        <v>1</v>
      </c>
      <c r="AB305" s="25"/>
      <c r="AC305" s="25"/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</row>
    <row r="306" spans="1:42">
      <c r="A306" s="119">
        <v>306.65816326530597</v>
      </c>
      <c r="B306" s="18">
        <v>5</v>
      </c>
      <c r="C306" s="18" t="s">
        <v>258</v>
      </c>
      <c r="D306" s="18">
        <v>8</v>
      </c>
      <c r="E306" s="18">
        <v>0</v>
      </c>
      <c r="I306" s="34">
        <v>42003</v>
      </c>
      <c r="J306" s="35">
        <v>0.46180555555555558</v>
      </c>
      <c r="K306" s="36">
        <v>42010</v>
      </c>
      <c r="L306" s="35">
        <v>0.4284722222222222</v>
      </c>
      <c r="M306" s="37">
        <f>10080-48</f>
        <v>10032</v>
      </c>
      <c r="N306" s="38">
        <f t="shared" si="14"/>
        <v>167.2</v>
      </c>
      <c r="O306" s="37">
        <v>5</v>
      </c>
      <c r="P306" s="18" t="s">
        <v>139</v>
      </c>
      <c r="Q306" s="26">
        <v>42010</v>
      </c>
      <c r="R306" s="27">
        <v>0.28888888888888892</v>
      </c>
      <c r="S306" s="18">
        <v>3</v>
      </c>
      <c r="T306" s="18">
        <v>1</v>
      </c>
      <c r="U306" s="25">
        <v>0</v>
      </c>
      <c r="V306" s="22">
        <v>0</v>
      </c>
      <c r="W306" s="20">
        <v>0</v>
      </c>
      <c r="X306" s="24">
        <v>0</v>
      </c>
      <c r="Y306" s="25">
        <v>0</v>
      </c>
      <c r="Z306" s="25">
        <v>0</v>
      </c>
      <c r="AA306" s="25">
        <v>1</v>
      </c>
      <c r="AB306" s="25"/>
      <c r="AC306" s="25"/>
    </row>
    <row r="307" spans="1:42">
      <c r="A307" s="119">
        <v>307.86096938775501</v>
      </c>
      <c r="B307" s="18">
        <v>6</v>
      </c>
      <c r="C307" s="18" t="s">
        <v>259</v>
      </c>
      <c r="D307" s="18">
        <v>7</v>
      </c>
      <c r="E307" s="18">
        <v>0</v>
      </c>
      <c r="I307" s="34">
        <v>42003</v>
      </c>
      <c r="J307" s="35">
        <v>0.48958333333333331</v>
      </c>
      <c r="K307" s="36">
        <v>42010</v>
      </c>
      <c r="L307" s="35">
        <v>0.46458333333333335</v>
      </c>
      <c r="M307" s="37">
        <f>10080-36</f>
        <v>10044</v>
      </c>
      <c r="N307" s="38">
        <f t="shared" si="14"/>
        <v>167.4</v>
      </c>
      <c r="O307" s="37">
        <v>3</v>
      </c>
      <c r="P307" s="18" t="s">
        <v>101</v>
      </c>
      <c r="Q307" s="26">
        <v>42003</v>
      </c>
      <c r="R307" s="27">
        <v>0.55902777777777779</v>
      </c>
      <c r="S307" s="18">
        <v>3</v>
      </c>
      <c r="T307" s="18">
        <v>2</v>
      </c>
      <c r="U307" s="25">
        <v>1</v>
      </c>
      <c r="V307" s="22">
        <v>0</v>
      </c>
      <c r="W307" s="20">
        <v>0</v>
      </c>
      <c r="X307" s="24">
        <v>0</v>
      </c>
      <c r="Y307" s="25">
        <v>0</v>
      </c>
      <c r="Z307" s="25">
        <v>1</v>
      </c>
      <c r="AA307" s="25">
        <v>0</v>
      </c>
      <c r="AB307" s="25"/>
      <c r="AC307" s="25"/>
    </row>
    <row r="308" spans="1:42">
      <c r="A308" s="119">
        <v>309.06377551020398</v>
      </c>
      <c r="B308" s="18">
        <v>6</v>
      </c>
      <c r="C308" s="18" t="s">
        <v>259</v>
      </c>
      <c r="D308" s="18">
        <v>7</v>
      </c>
      <c r="E308" s="18">
        <v>0</v>
      </c>
      <c r="I308" s="34">
        <v>42003</v>
      </c>
      <c r="J308" s="35">
        <v>0.48958333333333331</v>
      </c>
      <c r="K308" s="36">
        <v>42010</v>
      </c>
      <c r="L308" s="35">
        <v>0.46458333333333335</v>
      </c>
      <c r="M308" s="37">
        <f>10080-36</f>
        <v>10044</v>
      </c>
      <c r="N308" s="38">
        <f t="shared" si="14"/>
        <v>167.4</v>
      </c>
      <c r="O308" s="37">
        <v>3</v>
      </c>
      <c r="P308" s="18" t="s">
        <v>104</v>
      </c>
      <c r="Q308" s="26">
        <v>42008</v>
      </c>
      <c r="R308" s="27">
        <v>0.4236111111111111</v>
      </c>
      <c r="S308" s="18">
        <v>3</v>
      </c>
      <c r="T308" s="18">
        <v>1</v>
      </c>
      <c r="U308" s="25">
        <v>0</v>
      </c>
      <c r="V308" s="22">
        <v>0</v>
      </c>
      <c r="W308" s="20">
        <v>0</v>
      </c>
      <c r="X308" s="24">
        <v>0</v>
      </c>
      <c r="Y308" s="25">
        <v>0</v>
      </c>
      <c r="Z308" s="25">
        <v>0</v>
      </c>
      <c r="AA308" s="25">
        <v>1</v>
      </c>
      <c r="AB308" s="25"/>
      <c r="AC308" s="25"/>
    </row>
    <row r="309" spans="1:42">
      <c r="A309" s="119">
        <v>310.26658163265301</v>
      </c>
      <c r="B309" s="18">
        <v>6</v>
      </c>
      <c r="C309" s="18" t="s">
        <v>259</v>
      </c>
      <c r="D309" s="18">
        <v>7</v>
      </c>
      <c r="E309" s="18">
        <v>0</v>
      </c>
      <c r="I309" s="34">
        <v>42003</v>
      </c>
      <c r="J309" s="35">
        <v>0.48958333333333331</v>
      </c>
      <c r="K309" s="36">
        <v>42010</v>
      </c>
      <c r="L309" s="35">
        <v>0.46458333333333335</v>
      </c>
      <c r="M309" s="37">
        <f>10080-36</f>
        <v>10044</v>
      </c>
      <c r="N309" s="38">
        <f t="shared" si="14"/>
        <v>167.4</v>
      </c>
      <c r="O309" s="37">
        <v>3</v>
      </c>
      <c r="P309" s="18" t="s">
        <v>107</v>
      </c>
      <c r="Q309" s="26">
        <v>42009</v>
      </c>
      <c r="R309" s="27">
        <v>0.70208333333333339</v>
      </c>
      <c r="S309" s="18">
        <v>3</v>
      </c>
      <c r="T309" s="18">
        <v>2</v>
      </c>
      <c r="U309" s="25">
        <v>1</v>
      </c>
      <c r="V309" s="22">
        <v>0</v>
      </c>
      <c r="W309" s="20">
        <v>0</v>
      </c>
      <c r="X309" s="24">
        <v>0</v>
      </c>
      <c r="Y309" s="25">
        <v>0</v>
      </c>
      <c r="Z309" s="25">
        <v>1</v>
      </c>
      <c r="AA309" s="25">
        <v>1</v>
      </c>
      <c r="AB309" s="25"/>
      <c r="AC309" s="25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</row>
    <row r="310" spans="1:42">
      <c r="A310" s="119">
        <v>311.46938775510199</v>
      </c>
      <c r="B310" s="18">
        <v>7</v>
      </c>
      <c r="C310" s="18" t="s">
        <v>260</v>
      </c>
      <c r="D310" s="18">
        <v>7</v>
      </c>
      <c r="E310" s="18">
        <v>0</v>
      </c>
      <c r="I310" s="34">
        <v>42004</v>
      </c>
      <c r="J310" s="35">
        <v>0.40486111111111112</v>
      </c>
      <c r="K310" s="36">
        <v>42011</v>
      </c>
      <c r="L310" s="35">
        <v>0.38611111111111113</v>
      </c>
      <c r="M310" s="37">
        <f>10080-27</f>
        <v>10053</v>
      </c>
      <c r="N310" s="38">
        <f t="shared" si="14"/>
        <v>167.55</v>
      </c>
      <c r="O310" s="37">
        <v>0</v>
      </c>
      <c r="Q310" s="26"/>
      <c r="R310" s="27"/>
      <c r="Y310" s="25"/>
      <c r="Z310" s="25"/>
      <c r="AA310" s="25"/>
      <c r="AB310" s="25"/>
      <c r="AC310" s="25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</row>
    <row r="311" spans="1:42" s="125" customFormat="1">
      <c r="A311" s="137">
        <v>312.67219387755102</v>
      </c>
      <c r="B311" s="125">
        <v>8</v>
      </c>
      <c r="C311" s="125" t="s">
        <v>261</v>
      </c>
      <c r="D311" s="125">
        <v>6</v>
      </c>
      <c r="E311" s="125">
        <v>0</v>
      </c>
      <c r="I311" s="126">
        <v>42004</v>
      </c>
      <c r="J311" s="127">
        <v>0.42499999999999999</v>
      </c>
      <c r="K311" s="128">
        <v>42011</v>
      </c>
      <c r="L311" s="127">
        <v>0.40208333333333335</v>
      </c>
      <c r="M311" s="129">
        <f>10080-33</f>
        <v>10047</v>
      </c>
      <c r="N311" s="130">
        <f t="shared" si="14"/>
        <v>167.45</v>
      </c>
      <c r="O311" s="129">
        <v>3</v>
      </c>
      <c r="P311" s="125" t="s">
        <v>104</v>
      </c>
      <c r="Q311" s="131">
        <v>42006</v>
      </c>
      <c r="R311" s="132">
        <v>4.8611111111111112E-2</v>
      </c>
      <c r="S311" s="125">
        <v>1</v>
      </c>
      <c r="T311" s="125">
        <v>1</v>
      </c>
      <c r="U311" s="125">
        <v>1</v>
      </c>
      <c r="V311" s="134">
        <v>1</v>
      </c>
      <c r="W311" s="133">
        <v>0</v>
      </c>
      <c r="X311" s="135">
        <v>0</v>
      </c>
      <c r="Y311" s="133">
        <v>0</v>
      </c>
      <c r="Z311" s="133">
        <v>0</v>
      </c>
      <c r="AA311" s="133">
        <v>0</v>
      </c>
      <c r="AB311" s="133"/>
      <c r="AC311" s="133"/>
      <c r="AE311" s="130"/>
      <c r="AF311" s="125" t="s">
        <v>262</v>
      </c>
      <c r="AG311" s="18"/>
      <c r="AH311" s="18"/>
      <c r="AI311" s="18"/>
      <c r="AJ311" s="18"/>
      <c r="AK311" s="18"/>
      <c r="AL311" s="18"/>
      <c r="AM311" s="18"/>
      <c r="AN311" s="18"/>
      <c r="AO311" s="18"/>
      <c r="AP311" s="18"/>
    </row>
    <row r="312" spans="1:42">
      <c r="A312" s="119">
        <v>313.875</v>
      </c>
      <c r="B312" s="18">
        <v>8</v>
      </c>
      <c r="C312" s="18" t="s">
        <v>261</v>
      </c>
      <c r="D312" s="18">
        <v>6</v>
      </c>
      <c r="E312" s="18">
        <v>0</v>
      </c>
      <c r="I312" s="34">
        <v>42004</v>
      </c>
      <c r="J312" s="35">
        <v>0.42499999999999999</v>
      </c>
      <c r="K312" s="36">
        <v>42011</v>
      </c>
      <c r="L312" s="35">
        <v>0.40208333333333335</v>
      </c>
      <c r="M312" s="37">
        <f>10080-33</f>
        <v>10047</v>
      </c>
      <c r="N312" s="38">
        <f t="shared" si="14"/>
        <v>167.45</v>
      </c>
      <c r="O312" s="37">
        <v>3</v>
      </c>
      <c r="P312" s="18" t="s">
        <v>107</v>
      </c>
      <c r="Q312" s="26">
        <v>42007</v>
      </c>
      <c r="R312" s="27">
        <v>0.22777777777777777</v>
      </c>
      <c r="S312" s="18">
        <v>3</v>
      </c>
      <c r="T312" s="18">
        <v>1</v>
      </c>
      <c r="U312" s="18">
        <v>1</v>
      </c>
      <c r="V312" s="22">
        <v>0</v>
      </c>
      <c r="W312" s="20">
        <v>0</v>
      </c>
      <c r="X312" s="24">
        <v>0</v>
      </c>
      <c r="Y312" s="25">
        <v>0</v>
      </c>
      <c r="Z312" s="25">
        <v>0</v>
      </c>
      <c r="AA312" s="25">
        <v>1</v>
      </c>
      <c r="AB312" s="25"/>
      <c r="AC312" s="25"/>
    </row>
    <row r="313" spans="1:42">
      <c r="A313" s="119">
        <v>315.07780612244898</v>
      </c>
      <c r="B313" s="18">
        <v>8</v>
      </c>
      <c r="C313" s="18" t="s">
        <v>261</v>
      </c>
      <c r="D313" s="18">
        <v>6</v>
      </c>
      <c r="E313" s="18">
        <v>0</v>
      </c>
      <c r="I313" s="34">
        <v>42004</v>
      </c>
      <c r="J313" s="35">
        <v>0.42499999999999999</v>
      </c>
      <c r="K313" s="36">
        <v>42011</v>
      </c>
      <c r="L313" s="35">
        <v>0.40208333333333335</v>
      </c>
      <c r="M313" s="37">
        <f>10080-33</f>
        <v>10047</v>
      </c>
      <c r="N313" s="38">
        <f t="shared" si="14"/>
        <v>167.45</v>
      </c>
      <c r="O313" s="37">
        <v>3</v>
      </c>
      <c r="P313" s="18" t="s">
        <v>92</v>
      </c>
      <c r="Q313" s="26">
        <v>42010</v>
      </c>
      <c r="R313" s="27">
        <v>0.28333333333333333</v>
      </c>
      <c r="S313" s="18">
        <v>3</v>
      </c>
      <c r="T313" s="18">
        <v>1</v>
      </c>
      <c r="U313" s="18">
        <v>1</v>
      </c>
      <c r="V313" s="22">
        <v>1</v>
      </c>
      <c r="W313" s="20">
        <v>0</v>
      </c>
      <c r="X313" s="24">
        <v>0</v>
      </c>
      <c r="Y313" s="25">
        <v>0</v>
      </c>
      <c r="Z313" s="25">
        <v>0</v>
      </c>
      <c r="AA313" s="25">
        <v>0</v>
      </c>
      <c r="AB313" s="25"/>
      <c r="AC313" s="25"/>
    </row>
    <row r="314" spans="1:42" s="140" customFormat="1">
      <c r="A314" s="139">
        <v>316.28061224489699</v>
      </c>
      <c r="B314" s="140">
        <v>9</v>
      </c>
      <c r="C314" s="140" t="s">
        <v>263</v>
      </c>
      <c r="D314" s="140">
        <v>7</v>
      </c>
      <c r="E314" s="140">
        <v>0</v>
      </c>
      <c r="I314" s="142">
        <v>42004</v>
      </c>
      <c r="J314" s="143">
        <v>0.44791666666666669</v>
      </c>
      <c r="K314" s="144">
        <v>42011</v>
      </c>
      <c r="L314" s="143">
        <v>0.4145833333333333</v>
      </c>
      <c r="M314" s="145">
        <f>10080-48</f>
        <v>10032</v>
      </c>
      <c r="N314" s="146">
        <f t="shared" si="14"/>
        <v>167.2</v>
      </c>
      <c r="O314" s="145">
        <v>5</v>
      </c>
      <c r="P314" s="140" t="s">
        <v>104</v>
      </c>
      <c r="Q314" s="147">
        <v>42006</v>
      </c>
      <c r="R314" s="148">
        <v>5.8333333333333327E-2</v>
      </c>
      <c r="S314" s="140">
        <v>1</v>
      </c>
      <c r="T314" s="140">
        <v>1</v>
      </c>
      <c r="U314" s="140">
        <v>1</v>
      </c>
      <c r="V314" s="149">
        <v>0</v>
      </c>
      <c r="W314" s="141">
        <v>0</v>
      </c>
      <c r="X314" s="150">
        <v>0</v>
      </c>
      <c r="Y314" s="141">
        <v>0</v>
      </c>
      <c r="Z314" s="141">
        <v>0</v>
      </c>
      <c r="AA314" s="141">
        <v>1</v>
      </c>
      <c r="AB314" s="141">
        <v>10</v>
      </c>
      <c r="AC314" s="141">
        <v>4.4800000000000004</v>
      </c>
      <c r="AD314" s="141">
        <v>1.88</v>
      </c>
      <c r="AE314" s="146">
        <v>0.47</v>
      </c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</row>
    <row r="315" spans="1:42">
      <c r="A315" s="119">
        <v>317.48341836734699</v>
      </c>
      <c r="B315" s="18">
        <v>9</v>
      </c>
      <c r="C315" s="18" t="s">
        <v>263</v>
      </c>
      <c r="D315" s="18">
        <v>7</v>
      </c>
      <c r="E315" s="18">
        <v>0</v>
      </c>
      <c r="I315" s="34">
        <v>42004</v>
      </c>
      <c r="J315" s="35">
        <v>0.44791666666666669</v>
      </c>
      <c r="K315" s="36">
        <v>42011</v>
      </c>
      <c r="L315" s="35">
        <v>0.4145833333333333</v>
      </c>
      <c r="M315" s="37">
        <f>10080-48</f>
        <v>10032</v>
      </c>
      <c r="N315" s="38">
        <f t="shared" si="14"/>
        <v>167.2</v>
      </c>
      <c r="O315" s="37">
        <v>5</v>
      </c>
      <c r="P315" s="18" t="s">
        <v>84</v>
      </c>
      <c r="Q315" s="26">
        <v>42006</v>
      </c>
      <c r="R315" s="27">
        <v>0.36180555555555555</v>
      </c>
      <c r="S315" s="18">
        <v>1</v>
      </c>
      <c r="T315" s="18">
        <v>1</v>
      </c>
      <c r="U315" s="18">
        <v>1</v>
      </c>
      <c r="V315" s="22">
        <v>0</v>
      </c>
      <c r="W315" s="20">
        <v>0</v>
      </c>
      <c r="X315" s="24">
        <v>0</v>
      </c>
      <c r="Y315" s="25">
        <v>0</v>
      </c>
      <c r="Z315" s="25">
        <v>0</v>
      </c>
      <c r="AA315" s="25">
        <v>1</v>
      </c>
      <c r="AB315" s="25"/>
      <c r="AC315" s="25"/>
    </row>
    <row r="316" spans="1:42">
      <c r="A316" s="119">
        <v>318.68622448979602</v>
      </c>
      <c r="B316" s="18">
        <v>9</v>
      </c>
      <c r="C316" s="18" t="s">
        <v>263</v>
      </c>
      <c r="D316" s="18">
        <v>7</v>
      </c>
      <c r="E316" s="18">
        <v>0</v>
      </c>
      <c r="I316" s="34">
        <v>42004</v>
      </c>
      <c r="J316" s="35">
        <v>0.44791666666666669</v>
      </c>
      <c r="K316" s="36">
        <v>42011</v>
      </c>
      <c r="L316" s="35">
        <v>0.4145833333333333</v>
      </c>
      <c r="M316" s="37">
        <f>10080-48</f>
        <v>10032</v>
      </c>
      <c r="N316" s="38">
        <f t="shared" si="14"/>
        <v>167.2</v>
      </c>
      <c r="O316" s="37">
        <v>5</v>
      </c>
      <c r="P316" s="18" t="s">
        <v>119</v>
      </c>
      <c r="Q316" s="26">
        <v>42006</v>
      </c>
      <c r="R316" s="27">
        <v>0.59930555555555554</v>
      </c>
      <c r="S316" s="18">
        <v>1</v>
      </c>
      <c r="T316" s="18">
        <v>1</v>
      </c>
      <c r="U316" s="18">
        <v>1</v>
      </c>
      <c r="V316" s="22">
        <v>1</v>
      </c>
      <c r="W316" s="20">
        <v>0</v>
      </c>
      <c r="X316" s="24">
        <v>0</v>
      </c>
      <c r="Y316" s="25">
        <v>0</v>
      </c>
      <c r="Z316" s="25">
        <v>0</v>
      </c>
      <c r="AA316" s="25">
        <v>0</v>
      </c>
    </row>
    <row r="317" spans="1:42">
      <c r="A317" s="119">
        <v>319.88903061224403</v>
      </c>
      <c r="B317" s="18">
        <v>9</v>
      </c>
      <c r="C317" s="18" t="s">
        <v>263</v>
      </c>
      <c r="D317" s="18">
        <v>7</v>
      </c>
      <c r="E317" s="18">
        <v>0</v>
      </c>
      <c r="I317" s="34">
        <v>42004</v>
      </c>
      <c r="J317" s="35">
        <v>0.44791666666666669</v>
      </c>
      <c r="K317" s="36">
        <v>42011</v>
      </c>
      <c r="L317" s="35">
        <v>0.4145833333333333</v>
      </c>
      <c r="M317" s="37">
        <f>10080-48</f>
        <v>10032</v>
      </c>
      <c r="N317" s="38">
        <f t="shared" si="14"/>
        <v>167.2</v>
      </c>
      <c r="O317" s="37">
        <v>5</v>
      </c>
      <c r="P317" s="18" t="s">
        <v>120</v>
      </c>
      <c r="Q317" s="26">
        <v>41641</v>
      </c>
      <c r="R317" s="27">
        <v>0.74722222222222223</v>
      </c>
      <c r="S317" s="18">
        <v>1</v>
      </c>
      <c r="T317" s="18">
        <v>2</v>
      </c>
      <c r="U317" s="18">
        <v>1</v>
      </c>
      <c r="V317" s="22">
        <v>1</v>
      </c>
      <c r="W317" s="20">
        <v>0</v>
      </c>
      <c r="X317" s="24">
        <v>1</v>
      </c>
      <c r="Y317" s="25">
        <v>0</v>
      </c>
      <c r="Z317" s="25">
        <v>0</v>
      </c>
      <c r="AA317" s="25">
        <v>0</v>
      </c>
    </row>
    <row r="318" spans="1:42">
      <c r="A318" s="119">
        <v>321.09183673469403</v>
      </c>
      <c r="B318" s="18">
        <v>9</v>
      </c>
      <c r="C318" s="18" t="s">
        <v>263</v>
      </c>
      <c r="D318" s="18">
        <v>7</v>
      </c>
      <c r="E318" s="18">
        <v>0</v>
      </c>
      <c r="I318" s="34">
        <v>42004</v>
      </c>
      <c r="J318" s="35">
        <v>0.44791666666666669</v>
      </c>
      <c r="K318" s="36">
        <v>42011</v>
      </c>
      <c r="L318" s="35">
        <v>0.4145833333333333</v>
      </c>
      <c r="M318" s="37">
        <f>10080-48</f>
        <v>10032</v>
      </c>
      <c r="N318" s="38">
        <f t="shared" si="14"/>
        <v>167.2</v>
      </c>
      <c r="O318" s="37">
        <v>5</v>
      </c>
      <c r="P318" s="18" t="s">
        <v>139</v>
      </c>
      <c r="Q318" s="26">
        <v>42009</v>
      </c>
      <c r="R318" s="27">
        <v>0.35833333333333334</v>
      </c>
      <c r="S318" s="18">
        <v>1</v>
      </c>
      <c r="T318" s="18">
        <v>1</v>
      </c>
      <c r="U318" s="18">
        <v>1</v>
      </c>
      <c r="V318" s="22">
        <v>0</v>
      </c>
      <c r="W318" s="20">
        <v>0</v>
      </c>
      <c r="X318" s="24">
        <v>0</v>
      </c>
      <c r="Y318" s="25">
        <v>0</v>
      </c>
      <c r="Z318" s="25">
        <v>0</v>
      </c>
      <c r="AA318" s="25">
        <v>1</v>
      </c>
    </row>
    <row r="319" spans="1:42">
      <c r="A319" s="119">
        <v>322.29464285714198</v>
      </c>
      <c r="B319" s="18">
        <v>10</v>
      </c>
      <c r="C319" s="18" t="s">
        <v>264</v>
      </c>
      <c r="D319" s="18">
        <v>7</v>
      </c>
      <c r="E319" s="18">
        <v>0</v>
      </c>
      <c r="H319" s="28"/>
      <c r="I319" s="34">
        <v>42004</v>
      </c>
      <c r="J319" s="35">
        <v>0.4777777777777778</v>
      </c>
      <c r="K319" s="36">
        <v>42011</v>
      </c>
      <c r="L319" s="35">
        <v>0.43611111111111112</v>
      </c>
      <c r="M319" s="37">
        <f>10080-60</f>
        <v>10020</v>
      </c>
      <c r="N319" s="38">
        <f t="shared" ref="N319:N346" si="18">VALUE(M319/60)</f>
        <v>167</v>
      </c>
      <c r="O319" s="37">
        <v>4</v>
      </c>
      <c r="P319" s="18" t="s">
        <v>92</v>
      </c>
      <c r="Q319" s="26">
        <v>42008</v>
      </c>
      <c r="R319" s="27">
        <v>0.27847222222222223</v>
      </c>
      <c r="S319" s="18">
        <v>3</v>
      </c>
      <c r="T319" s="18">
        <v>1</v>
      </c>
      <c r="U319" s="18">
        <v>0</v>
      </c>
      <c r="V319" s="22">
        <v>0</v>
      </c>
      <c r="W319" s="20">
        <v>0</v>
      </c>
      <c r="X319" s="24">
        <v>0</v>
      </c>
      <c r="Y319" s="25">
        <v>0</v>
      </c>
      <c r="Z319" s="25">
        <v>0</v>
      </c>
      <c r="AA319" s="25">
        <v>1</v>
      </c>
    </row>
    <row r="320" spans="1:42">
      <c r="A320" s="119">
        <v>323.49744897959101</v>
      </c>
      <c r="B320" s="18">
        <v>10</v>
      </c>
      <c r="C320" s="18" t="s">
        <v>264</v>
      </c>
      <c r="D320" s="18">
        <v>7</v>
      </c>
      <c r="E320" s="18">
        <v>0</v>
      </c>
      <c r="H320" s="28"/>
      <c r="I320" s="34">
        <v>42004</v>
      </c>
      <c r="J320" s="35">
        <v>0.4777777777777778</v>
      </c>
      <c r="K320" s="36">
        <v>42011</v>
      </c>
      <c r="L320" s="35">
        <v>0.43611111111111112</v>
      </c>
      <c r="M320" s="37">
        <f>10080-60</f>
        <v>10020</v>
      </c>
      <c r="N320" s="38">
        <f t="shared" si="18"/>
        <v>167</v>
      </c>
      <c r="O320" s="37">
        <v>4</v>
      </c>
      <c r="P320" s="18" t="s">
        <v>119</v>
      </c>
      <c r="Q320" s="26">
        <v>42008</v>
      </c>
      <c r="R320" s="27">
        <v>0.37083333333333335</v>
      </c>
      <c r="S320" s="18">
        <v>5</v>
      </c>
      <c r="T320" s="18">
        <v>1</v>
      </c>
      <c r="U320" s="18">
        <v>1</v>
      </c>
      <c r="V320" s="22">
        <v>0</v>
      </c>
      <c r="W320" s="20">
        <v>0</v>
      </c>
      <c r="X320" s="24">
        <v>0</v>
      </c>
      <c r="Y320" s="25">
        <v>0</v>
      </c>
      <c r="Z320" s="25">
        <v>0</v>
      </c>
      <c r="AA320" s="25">
        <v>1</v>
      </c>
    </row>
    <row r="321" spans="1:42" s="125" customFormat="1">
      <c r="A321" s="137">
        <v>324.70025510203999</v>
      </c>
      <c r="B321" s="125">
        <v>10</v>
      </c>
      <c r="C321" s="125" t="s">
        <v>264</v>
      </c>
      <c r="D321" s="125">
        <v>7</v>
      </c>
      <c r="E321" s="125">
        <v>0</v>
      </c>
      <c r="H321" s="136"/>
      <c r="I321" s="126">
        <v>42004</v>
      </c>
      <c r="J321" s="127">
        <v>0.4777777777777778</v>
      </c>
      <c r="K321" s="128">
        <v>42011</v>
      </c>
      <c r="L321" s="127">
        <v>0.43611111111111112</v>
      </c>
      <c r="M321" s="129">
        <f>10080-60</f>
        <v>10020</v>
      </c>
      <c r="N321" s="130">
        <f t="shared" si="18"/>
        <v>167</v>
      </c>
      <c r="O321" s="129">
        <v>4</v>
      </c>
      <c r="P321" s="125" t="s">
        <v>120</v>
      </c>
      <c r="Q321" s="131">
        <v>42009</v>
      </c>
      <c r="R321" s="132">
        <v>5.486111111111111E-2</v>
      </c>
      <c r="S321" s="125">
        <v>1</v>
      </c>
      <c r="T321" s="125">
        <v>1</v>
      </c>
      <c r="U321" s="125">
        <v>1</v>
      </c>
      <c r="V321" s="134">
        <v>1</v>
      </c>
      <c r="W321" s="133">
        <v>0</v>
      </c>
      <c r="X321" s="135">
        <v>0</v>
      </c>
      <c r="Y321" s="125">
        <v>0</v>
      </c>
      <c r="Z321" s="125">
        <v>0</v>
      </c>
      <c r="AA321" s="125">
        <v>0</v>
      </c>
      <c r="AE321" s="130"/>
      <c r="AF321" s="125" t="s">
        <v>262</v>
      </c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</row>
    <row r="322" spans="1:42">
      <c r="A322" s="119">
        <v>325.90306122448902</v>
      </c>
      <c r="B322" s="18">
        <v>10</v>
      </c>
      <c r="C322" s="18" t="s">
        <v>264</v>
      </c>
      <c r="D322" s="18">
        <v>7</v>
      </c>
      <c r="E322" s="18">
        <v>0</v>
      </c>
      <c r="H322" s="28"/>
      <c r="I322" s="34">
        <v>42004</v>
      </c>
      <c r="J322" s="35">
        <v>0.4777777777777778</v>
      </c>
      <c r="K322" s="36">
        <v>42011</v>
      </c>
      <c r="L322" s="35">
        <v>0.43611111111111112</v>
      </c>
      <c r="M322" s="37">
        <f>10080-60</f>
        <v>10020</v>
      </c>
      <c r="N322" s="38">
        <f t="shared" si="18"/>
        <v>167</v>
      </c>
      <c r="O322" s="37">
        <v>4</v>
      </c>
      <c r="P322" s="18" t="s">
        <v>297</v>
      </c>
      <c r="Q322" s="26">
        <v>42009</v>
      </c>
      <c r="R322" s="27">
        <v>0.21041666666666667</v>
      </c>
      <c r="S322" s="18">
        <v>3</v>
      </c>
      <c r="T322" s="18">
        <v>1</v>
      </c>
      <c r="U322" s="18">
        <v>1</v>
      </c>
      <c r="V322" s="22">
        <v>0</v>
      </c>
      <c r="W322" s="20">
        <v>1</v>
      </c>
      <c r="X322" s="24">
        <v>0</v>
      </c>
      <c r="Y322" s="25">
        <v>0</v>
      </c>
      <c r="Z322" s="25">
        <v>0</v>
      </c>
      <c r="AA322" s="25">
        <v>0</v>
      </c>
    </row>
    <row r="323" spans="1:42">
      <c r="A323" s="119">
        <v>327.10586734693402</v>
      </c>
      <c r="B323" s="18">
        <v>11</v>
      </c>
      <c r="C323" s="18" t="s">
        <v>266</v>
      </c>
      <c r="D323" s="18">
        <v>5</v>
      </c>
      <c r="E323" s="18">
        <v>0</v>
      </c>
      <c r="H323" s="28"/>
      <c r="I323" s="34">
        <v>42004</v>
      </c>
      <c r="J323" s="35">
        <v>0.49305555555555558</v>
      </c>
      <c r="K323" s="36">
        <v>42011</v>
      </c>
      <c r="L323" s="35">
        <v>0.45069444444444445</v>
      </c>
      <c r="M323" s="37">
        <f>10080-61</f>
        <v>10019</v>
      </c>
      <c r="N323" s="38">
        <f t="shared" si="18"/>
        <v>166.98333333333332</v>
      </c>
      <c r="O323" s="37">
        <v>5</v>
      </c>
      <c r="P323" s="18" t="s">
        <v>100</v>
      </c>
      <c r="Q323" s="26">
        <v>42005</v>
      </c>
      <c r="R323" s="27">
        <v>0.50277777777777777</v>
      </c>
      <c r="S323" s="18">
        <v>10</v>
      </c>
      <c r="T323" s="18">
        <v>1</v>
      </c>
      <c r="U323" s="18">
        <v>0</v>
      </c>
      <c r="V323" s="22">
        <v>0</v>
      </c>
      <c r="W323" s="20">
        <v>0</v>
      </c>
      <c r="X323" s="24">
        <v>0</v>
      </c>
      <c r="Y323" s="25">
        <v>0</v>
      </c>
      <c r="Z323" s="25">
        <v>0</v>
      </c>
      <c r="AA323" s="25">
        <v>1</v>
      </c>
      <c r="AG323" s="125"/>
      <c r="AH323" s="125"/>
      <c r="AI323" s="125"/>
      <c r="AJ323" s="125"/>
      <c r="AK323" s="125"/>
      <c r="AL323" s="125"/>
      <c r="AM323" s="125"/>
      <c r="AN323" s="125"/>
      <c r="AO323" s="125"/>
      <c r="AP323" s="125"/>
    </row>
    <row r="324" spans="1:42">
      <c r="A324" s="119">
        <v>328.30867346938197</v>
      </c>
      <c r="B324" s="18">
        <v>11</v>
      </c>
      <c r="C324" s="18" t="s">
        <v>266</v>
      </c>
      <c r="D324" s="18">
        <v>5</v>
      </c>
      <c r="E324" s="18">
        <v>0</v>
      </c>
      <c r="H324" s="28"/>
      <c r="I324" s="34">
        <v>42004</v>
      </c>
      <c r="J324" s="35">
        <v>0.49305555555555558</v>
      </c>
      <c r="K324" s="36">
        <v>42011</v>
      </c>
      <c r="L324" s="35">
        <v>0.45069444444444445</v>
      </c>
      <c r="M324" s="37">
        <f>10080-61</f>
        <v>10019</v>
      </c>
      <c r="N324" s="38">
        <f t="shared" si="18"/>
        <v>166.98333333333332</v>
      </c>
      <c r="O324" s="37">
        <v>5</v>
      </c>
      <c r="P324" s="18" t="s">
        <v>101</v>
      </c>
      <c r="Q324" s="26">
        <v>42005</v>
      </c>
      <c r="R324" s="27">
        <v>0.56111111111111112</v>
      </c>
      <c r="S324" s="18">
        <v>3</v>
      </c>
      <c r="T324" s="18">
        <v>1</v>
      </c>
      <c r="U324" s="18">
        <v>1</v>
      </c>
      <c r="V324" s="22">
        <v>0</v>
      </c>
      <c r="W324" s="20">
        <v>1</v>
      </c>
      <c r="X324" s="24">
        <v>0</v>
      </c>
      <c r="Y324" s="25">
        <v>0</v>
      </c>
      <c r="Z324" s="25">
        <v>0</v>
      </c>
      <c r="AA324" s="25">
        <v>0</v>
      </c>
    </row>
    <row r="325" spans="1:42">
      <c r="A325" s="119">
        <v>329.51147959182998</v>
      </c>
      <c r="B325" s="18">
        <v>11</v>
      </c>
      <c r="C325" s="18" t="s">
        <v>266</v>
      </c>
      <c r="D325" s="18">
        <v>5</v>
      </c>
      <c r="E325" s="18">
        <v>0</v>
      </c>
      <c r="H325" s="28"/>
      <c r="I325" s="34">
        <v>42004</v>
      </c>
      <c r="J325" s="35">
        <v>0.49305555555555558</v>
      </c>
      <c r="K325" s="36">
        <v>42011</v>
      </c>
      <c r="L325" s="35">
        <v>0.45069444444444445</v>
      </c>
      <c r="M325" s="37">
        <f>10080-61</f>
        <v>10019</v>
      </c>
      <c r="N325" s="38">
        <f t="shared" si="18"/>
        <v>166.98333333333332</v>
      </c>
      <c r="O325" s="37">
        <v>5</v>
      </c>
      <c r="P325" s="18" t="s">
        <v>104</v>
      </c>
      <c r="Q325" s="26">
        <v>42006</v>
      </c>
      <c r="R325" s="27">
        <v>0.23750000000000002</v>
      </c>
      <c r="S325" s="18">
        <v>3</v>
      </c>
      <c r="T325" s="18">
        <v>1</v>
      </c>
      <c r="U325" s="18">
        <v>1</v>
      </c>
      <c r="V325" s="22">
        <v>0</v>
      </c>
      <c r="W325" s="20">
        <v>1</v>
      </c>
      <c r="X325" s="24">
        <v>0</v>
      </c>
      <c r="Y325" s="25">
        <v>0</v>
      </c>
      <c r="Z325" s="25">
        <v>0</v>
      </c>
      <c r="AA325" s="25">
        <v>0</v>
      </c>
    </row>
    <row r="326" spans="1:42">
      <c r="A326" s="119">
        <v>330.71428571427799</v>
      </c>
      <c r="B326" s="18">
        <v>11</v>
      </c>
      <c r="C326" s="18" t="s">
        <v>266</v>
      </c>
      <c r="D326" s="18">
        <v>5</v>
      </c>
      <c r="E326" s="18">
        <v>0</v>
      </c>
      <c r="H326" s="28"/>
      <c r="I326" s="34">
        <v>42004</v>
      </c>
      <c r="J326" s="35">
        <v>0.49305555555555558</v>
      </c>
      <c r="K326" s="36">
        <v>42011</v>
      </c>
      <c r="L326" s="35">
        <v>0.45069444444444445</v>
      </c>
      <c r="M326" s="37">
        <f>10080-61</f>
        <v>10019</v>
      </c>
      <c r="N326" s="38">
        <f t="shared" si="18"/>
        <v>166.98333333333332</v>
      </c>
      <c r="O326" s="37">
        <v>5</v>
      </c>
      <c r="P326" s="18" t="s">
        <v>84</v>
      </c>
      <c r="Q326" s="26">
        <v>42007</v>
      </c>
      <c r="R326" s="27">
        <v>0.5756944444444444</v>
      </c>
      <c r="S326" s="18">
        <v>3</v>
      </c>
      <c r="T326" s="18">
        <v>1</v>
      </c>
      <c r="U326" s="18">
        <v>1</v>
      </c>
      <c r="V326" s="22">
        <v>0</v>
      </c>
      <c r="W326" s="20">
        <v>1</v>
      </c>
      <c r="X326" s="24">
        <v>0</v>
      </c>
      <c r="Y326" s="25">
        <v>0</v>
      </c>
      <c r="Z326" s="25">
        <v>0</v>
      </c>
      <c r="AA326" s="25">
        <v>0</v>
      </c>
    </row>
    <row r="327" spans="1:42">
      <c r="A327" s="119">
        <v>331.917091836726</v>
      </c>
      <c r="B327" s="18">
        <v>11</v>
      </c>
      <c r="C327" s="18" t="s">
        <v>266</v>
      </c>
      <c r="D327" s="18">
        <v>5</v>
      </c>
      <c r="E327" s="18">
        <v>0</v>
      </c>
      <c r="H327" s="28"/>
      <c r="I327" s="34">
        <v>42004</v>
      </c>
      <c r="J327" s="35">
        <v>0.49305555555555558</v>
      </c>
      <c r="K327" s="36">
        <v>42011</v>
      </c>
      <c r="L327" s="35">
        <v>0.45069444444444445</v>
      </c>
      <c r="M327" s="37">
        <f>10080-61</f>
        <v>10019</v>
      </c>
      <c r="N327" s="38">
        <f t="shared" si="18"/>
        <v>166.98333333333332</v>
      </c>
      <c r="O327" s="37">
        <v>5</v>
      </c>
      <c r="P327" s="18" t="s">
        <v>107</v>
      </c>
      <c r="Q327" s="26">
        <v>42010</v>
      </c>
      <c r="R327" s="27">
        <v>0.37777777777777777</v>
      </c>
      <c r="S327" s="18">
        <v>10</v>
      </c>
      <c r="T327" s="18">
        <v>1</v>
      </c>
      <c r="U327" s="18">
        <v>0</v>
      </c>
      <c r="V327" s="22">
        <v>0</v>
      </c>
      <c r="W327" s="20">
        <v>0</v>
      </c>
      <c r="X327" s="24">
        <v>0</v>
      </c>
      <c r="Y327" s="25">
        <v>0</v>
      </c>
      <c r="Z327" s="25">
        <v>0</v>
      </c>
      <c r="AA327" s="25">
        <v>1</v>
      </c>
    </row>
    <row r="328" spans="1:42">
      <c r="A328" s="119">
        <v>333.11989795917299</v>
      </c>
      <c r="B328" s="18">
        <v>12</v>
      </c>
      <c r="C328" s="18" t="s">
        <v>267</v>
      </c>
      <c r="D328" s="18">
        <v>6</v>
      </c>
      <c r="E328" s="18">
        <v>0</v>
      </c>
      <c r="H328" s="28"/>
      <c r="I328" s="34">
        <v>42004</v>
      </c>
      <c r="J328" s="35">
        <v>0.52986111111111112</v>
      </c>
      <c r="K328" s="36">
        <v>42011</v>
      </c>
      <c r="L328" s="35">
        <v>0.47083333333333338</v>
      </c>
      <c r="M328" s="37">
        <f>10080-75</f>
        <v>10005</v>
      </c>
      <c r="N328" s="38">
        <f t="shared" si="18"/>
        <v>166.75</v>
      </c>
      <c r="O328" s="37">
        <v>3</v>
      </c>
      <c r="P328" s="18" t="s">
        <v>92</v>
      </c>
      <c r="Q328" s="26">
        <v>42008</v>
      </c>
      <c r="R328" s="27">
        <v>0.51250000000000007</v>
      </c>
      <c r="S328" s="18">
        <v>3</v>
      </c>
      <c r="T328" s="18">
        <v>5</v>
      </c>
      <c r="U328" s="18">
        <v>1</v>
      </c>
      <c r="V328" s="22">
        <v>0</v>
      </c>
      <c r="W328" s="20">
        <v>1</v>
      </c>
      <c r="X328" s="24">
        <v>2</v>
      </c>
      <c r="Y328" s="25">
        <v>0</v>
      </c>
      <c r="Z328" s="25">
        <v>0</v>
      </c>
      <c r="AA328" s="25">
        <v>2</v>
      </c>
    </row>
    <row r="329" spans="1:42">
      <c r="A329" s="119">
        <v>334.32270408162202</v>
      </c>
      <c r="B329" s="18">
        <v>12</v>
      </c>
      <c r="C329" s="18" t="s">
        <v>267</v>
      </c>
      <c r="D329" s="18">
        <v>6</v>
      </c>
      <c r="E329" s="18">
        <v>0</v>
      </c>
      <c r="H329" s="28"/>
      <c r="I329" s="34">
        <v>42004</v>
      </c>
      <c r="J329" s="35">
        <v>0.52986111111111112</v>
      </c>
      <c r="K329" s="36">
        <v>42011</v>
      </c>
      <c r="L329" s="35">
        <v>0.47083333333333338</v>
      </c>
      <c r="M329" s="37">
        <f>10080-75</f>
        <v>10005</v>
      </c>
      <c r="N329" s="38">
        <f t="shared" si="18"/>
        <v>166.75</v>
      </c>
      <c r="O329" s="37">
        <v>3</v>
      </c>
      <c r="P329" s="18" t="s">
        <v>118</v>
      </c>
      <c r="Q329" s="26">
        <v>42009</v>
      </c>
      <c r="R329" s="27">
        <v>0.31180555555555556</v>
      </c>
      <c r="S329" s="18">
        <v>5</v>
      </c>
      <c r="T329" s="18">
        <v>1</v>
      </c>
      <c r="U329" s="18">
        <v>1</v>
      </c>
      <c r="V329" s="22">
        <v>0</v>
      </c>
      <c r="W329" s="20">
        <v>0</v>
      </c>
      <c r="X329" s="24">
        <v>0</v>
      </c>
      <c r="Y329" s="25">
        <v>0</v>
      </c>
      <c r="Z329" s="25">
        <v>0</v>
      </c>
      <c r="AA329" s="25">
        <v>1</v>
      </c>
    </row>
    <row r="330" spans="1:42" s="140" customFormat="1">
      <c r="A330" s="139">
        <v>335.52551020406901</v>
      </c>
      <c r="B330" s="140">
        <v>12</v>
      </c>
      <c r="C330" s="140" t="s">
        <v>267</v>
      </c>
      <c r="D330" s="140">
        <v>6</v>
      </c>
      <c r="E330" s="140">
        <v>0</v>
      </c>
      <c r="H330" s="154"/>
      <c r="I330" s="142">
        <v>42004</v>
      </c>
      <c r="J330" s="143">
        <v>0.52986111111111112</v>
      </c>
      <c r="K330" s="144">
        <v>42011</v>
      </c>
      <c r="L330" s="143">
        <v>0.47083333333333338</v>
      </c>
      <c r="M330" s="145">
        <f>10080-75</f>
        <v>10005</v>
      </c>
      <c r="N330" s="146">
        <f t="shared" si="18"/>
        <v>166.75</v>
      </c>
      <c r="O330" s="145">
        <v>3</v>
      </c>
      <c r="P330" s="140" t="s">
        <v>120</v>
      </c>
      <c r="Q330" s="147">
        <v>42010</v>
      </c>
      <c r="R330" s="148">
        <v>0.98611111111111116</v>
      </c>
      <c r="S330" s="140">
        <v>1</v>
      </c>
      <c r="T330" s="140">
        <v>1</v>
      </c>
      <c r="U330" s="140">
        <v>0</v>
      </c>
      <c r="V330" s="149">
        <v>0</v>
      </c>
      <c r="W330" s="141">
        <v>0</v>
      </c>
      <c r="X330" s="150">
        <v>0</v>
      </c>
      <c r="Y330" s="141">
        <v>0</v>
      </c>
      <c r="Z330" s="141">
        <v>0</v>
      </c>
      <c r="AA330" s="141">
        <v>1</v>
      </c>
      <c r="AE330" s="146"/>
      <c r="AG330" s="18"/>
      <c r="AH330" s="18"/>
      <c r="AI330" s="18"/>
      <c r="AJ330" s="18"/>
      <c r="AK330" s="18"/>
      <c r="AL330" s="18"/>
      <c r="AM330" s="18"/>
      <c r="AN330" s="18"/>
      <c r="AO330" s="18"/>
      <c r="AP330" s="18"/>
    </row>
    <row r="331" spans="1:42">
      <c r="A331" s="119">
        <v>336.72831632651702</v>
      </c>
      <c r="B331" s="18">
        <v>13</v>
      </c>
      <c r="C331" s="18" t="s">
        <v>309</v>
      </c>
      <c r="D331" s="18">
        <v>7</v>
      </c>
      <c r="E331" s="18">
        <v>0</v>
      </c>
      <c r="H331" s="28"/>
      <c r="I331" s="34">
        <v>41640</v>
      </c>
      <c r="J331" s="35">
        <v>0.36874999999999997</v>
      </c>
      <c r="K331" s="36">
        <v>42012</v>
      </c>
      <c r="L331" s="35">
        <v>0.35833333333333334</v>
      </c>
      <c r="M331" s="37">
        <f>10080-15</f>
        <v>10065</v>
      </c>
      <c r="N331" s="38">
        <f t="shared" si="18"/>
        <v>167.75</v>
      </c>
      <c r="O331" s="37">
        <v>0</v>
      </c>
      <c r="Q331" s="26"/>
      <c r="R331" s="27"/>
    </row>
    <row r="332" spans="1:42">
      <c r="A332" s="119">
        <v>337.93112244896298</v>
      </c>
      <c r="B332" s="18">
        <v>14</v>
      </c>
      <c r="C332" s="18" t="s">
        <v>310</v>
      </c>
      <c r="D332" s="18">
        <v>7</v>
      </c>
      <c r="E332" s="18">
        <v>0</v>
      </c>
      <c r="H332" s="28"/>
      <c r="I332" s="34">
        <v>41640</v>
      </c>
      <c r="J332" s="35">
        <v>0.38472222222222219</v>
      </c>
      <c r="K332" s="36">
        <v>42012</v>
      </c>
      <c r="L332" s="35">
        <v>0.37083333333333335</v>
      </c>
      <c r="M332" s="37">
        <f>10080-20</f>
        <v>10060</v>
      </c>
      <c r="N332" s="38">
        <f t="shared" si="18"/>
        <v>167.66666666666666</v>
      </c>
      <c r="O332" s="37">
        <v>0</v>
      </c>
      <c r="Q332" s="26"/>
      <c r="R332" s="27"/>
      <c r="AG332" s="140"/>
      <c r="AH332" s="140"/>
      <c r="AI332" s="140"/>
      <c r="AJ332" s="140"/>
      <c r="AK332" s="140"/>
      <c r="AL332" s="140"/>
      <c r="AM332" s="140"/>
      <c r="AN332" s="140"/>
      <c r="AO332" s="140"/>
      <c r="AP332" s="140"/>
    </row>
    <row r="333" spans="1:42" s="140" customFormat="1">
      <c r="A333" s="139">
        <v>339.13392857141002</v>
      </c>
      <c r="B333" s="140">
        <v>15</v>
      </c>
      <c r="C333" s="140" t="s">
        <v>311</v>
      </c>
      <c r="D333" s="140">
        <v>7</v>
      </c>
      <c r="E333" s="140">
        <v>0</v>
      </c>
      <c r="H333" s="154"/>
      <c r="I333" s="142">
        <v>41640</v>
      </c>
      <c r="J333" s="143">
        <v>0.40347222222222223</v>
      </c>
      <c r="K333" s="144">
        <v>42012</v>
      </c>
      <c r="L333" s="143">
        <v>0.40069444444444446</v>
      </c>
      <c r="M333" s="145">
        <f t="shared" ref="M333:M338" si="19">10080-4</f>
        <v>10076</v>
      </c>
      <c r="N333" s="146">
        <f t="shared" si="18"/>
        <v>167.93333333333334</v>
      </c>
      <c r="O333" s="145">
        <v>4</v>
      </c>
      <c r="P333" s="140" t="s">
        <v>101</v>
      </c>
      <c r="Q333" s="147">
        <v>42007</v>
      </c>
      <c r="R333" s="148">
        <v>0.27361111111111108</v>
      </c>
      <c r="S333" s="140">
        <v>1</v>
      </c>
      <c r="T333" s="140">
        <v>4</v>
      </c>
      <c r="U333" s="140">
        <v>1</v>
      </c>
      <c r="V333" s="149">
        <v>1</v>
      </c>
      <c r="W333" s="141">
        <v>0</v>
      </c>
      <c r="X333" s="150">
        <v>2</v>
      </c>
      <c r="Y333" s="141">
        <v>0</v>
      </c>
      <c r="Z333" s="141">
        <v>0</v>
      </c>
      <c r="AA333" s="141">
        <v>1</v>
      </c>
      <c r="AE333" s="146"/>
      <c r="AG333" s="18"/>
      <c r="AH333" s="18"/>
      <c r="AI333" s="18"/>
      <c r="AJ333" s="18"/>
      <c r="AK333" s="18"/>
      <c r="AL333" s="18"/>
      <c r="AM333" s="18"/>
      <c r="AN333" s="18"/>
      <c r="AO333" s="18"/>
      <c r="AP333" s="18"/>
    </row>
    <row r="334" spans="1:42">
      <c r="A334" s="119">
        <v>340.33673469385701</v>
      </c>
      <c r="B334" s="18">
        <v>15</v>
      </c>
      <c r="C334" s="18" t="s">
        <v>311</v>
      </c>
      <c r="D334" s="18">
        <v>7</v>
      </c>
      <c r="E334" s="18">
        <v>0</v>
      </c>
      <c r="H334" s="28"/>
      <c r="I334" s="34">
        <v>41640</v>
      </c>
      <c r="J334" s="35">
        <v>0.40347222222222223</v>
      </c>
      <c r="K334" s="36">
        <v>42012</v>
      </c>
      <c r="L334" s="35">
        <v>0.40069444444444446</v>
      </c>
      <c r="M334" s="37">
        <f t="shared" si="19"/>
        <v>10076</v>
      </c>
      <c r="N334" s="38">
        <f t="shared" si="18"/>
        <v>167.93333333333334</v>
      </c>
      <c r="O334" s="37">
        <v>4</v>
      </c>
      <c r="P334" s="18" t="s">
        <v>104</v>
      </c>
      <c r="Q334" s="26">
        <v>42009</v>
      </c>
      <c r="R334" s="27">
        <v>0.55694444444444446</v>
      </c>
      <c r="S334" s="18">
        <v>3</v>
      </c>
      <c r="T334" s="18">
        <v>4</v>
      </c>
      <c r="U334" s="18">
        <v>1</v>
      </c>
      <c r="V334" s="22">
        <v>1</v>
      </c>
      <c r="W334" s="20">
        <v>0</v>
      </c>
      <c r="X334" s="24">
        <v>1</v>
      </c>
      <c r="Y334" s="25">
        <v>0</v>
      </c>
      <c r="Z334" s="25">
        <v>0</v>
      </c>
      <c r="AA334" s="25">
        <v>2</v>
      </c>
    </row>
    <row r="335" spans="1:42">
      <c r="A335" s="119">
        <v>341.539540816304</v>
      </c>
      <c r="B335" s="18">
        <v>15</v>
      </c>
      <c r="C335" s="18" t="s">
        <v>311</v>
      </c>
      <c r="D335" s="18">
        <v>7</v>
      </c>
      <c r="E335" s="18">
        <v>0</v>
      </c>
      <c r="H335" s="28"/>
      <c r="I335" s="34">
        <v>41640</v>
      </c>
      <c r="J335" s="35">
        <v>0.40347222222222223</v>
      </c>
      <c r="K335" s="36">
        <v>42012</v>
      </c>
      <c r="L335" s="35">
        <v>0.40069444444444446</v>
      </c>
      <c r="M335" s="37">
        <f t="shared" si="19"/>
        <v>10076</v>
      </c>
      <c r="N335" s="38">
        <f t="shared" si="18"/>
        <v>167.93333333333334</v>
      </c>
      <c r="O335" s="37">
        <v>4</v>
      </c>
      <c r="P335" s="18" t="s">
        <v>107</v>
      </c>
      <c r="Q335" s="26">
        <v>42009</v>
      </c>
      <c r="R335" s="27">
        <v>0.60625000000000007</v>
      </c>
      <c r="S335" s="18">
        <v>3</v>
      </c>
      <c r="T335" s="18">
        <v>1</v>
      </c>
      <c r="U335" s="18">
        <v>1</v>
      </c>
      <c r="V335" s="22">
        <v>0</v>
      </c>
      <c r="W335" s="20">
        <v>0</v>
      </c>
      <c r="X335" s="24">
        <v>0</v>
      </c>
      <c r="Y335" s="25">
        <v>0</v>
      </c>
      <c r="Z335" s="25">
        <v>0</v>
      </c>
      <c r="AA335" s="25">
        <v>1</v>
      </c>
    </row>
    <row r="336" spans="1:42">
      <c r="A336" s="119">
        <v>342.74234693875098</v>
      </c>
      <c r="B336" s="18">
        <v>15</v>
      </c>
      <c r="C336" s="18" t="s">
        <v>311</v>
      </c>
      <c r="D336" s="18">
        <v>7</v>
      </c>
      <c r="E336" s="18">
        <v>0</v>
      </c>
      <c r="H336" s="28"/>
      <c r="I336" s="34">
        <v>41640</v>
      </c>
      <c r="J336" s="35">
        <v>0.40347222222222223</v>
      </c>
      <c r="K336" s="36">
        <v>42012</v>
      </c>
      <c r="L336" s="35">
        <v>0.40069444444444446</v>
      </c>
      <c r="M336" s="37">
        <f t="shared" si="19"/>
        <v>10076</v>
      </c>
      <c r="N336" s="38">
        <f t="shared" si="18"/>
        <v>167.93333333333334</v>
      </c>
      <c r="O336" s="37">
        <v>4</v>
      </c>
      <c r="P336" s="18" t="s">
        <v>119</v>
      </c>
      <c r="Q336" s="26">
        <v>42012</v>
      </c>
      <c r="R336" s="27">
        <v>0.33402777777777781</v>
      </c>
      <c r="S336" s="18">
        <v>3</v>
      </c>
      <c r="T336" s="18">
        <v>1</v>
      </c>
      <c r="U336" s="18">
        <v>1</v>
      </c>
      <c r="V336" s="22">
        <v>0</v>
      </c>
      <c r="W336" s="20">
        <v>1</v>
      </c>
      <c r="X336" s="24">
        <v>0</v>
      </c>
      <c r="Y336" s="25">
        <v>0</v>
      </c>
      <c r="Z336" s="25">
        <v>0</v>
      </c>
      <c r="AA336" s="25">
        <v>0</v>
      </c>
    </row>
    <row r="337" spans="1:42">
      <c r="A337" s="119">
        <v>343.94515306119803</v>
      </c>
      <c r="B337" s="18">
        <v>16</v>
      </c>
      <c r="C337" s="18" t="s">
        <v>312</v>
      </c>
      <c r="D337" s="18">
        <v>7</v>
      </c>
      <c r="E337" s="18">
        <v>0</v>
      </c>
      <c r="I337" s="34">
        <v>41640</v>
      </c>
      <c r="J337" s="35">
        <v>0.4291666666666667</v>
      </c>
      <c r="K337" s="36">
        <v>42012</v>
      </c>
      <c r="L337" s="35">
        <v>0.42638888888888887</v>
      </c>
      <c r="M337" s="37">
        <f t="shared" si="19"/>
        <v>10076</v>
      </c>
      <c r="N337" s="38">
        <f t="shared" si="18"/>
        <v>167.93333333333334</v>
      </c>
      <c r="O337" s="37">
        <v>2</v>
      </c>
      <c r="P337" s="18" t="s">
        <v>101</v>
      </c>
      <c r="Q337" s="26">
        <v>42010</v>
      </c>
      <c r="R337" s="27">
        <v>0.7284722222222223</v>
      </c>
      <c r="S337" s="18">
        <v>3</v>
      </c>
      <c r="T337" s="18">
        <v>1</v>
      </c>
      <c r="U337" s="18">
        <v>0</v>
      </c>
      <c r="V337" s="22">
        <v>0</v>
      </c>
      <c r="W337" s="20">
        <v>0</v>
      </c>
      <c r="X337" s="24">
        <v>0</v>
      </c>
      <c r="Y337" s="25">
        <v>0</v>
      </c>
      <c r="Z337" s="25">
        <v>0</v>
      </c>
      <c r="AA337" s="25">
        <v>1</v>
      </c>
    </row>
    <row r="338" spans="1:42" s="140" customFormat="1">
      <c r="A338" s="139">
        <v>345.14795918364501</v>
      </c>
      <c r="B338" s="140">
        <v>16</v>
      </c>
      <c r="C338" s="140" t="s">
        <v>312</v>
      </c>
      <c r="D338" s="140">
        <v>7</v>
      </c>
      <c r="E338" s="140">
        <v>0</v>
      </c>
      <c r="I338" s="142">
        <v>41640</v>
      </c>
      <c r="J338" s="143">
        <v>0.4291666666666667</v>
      </c>
      <c r="K338" s="144">
        <v>42012</v>
      </c>
      <c r="L338" s="143">
        <v>0.42638888888888887</v>
      </c>
      <c r="M338" s="145">
        <f t="shared" si="19"/>
        <v>10076</v>
      </c>
      <c r="N338" s="146">
        <f t="shared" si="18"/>
        <v>167.93333333333334</v>
      </c>
      <c r="O338" s="145">
        <v>2</v>
      </c>
      <c r="P338" s="140" t="s">
        <v>104</v>
      </c>
      <c r="Q338" s="147">
        <v>42012</v>
      </c>
      <c r="R338" s="148">
        <v>0.2722222222222222</v>
      </c>
      <c r="S338" s="140">
        <v>1</v>
      </c>
      <c r="T338" s="140">
        <v>1</v>
      </c>
      <c r="U338" s="140">
        <v>1</v>
      </c>
      <c r="V338" s="149">
        <v>0</v>
      </c>
      <c r="W338" s="141">
        <v>0</v>
      </c>
      <c r="X338" s="150">
        <v>0</v>
      </c>
      <c r="Y338" s="141">
        <v>0</v>
      </c>
      <c r="Z338" s="141">
        <v>0</v>
      </c>
      <c r="AA338" s="141">
        <v>1</v>
      </c>
      <c r="AE338" s="146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</row>
    <row r="339" spans="1:42">
      <c r="A339" s="119">
        <v>346.350765306092</v>
      </c>
      <c r="B339" s="18">
        <v>17</v>
      </c>
      <c r="C339" s="18" t="s">
        <v>313</v>
      </c>
      <c r="D339" s="18">
        <v>7</v>
      </c>
      <c r="E339" s="18">
        <v>0</v>
      </c>
      <c r="I339" s="34">
        <v>41640</v>
      </c>
      <c r="J339" s="35">
        <v>0.4604166666666667</v>
      </c>
      <c r="K339" s="36">
        <v>42012</v>
      </c>
      <c r="L339" s="35">
        <v>0.51041666666666663</v>
      </c>
      <c r="M339" s="37">
        <f>10080+72</f>
        <v>10152</v>
      </c>
      <c r="N339" s="38">
        <f t="shared" si="18"/>
        <v>169.2</v>
      </c>
      <c r="O339" s="37">
        <v>3</v>
      </c>
      <c r="P339" s="18" t="s">
        <v>101</v>
      </c>
      <c r="Q339" s="26">
        <v>42005</v>
      </c>
      <c r="R339" s="27">
        <v>0.72222222222222221</v>
      </c>
      <c r="S339" s="18">
        <v>3</v>
      </c>
      <c r="T339" s="18">
        <v>1</v>
      </c>
      <c r="U339" s="18">
        <v>0</v>
      </c>
      <c r="V339" s="22">
        <v>0</v>
      </c>
      <c r="W339" s="20">
        <v>0</v>
      </c>
      <c r="X339" s="24">
        <v>0</v>
      </c>
      <c r="Y339" s="25">
        <v>0</v>
      </c>
      <c r="Z339" s="25">
        <v>0</v>
      </c>
      <c r="AA339" s="25">
        <v>1</v>
      </c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</row>
    <row r="340" spans="1:42">
      <c r="A340" s="119">
        <v>347.55357142853899</v>
      </c>
      <c r="B340" s="18">
        <v>17</v>
      </c>
      <c r="C340" s="18" t="s">
        <v>313</v>
      </c>
      <c r="D340" s="18">
        <v>7</v>
      </c>
      <c r="E340" s="18">
        <v>0</v>
      </c>
      <c r="I340" s="34">
        <v>41640</v>
      </c>
      <c r="J340" s="35">
        <v>0.4604166666666667</v>
      </c>
      <c r="K340" s="36">
        <v>42012</v>
      </c>
      <c r="L340" s="35">
        <v>0.51041666666666663</v>
      </c>
      <c r="M340" s="37">
        <f>10080+72</f>
        <v>10152</v>
      </c>
      <c r="N340" s="38">
        <f t="shared" si="18"/>
        <v>169.2</v>
      </c>
      <c r="O340" s="37">
        <v>3</v>
      </c>
      <c r="P340" s="18" t="s">
        <v>107</v>
      </c>
      <c r="Q340" s="26">
        <v>42009</v>
      </c>
      <c r="R340" s="27">
        <v>0.25694444444444448</v>
      </c>
      <c r="S340" s="18">
        <v>3</v>
      </c>
      <c r="T340" s="18">
        <v>1</v>
      </c>
      <c r="U340" s="18">
        <v>1</v>
      </c>
      <c r="V340" s="22">
        <v>0</v>
      </c>
      <c r="W340" s="20">
        <v>1</v>
      </c>
      <c r="X340" s="24">
        <v>0</v>
      </c>
      <c r="Y340" s="25">
        <v>0</v>
      </c>
      <c r="Z340" s="25">
        <v>0</v>
      </c>
      <c r="AA340" s="25">
        <v>0</v>
      </c>
    </row>
    <row r="341" spans="1:42">
      <c r="A341" s="119">
        <v>348.75637755098597</v>
      </c>
      <c r="B341" s="18">
        <v>17</v>
      </c>
      <c r="C341" s="18" t="s">
        <v>313</v>
      </c>
      <c r="D341" s="18">
        <v>7</v>
      </c>
      <c r="E341" s="18">
        <v>0</v>
      </c>
      <c r="I341" s="34">
        <v>41640</v>
      </c>
      <c r="J341" s="35">
        <v>0.4604166666666667</v>
      </c>
      <c r="K341" s="36">
        <v>42012</v>
      </c>
      <c r="L341" s="35">
        <v>0.51041666666666663</v>
      </c>
      <c r="M341" s="37">
        <f>10080+72</f>
        <v>10152</v>
      </c>
      <c r="N341" s="38">
        <f t="shared" si="18"/>
        <v>169.2</v>
      </c>
      <c r="O341" s="37">
        <v>3</v>
      </c>
      <c r="P341" s="18" t="s">
        <v>92</v>
      </c>
      <c r="Q341" s="26">
        <v>42011</v>
      </c>
      <c r="R341" s="27">
        <v>0.6972222222222223</v>
      </c>
      <c r="S341" s="18">
        <v>3</v>
      </c>
      <c r="T341" s="18">
        <v>3</v>
      </c>
      <c r="U341" s="18">
        <v>1</v>
      </c>
      <c r="V341" s="22">
        <v>0</v>
      </c>
      <c r="W341" s="20">
        <v>0</v>
      </c>
      <c r="X341" s="24">
        <v>2</v>
      </c>
      <c r="Y341" s="25">
        <v>0</v>
      </c>
      <c r="Z341" s="25">
        <v>0</v>
      </c>
      <c r="AA341" s="25">
        <v>1</v>
      </c>
    </row>
    <row r="342" spans="1:42" s="140" customFormat="1">
      <c r="A342" s="139">
        <v>349.95918367343302</v>
      </c>
      <c r="B342" s="140">
        <v>18</v>
      </c>
      <c r="C342" s="140" t="s">
        <v>314</v>
      </c>
      <c r="D342" s="140">
        <v>7</v>
      </c>
      <c r="E342" s="140">
        <v>0</v>
      </c>
      <c r="I342" s="142">
        <v>41640</v>
      </c>
      <c r="J342" s="143">
        <v>0.4861111111111111</v>
      </c>
      <c r="K342" s="144">
        <v>42012</v>
      </c>
      <c r="L342" s="143">
        <v>0.53819444444444442</v>
      </c>
      <c r="M342" s="145">
        <f>10080+75</f>
        <v>10155</v>
      </c>
      <c r="N342" s="146">
        <f t="shared" si="18"/>
        <v>169.25</v>
      </c>
      <c r="O342" s="145">
        <v>2</v>
      </c>
      <c r="P342" s="140" t="s">
        <v>100</v>
      </c>
      <c r="Q342" s="147">
        <v>42012</v>
      </c>
      <c r="R342" s="148">
        <v>3.5416666666666666E-2</v>
      </c>
      <c r="S342" s="140">
        <v>1</v>
      </c>
      <c r="T342" s="140">
        <v>2</v>
      </c>
      <c r="U342" s="140">
        <v>1</v>
      </c>
      <c r="V342" s="149">
        <v>1</v>
      </c>
      <c r="W342" s="141">
        <v>0</v>
      </c>
      <c r="X342" s="150">
        <v>1</v>
      </c>
      <c r="Y342" s="141">
        <v>0</v>
      </c>
      <c r="Z342" s="141">
        <v>0</v>
      </c>
      <c r="AA342" s="141">
        <v>0</v>
      </c>
      <c r="AB342" s="141">
        <v>10</v>
      </c>
      <c r="AC342" s="141">
        <v>4.4800000000000004</v>
      </c>
      <c r="AD342" s="141">
        <v>1.88</v>
      </c>
      <c r="AE342" s="146">
        <f>1.88/30</f>
        <v>6.2666666666666662E-2</v>
      </c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</row>
    <row r="343" spans="1:42" s="140" customFormat="1">
      <c r="A343" s="139">
        <v>351.16198979588</v>
      </c>
      <c r="B343" s="140">
        <v>18</v>
      </c>
      <c r="C343" s="140" t="s">
        <v>314</v>
      </c>
      <c r="D343" s="140">
        <v>7</v>
      </c>
      <c r="E343" s="140">
        <v>0</v>
      </c>
      <c r="I343" s="142">
        <v>41640</v>
      </c>
      <c r="J343" s="143">
        <v>0.4861111111111111</v>
      </c>
      <c r="K343" s="144">
        <v>42012</v>
      </c>
      <c r="L343" s="143">
        <v>0.53819444444444442</v>
      </c>
      <c r="M343" s="145">
        <f>10080+75</f>
        <v>10155</v>
      </c>
      <c r="N343" s="146">
        <f t="shared" si="18"/>
        <v>169.25</v>
      </c>
      <c r="O343" s="145">
        <v>2</v>
      </c>
      <c r="P343" s="140" t="s">
        <v>104</v>
      </c>
      <c r="Q343" s="147">
        <v>42012</v>
      </c>
      <c r="R343" s="148">
        <v>0.17013888888888887</v>
      </c>
      <c r="S343" s="140">
        <v>1</v>
      </c>
      <c r="T343" s="140">
        <v>3</v>
      </c>
      <c r="U343" s="140">
        <v>2</v>
      </c>
      <c r="V343" s="149">
        <v>1</v>
      </c>
      <c r="W343" s="141">
        <v>0</v>
      </c>
      <c r="X343" s="150">
        <v>1</v>
      </c>
      <c r="Y343" s="141">
        <v>0</v>
      </c>
      <c r="Z343" s="141">
        <v>0</v>
      </c>
      <c r="AA343" s="141">
        <v>1</v>
      </c>
      <c r="AB343" s="141">
        <v>5</v>
      </c>
      <c r="AC343" s="141">
        <v>5.08</v>
      </c>
      <c r="AD343" s="141">
        <v>5.0999999999999996</v>
      </c>
      <c r="AE343" s="146">
        <f>5.1/19</f>
        <v>0.26842105263157895</v>
      </c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</row>
    <row r="344" spans="1:42">
      <c r="A344" s="119">
        <v>352.36479591832699</v>
      </c>
      <c r="B344" s="18">
        <v>19</v>
      </c>
      <c r="C344" s="18" t="s">
        <v>319</v>
      </c>
      <c r="D344" s="18">
        <v>7</v>
      </c>
      <c r="E344" s="18">
        <v>0</v>
      </c>
      <c r="I344" s="34">
        <v>41640</v>
      </c>
      <c r="J344" s="35">
        <v>0.52638888888888891</v>
      </c>
      <c r="K344" s="36">
        <v>42012</v>
      </c>
      <c r="L344" s="35">
        <v>0.45624999999999999</v>
      </c>
      <c r="M344" s="37">
        <f>10080-101</f>
        <v>9979</v>
      </c>
      <c r="N344" s="38">
        <f t="shared" si="18"/>
        <v>166.31666666666666</v>
      </c>
      <c r="O344" s="37">
        <v>2</v>
      </c>
      <c r="P344" s="18" t="s">
        <v>316</v>
      </c>
      <c r="Q344" s="26">
        <v>42006</v>
      </c>
      <c r="R344" s="27">
        <v>0.49722222222222223</v>
      </c>
      <c r="S344" s="18">
        <v>3</v>
      </c>
      <c r="T344" s="18">
        <v>1</v>
      </c>
      <c r="U344" s="18">
        <v>0</v>
      </c>
      <c r="V344" s="22">
        <v>0</v>
      </c>
      <c r="W344" s="20">
        <v>0</v>
      </c>
      <c r="X344" s="24">
        <v>1</v>
      </c>
      <c r="Y344" s="25">
        <v>0</v>
      </c>
      <c r="Z344" s="25">
        <v>0</v>
      </c>
      <c r="AA344" s="25">
        <v>0</v>
      </c>
      <c r="AB344" s="25"/>
      <c r="AC344" s="25"/>
      <c r="AD344" s="25"/>
    </row>
    <row r="345" spans="1:42" s="140" customFormat="1">
      <c r="A345" s="139">
        <v>353.56760204077398</v>
      </c>
      <c r="B345" s="140">
        <v>19</v>
      </c>
      <c r="C345" s="140" t="s">
        <v>319</v>
      </c>
      <c r="D345" s="140">
        <v>7</v>
      </c>
      <c r="E345" s="140">
        <v>0</v>
      </c>
      <c r="I345" s="142">
        <v>41640</v>
      </c>
      <c r="J345" s="143">
        <v>0.52638888888888891</v>
      </c>
      <c r="K345" s="144">
        <v>42012</v>
      </c>
      <c r="L345" s="143">
        <v>0.45624999999999999</v>
      </c>
      <c r="M345" s="145">
        <f>10080-101</f>
        <v>9979</v>
      </c>
      <c r="N345" s="146">
        <f t="shared" si="18"/>
        <v>166.31666666666666</v>
      </c>
      <c r="O345" s="145">
        <v>2</v>
      </c>
      <c r="P345" s="140" t="s">
        <v>317</v>
      </c>
      <c r="Q345" s="147">
        <v>42008</v>
      </c>
      <c r="R345" s="148">
        <v>0.36180555555555555</v>
      </c>
      <c r="S345" s="140">
        <v>1</v>
      </c>
      <c r="T345" s="140">
        <v>3</v>
      </c>
      <c r="U345" s="140">
        <v>3</v>
      </c>
      <c r="V345" s="149">
        <v>3</v>
      </c>
      <c r="W345" s="141">
        <v>0</v>
      </c>
      <c r="X345" s="150">
        <v>0</v>
      </c>
      <c r="Y345" s="141">
        <v>0</v>
      </c>
      <c r="Z345" s="141">
        <v>0</v>
      </c>
      <c r="AA345" s="141">
        <v>0</v>
      </c>
      <c r="AB345" s="141">
        <v>0</v>
      </c>
      <c r="AC345" s="141">
        <v>1.5</v>
      </c>
      <c r="AD345" s="141">
        <v>0.68</v>
      </c>
      <c r="AE345" s="146">
        <f>0.68/20</f>
        <v>3.4000000000000002E-2</v>
      </c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</row>
    <row r="346" spans="1:42">
      <c r="A346" s="119">
        <v>354.77040816322102</v>
      </c>
      <c r="B346" s="18">
        <v>20</v>
      </c>
      <c r="C346" s="18" t="s">
        <v>315</v>
      </c>
      <c r="D346" s="18">
        <v>7</v>
      </c>
      <c r="E346" s="18">
        <v>0</v>
      </c>
      <c r="I346" s="34">
        <v>41640</v>
      </c>
      <c r="J346" s="35">
        <v>0.56180555555555556</v>
      </c>
      <c r="K346" s="36">
        <v>42012</v>
      </c>
      <c r="L346" s="35">
        <v>0.49652777777777773</v>
      </c>
      <c r="M346" s="37">
        <f>10080-96</f>
        <v>9984</v>
      </c>
      <c r="N346" s="38">
        <f t="shared" si="18"/>
        <v>166.4</v>
      </c>
      <c r="O346" s="37">
        <v>0</v>
      </c>
      <c r="Q346" s="26"/>
      <c r="R346" s="27"/>
      <c r="V346" s="152"/>
      <c r="W346" s="25"/>
      <c r="X346" s="153"/>
    </row>
    <row r="347" spans="1:42">
      <c r="A347" s="119">
        <v>355.97321428566801</v>
      </c>
      <c r="B347" s="18">
        <v>21</v>
      </c>
      <c r="C347" s="18" t="s">
        <v>318</v>
      </c>
      <c r="J347" s="18"/>
      <c r="K347" s="18"/>
      <c r="L347" s="18"/>
      <c r="Q347" s="26"/>
      <c r="R347" s="27"/>
    </row>
    <row r="348" spans="1:42">
      <c r="Q348" s="26"/>
      <c r="R348" s="27"/>
      <c r="T348" s="18">
        <f>SUM(T2:T347)</f>
        <v>586</v>
      </c>
      <c r="V348" s="22">
        <f>SUM(V2:V347)</f>
        <v>158</v>
      </c>
      <c r="W348" s="20">
        <f>SUM(W2:W347)</f>
        <v>120</v>
      </c>
      <c r="X348" s="24">
        <f>SUM(X2:X347)</f>
        <v>105</v>
      </c>
    </row>
    <row r="349" spans="1:42">
      <c r="Q349" s="26"/>
      <c r="R349" s="27"/>
    </row>
    <row r="350" spans="1:42">
      <c r="Q350" s="26"/>
      <c r="R350" s="27"/>
      <c r="V350" s="22">
        <v>67</v>
      </c>
      <c r="W350" s="20">
        <v>35</v>
      </c>
      <c r="X350" s="24" t="s">
        <v>328</v>
      </c>
    </row>
    <row r="351" spans="1:42">
      <c r="Q351" s="26"/>
      <c r="R351" s="27"/>
    </row>
    <row r="352" spans="1:42">
      <c r="Q352" s="26"/>
      <c r="R352" s="27"/>
    </row>
    <row r="353" spans="14:24">
      <c r="Q353" s="26"/>
      <c r="R353" s="27"/>
    </row>
    <row r="354" spans="14:24">
      <c r="Q354" s="26"/>
      <c r="R354" s="27"/>
    </row>
    <row r="355" spans="14:24">
      <c r="Q355" s="26"/>
      <c r="R355" s="27"/>
    </row>
    <row r="356" spans="14:24">
      <c r="Q356" s="26"/>
      <c r="R356" s="27"/>
    </row>
    <row r="357" spans="14:24">
      <c r="N357" s="33" t="s">
        <v>199</v>
      </c>
      <c r="P357" s="29" t="s">
        <v>200</v>
      </c>
      <c r="R357" s="29" t="s">
        <v>201</v>
      </c>
      <c r="V357" s="22">
        <f>SUM(V2:V297)</f>
        <v>145</v>
      </c>
      <c r="W357" s="20">
        <f>SUM(W2:W297)</f>
        <v>112</v>
      </c>
      <c r="X357" s="24">
        <f>SUM(X2:X297)</f>
        <v>90</v>
      </c>
    </row>
    <row r="358" spans="14:24">
      <c r="N358" s="38">
        <f>SUM(N323,N328,N331,N332,N333,N337,N339,N342,N344,N346,N297,N299,N300,N302,N307,N310,N311,N314,N319,N291,N290,N278,N273,N268,N260,N256,N255,N252,N250,N241,N240,N236,N227,N218,N216,N204,N200,N151,N148,N137,N136,N135,N134,N133,N129,N128,N127,N124,N118,N117,N116,N109,N98,N92,N91,N90,N84,N75,N74,N73,N72,N68,N67,N62,N61,N60,N59,N57,N56,N55,N54,N53,N52,N50,N49,N44,N42,N39,N37,N34,N29,N28,N27,N25,N20,N16,N15,N14,N13,N12,N11,N10,N9,N8,N4,N2)</f>
        <v>16071.483333333332</v>
      </c>
      <c r="P358" s="18">
        <f>COUNTIF(S:S,1)</f>
        <v>127</v>
      </c>
    </row>
    <row r="360" spans="14:24">
      <c r="P360" s="18" t="s">
        <v>334</v>
      </c>
    </row>
    <row r="361" spans="14:24">
      <c r="P361" s="18">
        <f>COUNTIF(S152:S199,1)</f>
        <v>35</v>
      </c>
    </row>
    <row r="362" spans="14:24">
      <c r="P362" s="18" t="s">
        <v>335</v>
      </c>
    </row>
    <row r="363" spans="14:24">
      <c r="P363" s="18">
        <f>P358-P361</f>
        <v>92</v>
      </c>
    </row>
  </sheetData>
  <autoFilter ref="B1:Y26"/>
  <sortState ref="A2:AP358">
    <sortCondition ref="A2:A35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topLeftCell="D2" workbookViewId="0">
      <selection activeCell="S5" sqref="S5"/>
    </sheetView>
  </sheetViews>
  <sheetFormatPr defaultRowHeight="15"/>
  <cols>
    <col min="17" max="17" width="9.7109375" bestFit="1" customWidth="1"/>
  </cols>
  <sheetData>
    <row r="1" spans="1:31">
      <c r="A1" t="s">
        <v>329</v>
      </c>
      <c r="B1" t="s">
        <v>330</v>
      </c>
    </row>
    <row r="4" spans="1:31">
      <c r="S4" t="s">
        <v>331</v>
      </c>
      <c r="T4" t="s">
        <v>48</v>
      </c>
    </row>
    <row r="5" spans="1:31" s="18" customFormat="1">
      <c r="A5" s="119">
        <v>214</v>
      </c>
      <c r="B5" s="18">
        <v>5</v>
      </c>
      <c r="C5" s="18" t="s">
        <v>223</v>
      </c>
      <c r="D5" s="25">
        <v>5</v>
      </c>
      <c r="E5" s="25">
        <v>1</v>
      </c>
      <c r="I5" s="34">
        <v>41989</v>
      </c>
      <c r="J5" s="35">
        <v>0.50208333333333333</v>
      </c>
      <c r="K5" s="36">
        <v>41996</v>
      </c>
      <c r="L5" s="35">
        <v>0.4861111111111111</v>
      </c>
      <c r="M5" s="37">
        <f>10080-23</f>
        <v>10057</v>
      </c>
      <c r="N5" s="38">
        <f t="shared" ref="N5:N32" si="0">VALUE(M5/60)</f>
        <v>167.61666666666667</v>
      </c>
      <c r="O5" s="37">
        <v>4</v>
      </c>
      <c r="P5" s="18" t="s">
        <v>107</v>
      </c>
      <c r="Q5" s="26">
        <v>41994</v>
      </c>
      <c r="R5" s="27">
        <v>0.38055555555555554</v>
      </c>
      <c r="S5" s="18">
        <v>1</v>
      </c>
      <c r="T5" s="18">
        <v>2</v>
      </c>
      <c r="U5" s="18">
        <v>2</v>
      </c>
      <c r="V5" s="22">
        <v>0</v>
      </c>
      <c r="W5" s="20">
        <v>2</v>
      </c>
      <c r="X5" s="24">
        <v>0</v>
      </c>
      <c r="Y5" s="25">
        <v>0</v>
      </c>
      <c r="Z5" s="25">
        <v>0</v>
      </c>
      <c r="AA5" s="25">
        <v>0</v>
      </c>
      <c r="AE5" s="38"/>
    </row>
    <row r="6" spans="1:31" s="18" customFormat="1" ht="15.75" thickBot="1">
      <c r="A6" s="119">
        <v>215</v>
      </c>
      <c r="B6" s="18">
        <v>5</v>
      </c>
      <c r="C6" s="18" t="s">
        <v>223</v>
      </c>
      <c r="D6" s="25">
        <v>5</v>
      </c>
      <c r="E6" s="25">
        <v>1</v>
      </c>
      <c r="I6" s="34">
        <v>41989</v>
      </c>
      <c r="J6" s="35">
        <v>0.50208333333333333</v>
      </c>
      <c r="K6" s="36">
        <v>41996</v>
      </c>
      <c r="L6" s="35">
        <v>0.4861111111111111</v>
      </c>
      <c r="M6" s="37">
        <f t="shared" ref="M6" si="1">10080-23</f>
        <v>10057</v>
      </c>
      <c r="N6" s="38">
        <f t="shared" si="0"/>
        <v>167.61666666666667</v>
      </c>
      <c r="O6" s="37">
        <v>4</v>
      </c>
      <c r="P6" s="18" t="s">
        <v>92</v>
      </c>
      <c r="Q6" s="26">
        <v>41995</v>
      </c>
      <c r="R6" s="27">
        <v>0.25486111111111109</v>
      </c>
      <c r="S6" s="18">
        <v>1</v>
      </c>
      <c r="T6" s="18">
        <v>3</v>
      </c>
      <c r="U6" s="18">
        <v>2</v>
      </c>
      <c r="V6" s="22">
        <v>1</v>
      </c>
      <c r="W6" s="20">
        <v>1</v>
      </c>
      <c r="X6" s="24">
        <v>1</v>
      </c>
      <c r="Y6" s="25">
        <v>0</v>
      </c>
      <c r="Z6" s="25">
        <v>0</v>
      </c>
      <c r="AA6" s="25">
        <v>0</v>
      </c>
      <c r="AE6" s="38"/>
    </row>
    <row r="7" spans="1:31" s="85" customFormat="1">
      <c r="A7" s="122">
        <v>149</v>
      </c>
      <c r="B7" s="87">
        <v>8</v>
      </c>
      <c r="C7" s="87" t="s">
        <v>214</v>
      </c>
      <c r="D7" s="87">
        <v>5</v>
      </c>
      <c r="E7" s="87">
        <v>1</v>
      </c>
      <c r="F7" s="87"/>
      <c r="G7" s="87"/>
      <c r="H7" s="87"/>
      <c r="I7" s="88">
        <v>41983</v>
      </c>
      <c r="J7" s="89">
        <v>0.40972222222222227</v>
      </c>
      <c r="K7" s="90">
        <v>41992</v>
      </c>
      <c r="L7" s="89">
        <v>0.34513888888888888</v>
      </c>
      <c r="M7" s="91">
        <f>12960-83</f>
        <v>12877</v>
      </c>
      <c r="N7" s="113">
        <f t="shared" si="0"/>
        <v>214.61666666666667</v>
      </c>
      <c r="O7" s="91">
        <v>13</v>
      </c>
      <c r="P7" s="87" t="s">
        <v>156</v>
      </c>
      <c r="Q7" s="92">
        <v>41983</v>
      </c>
      <c r="R7" s="93">
        <v>0.74097222222222225</v>
      </c>
      <c r="S7" s="87">
        <v>11</v>
      </c>
      <c r="T7" s="87">
        <v>2</v>
      </c>
      <c r="U7" s="87">
        <v>2</v>
      </c>
      <c r="V7" s="94">
        <v>2</v>
      </c>
      <c r="W7" s="87">
        <v>0</v>
      </c>
      <c r="X7" s="95">
        <v>0</v>
      </c>
      <c r="Y7" s="87">
        <v>0</v>
      </c>
      <c r="Z7" s="87">
        <v>0</v>
      </c>
      <c r="AA7" s="87">
        <v>0</v>
      </c>
      <c r="AE7" s="86"/>
    </row>
    <row r="8" spans="1:31" s="25" customFormat="1">
      <c r="A8" s="123">
        <v>150</v>
      </c>
      <c r="B8" s="64">
        <v>8</v>
      </c>
      <c r="C8" s="64" t="s">
        <v>214</v>
      </c>
      <c r="D8" s="64">
        <v>5</v>
      </c>
      <c r="E8" s="64">
        <v>1</v>
      </c>
      <c r="F8" s="64"/>
      <c r="G8" s="64"/>
      <c r="H8" s="64"/>
      <c r="I8" s="96">
        <v>41983</v>
      </c>
      <c r="J8" s="97">
        <v>0.40972222222222227</v>
      </c>
      <c r="K8" s="98">
        <v>41992</v>
      </c>
      <c r="L8" s="97">
        <v>0.34513888888888888</v>
      </c>
      <c r="M8" s="99">
        <f t="shared" ref="M8:M14" si="2">12960-83</f>
        <v>12877</v>
      </c>
      <c r="N8" s="67">
        <f t="shared" si="0"/>
        <v>214.61666666666667</v>
      </c>
      <c r="O8" s="99">
        <v>13</v>
      </c>
      <c r="P8" s="64" t="s">
        <v>298</v>
      </c>
      <c r="Q8" s="101">
        <v>41985</v>
      </c>
      <c r="R8" s="102">
        <v>0.7006944444444444</v>
      </c>
      <c r="S8" s="64">
        <v>11</v>
      </c>
      <c r="T8" s="64">
        <v>3</v>
      </c>
      <c r="U8" s="64">
        <v>2</v>
      </c>
      <c r="V8" s="65">
        <v>2</v>
      </c>
      <c r="W8" s="64">
        <v>0</v>
      </c>
      <c r="X8" s="66">
        <v>1</v>
      </c>
      <c r="Y8" s="64">
        <v>0</v>
      </c>
      <c r="Z8" s="64">
        <v>0</v>
      </c>
      <c r="AA8" s="64">
        <v>0</v>
      </c>
      <c r="AE8" s="45"/>
    </row>
    <row r="9" spans="1:31" s="25" customFormat="1">
      <c r="A9" s="123">
        <v>153</v>
      </c>
      <c r="B9" s="64">
        <v>8</v>
      </c>
      <c r="C9" s="64" t="s">
        <v>214</v>
      </c>
      <c r="D9" s="64">
        <v>5</v>
      </c>
      <c r="E9" s="64">
        <v>1</v>
      </c>
      <c r="F9" s="64"/>
      <c r="G9" s="64"/>
      <c r="H9" s="64"/>
      <c r="I9" s="96">
        <v>41983</v>
      </c>
      <c r="J9" s="97">
        <v>0.40972222222222227</v>
      </c>
      <c r="K9" s="98">
        <v>41992</v>
      </c>
      <c r="L9" s="97">
        <v>0.34513888888888888</v>
      </c>
      <c r="M9" s="99">
        <f t="shared" si="2"/>
        <v>12877</v>
      </c>
      <c r="N9" s="67">
        <f t="shared" si="0"/>
        <v>214.61666666666667</v>
      </c>
      <c r="O9" s="99">
        <v>13</v>
      </c>
      <c r="P9" s="64" t="s">
        <v>152</v>
      </c>
      <c r="Q9" s="101">
        <v>41986</v>
      </c>
      <c r="R9" s="102">
        <v>0.61319444444444449</v>
      </c>
      <c r="S9" s="64">
        <v>11</v>
      </c>
      <c r="T9" s="64">
        <v>2</v>
      </c>
      <c r="U9" s="64">
        <v>0</v>
      </c>
      <c r="V9" s="65">
        <v>0</v>
      </c>
      <c r="W9" s="64">
        <v>0</v>
      </c>
      <c r="X9" s="66">
        <v>2</v>
      </c>
      <c r="Y9" s="64">
        <v>0</v>
      </c>
      <c r="Z9" s="64">
        <v>0</v>
      </c>
      <c r="AA9" s="64">
        <v>0</v>
      </c>
      <c r="AE9" s="45"/>
    </row>
    <row r="10" spans="1:31" s="25" customFormat="1">
      <c r="A10" s="123">
        <v>154</v>
      </c>
      <c r="B10" s="64">
        <v>8</v>
      </c>
      <c r="C10" s="64" t="s">
        <v>214</v>
      </c>
      <c r="D10" s="64">
        <v>5</v>
      </c>
      <c r="E10" s="64">
        <v>1</v>
      </c>
      <c r="F10" s="64"/>
      <c r="G10" s="64"/>
      <c r="H10" s="64"/>
      <c r="I10" s="96">
        <v>41983</v>
      </c>
      <c r="J10" s="97">
        <v>0.40972222222222227</v>
      </c>
      <c r="K10" s="98">
        <v>41992</v>
      </c>
      <c r="L10" s="97">
        <v>0.34513888888888888</v>
      </c>
      <c r="M10" s="99">
        <f t="shared" si="2"/>
        <v>12877</v>
      </c>
      <c r="N10" s="67">
        <f t="shared" si="0"/>
        <v>214.61666666666667</v>
      </c>
      <c r="O10" s="99">
        <v>13</v>
      </c>
      <c r="P10" s="64" t="s">
        <v>143</v>
      </c>
      <c r="Q10" s="101">
        <v>41986</v>
      </c>
      <c r="R10" s="102">
        <v>0.71736111111111101</v>
      </c>
      <c r="S10" s="64">
        <v>11</v>
      </c>
      <c r="T10" s="64">
        <v>2</v>
      </c>
      <c r="U10" s="64">
        <v>2</v>
      </c>
      <c r="V10" s="65">
        <v>2</v>
      </c>
      <c r="W10" s="64">
        <v>0</v>
      </c>
      <c r="X10" s="66">
        <v>0</v>
      </c>
      <c r="Y10" s="64">
        <v>0</v>
      </c>
      <c r="Z10" s="64">
        <v>0</v>
      </c>
      <c r="AA10" s="64">
        <v>0</v>
      </c>
      <c r="AE10" s="45"/>
    </row>
    <row r="11" spans="1:31" s="25" customFormat="1">
      <c r="A11" s="123">
        <v>156</v>
      </c>
      <c r="B11" s="64">
        <v>8</v>
      </c>
      <c r="C11" s="64" t="s">
        <v>214</v>
      </c>
      <c r="D11" s="64">
        <v>5</v>
      </c>
      <c r="E11" s="64">
        <v>1</v>
      </c>
      <c r="F11" s="64"/>
      <c r="G11" s="64"/>
      <c r="H11" s="64"/>
      <c r="I11" s="96">
        <v>41983</v>
      </c>
      <c r="J11" s="97">
        <v>0.40972222222222227</v>
      </c>
      <c r="K11" s="98">
        <v>41992</v>
      </c>
      <c r="L11" s="97">
        <v>0.34513888888888888</v>
      </c>
      <c r="M11" s="99">
        <f t="shared" si="2"/>
        <v>12877</v>
      </c>
      <c r="N11" s="67">
        <f t="shared" si="0"/>
        <v>214.61666666666667</v>
      </c>
      <c r="O11" s="99">
        <v>13</v>
      </c>
      <c r="P11" s="64" t="s">
        <v>110</v>
      </c>
      <c r="Q11" s="101">
        <v>41987</v>
      </c>
      <c r="R11" s="102">
        <v>0.4916666666666667</v>
      </c>
      <c r="S11" s="64">
        <v>11</v>
      </c>
      <c r="T11" s="64">
        <v>3</v>
      </c>
      <c r="U11" s="64">
        <v>1</v>
      </c>
      <c r="V11" s="65">
        <v>1</v>
      </c>
      <c r="W11" s="64">
        <v>0</v>
      </c>
      <c r="X11" s="66">
        <v>3</v>
      </c>
      <c r="Y11" s="64">
        <v>0</v>
      </c>
      <c r="Z11" s="64">
        <v>0</v>
      </c>
      <c r="AA11" s="64">
        <v>0</v>
      </c>
      <c r="AE11" s="45"/>
    </row>
    <row r="12" spans="1:31" s="25" customFormat="1">
      <c r="A12" s="123">
        <v>158</v>
      </c>
      <c r="B12" s="64">
        <v>8</v>
      </c>
      <c r="C12" s="64" t="s">
        <v>214</v>
      </c>
      <c r="D12" s="64">
        <v>5</v>
      </c>
      <c r="E12" s="64">
        <v>1</v>
      </c>
      <c r="F12" s="64"/>
      <c r="G12" s="64"/>
      <c r="H12" s="64"/>
      <c r="I12" s="96">
        <v>41983</v>
      </c>
      <c r="J12" s="97">
        <v>0.40972222222222227</v>
      </c>
      <c r="K12" s="98">
        <v>41992</v>
      </c>
      <c r="L12" s="97">
        <v>0.34513888888888888</v>
      </c>
      <c r="M12" s="99">
        <f t="shared" si="2"/>
        <v>12877</v>
      </c>
      <c r="N12" s="67">
        <f t="shared" si="0"/>
        <v>214.61666666666667</v>
      </c>
      <c r="O12" s="99">
        <v>13</v>
      </c>
      <c r="P12" s="64" t="s">
        <v>300</v>
      </c>
      <c r="Q12" s="101">
        <v>41988</v>
      </c>
      <c r="R12" s="102">
        <v>0.74583333333333324</v>
      </c>
      <c r="S12" s="64">
        <v>11</v>
      </c>
      <c r="T12" s="64">
        <v>3</v>
      </c>
      <c r="U12" s="64">
        <v>1</v>
      </c>
      <c r="V12" s="65">
        <v>1</v>
      </c>
      <c r="W12" s="64">
        <v>0</v>
      </c>
      <c r="X12" s="66">
        <v>2</v>
      </c>
      <c r="Y12" s="64">
        <v>0</v>
      </c>
      <c r="Z12" s="64">
        <v>0</v>
      </c>
      <c r="AA12" s="64">
        <v>0</v>
      </c>
      <c r="AE12" s="45"/>
    </row>
    <row r="13" spans="1:31" s="25" customFormat="1">
      <c r="A13" s="123">
        <v>159</v>
      </c>
      <c r="B13" s="64">
        <v>8</v>
      </c>
      <c r="C13" s="64" t="s">
        <v>214</v>
      </c>
      <c r="D13" s="64">
        <v>5</v>
      </c>
      <c r="E13" s="64">
        <v>1</v>
      </c>
      <c r="F13" s="64"/>
      <c r="G13" s="64"/>
      <c r="H13" s="64"/>
      <c r="I13" s="96">
        <v>41983</v>
      </c>
      <c r="J13" s="97">
        <v>0.40972222222222227</v>
      </c>
      <c r="K13" s="98">
        <v>41992</v>
      </c>
      <c r="L13" s="97">
        <v>0.34513888888888888</v>
      </c>
      <c r="M13" s="99">
        <f t="shared" si="2"/>
        <v>12877</v>
      </c>
      <c r="N13" s="67">
        <f t="shared" si="0"/>
        <v>214.61666666666667</v>
      </c>
      <c r="O13" s="99">
        <v>13</v>
      </c>
      <c r="P13" s="64" t="s">
        <v>301</v>
      </c>
      <c r="Q13" s="101">
        <v>41990</v>
      </c>
      <c r="R13" s="102">
        <v>0.21249999999999999</v>
      </c>
      <c r="S13" s="64">
        <v>11</v>
      </c>
      <c r="T13" s="64">
        <v>3</v>
      </c>
      <c r="U13" s="64">
        <v>1</v>
      </c>
      <c r="V13" s="65">
        <v>1</v>
      </c>
      <c r="W13" s="64">
        <v>0</v>
      </c>
      <c r="X13" s="66">
        <v>2</v>
      </c>
      <c r="Y13" s="64">
        <v>0</v>
      </c>
      <c r="Z13" s="64">
        <v>0</v>
      </c>
      <c r="AA13" s="64">
        <v>0</v>
      </c>
      <c r="AE13" s="45"/>
    </row>
    <row r="14" spans="1:31" s="25" customFormat="1">
      <c r="A14" s="123">
        <v>160</v>
      </c>
      <c r="B14" s="64">
        <v>8</v>
      </c>
      <c r="C14" s="64" t="s">
        <v>214</v>
      </c>
      <c r="D14" s="64">
        <v>5</v>
      </c>
      <c r="E14" s="64">
        <v>1</v>
      </c>
      <c r="F14" s="64"/>
      <c r="G14" s="64"/>
      <c r="H14" s="64"/>
      <c r="I14" s="96">
        <v>41983</v>
      </c>
      <c r="J14" s="97">
        <v>0.40972222222222227</v>
      </c>
      <c r="K14" s="98">
        <v>41992</v>
      </c>
      <c r="L14" s="97">
        <v>0.34513888888888888</v>
      </c>
      <c r="M14" s="99">
        <f t="shared" si="2"/>
        <v>12877</v>
      </c>
      <c r="N14" s="67">
        <f t="shared" si="0"/>
        <v>214.61666666666667</v>
      </c>
      <c r="O14" s="99">
        <v>13</v>
      </c>
      <c r="P14" s="64" t="s">
        <v>137</v>
      </c>
      <c r="Q14" s="101">
        <v>41991</v>
      </c>
      <c r="R14" s="102">
        <v>0.17430555555555557</v>
      </c>
      <c r="S14" s="64">
        <v>11</v>
      </c>
      <c r="T14" s="64">
        <v>2</v>
      </c>
      <c r="U14" s="64">
        <v>1</v>
      </c>
      <c r="V14" s="65">
        <v>0</v>
      </c>
      <c r="W14" s="64">
        <v>0</v>
      </c>
      <c r="X14" s="66">
        <v>1</v>
      </c>
      <c r="Y14" s="64">
        <v>0</v>
      </c>
      <c r="Z14" s="64">
        <v>0</v>
      </c>
      <c r="AA14" s="64">
        <v>1</v>
      </c>
      <c r="AE14" s="45"/>
    </row>
    <row r="15" spans="1:31" s="25" customFormat="1">
      <c r="A15" s="123">
        <v>163</v>
      </c>
      <c r="B15" s="64">
        <v>9</v>
      </c>
      <c r="C15" s="64" t="s">
        <v>216</v>
      </c>
      <c r="D15" s="64">
        <v>7</v>
      </c>
      <c r="E15" s="64">
        <v>1</v>
      </c>
      <c r="F15" s="64"/>
      <c r="G15" s="64"/>
      <c r="H15" s="64"/>
      <c r="I15" s="96">
        <v>41983</v>
      </c>
      <c r="J15" s="98" t="s">
        <v>217</v>
      </c>
      <c r="K15" s="98">
        <v>41992</v>
      </c>
      <c r="L15" s="97">
        <v>0.3125</v>
      </c>
      <c r="M15" s="99">
        <f t="shared" ref="M15:M17" si="3">12960-42</f>
        <v>12918</v>
      </c>
      <c r="N15" s="100">
        <f t="shared" si="0"/>
        <v>215.3</v>
      </c>
      <c r="O15" s="99">
        <v>7</v>
      </c>
      <c r="P15" s="64" t="s">
        <v>118</v>
      </c>
      <c r="Q15" s="101">
        <v>41985</v>
      </c>
      <c r="R15" s="102">
        <v>0.38263888888888892</v>
      </c>
      <c r="S15" s="64">
        <v>11</v>
      </c>
      <c r="T15" s="64">
        <v>3</v>
      </c>
      <c r="U15" s="64">
        <v>3</v>
      </c>
      <c r="V15" s="65">
        <v>3</v>
      </c>
      <c r="W15" s="64">
        <v>0</v>
      </c>
      <c r="X15" s="66">
        <v>0</v>
      </c>
      <c r="Y15" s="64">
        <v>0</v>
      </c>
      <c r="Z15" s="64">
        <v>0</v>
      </c>
      <c r="AA15" s="64">
        <v>0</v>
      </c>
      <c r="AE15" s="45"/>
    </row>
    <row r="16" spans="1:31" s="25" customFormat="1">
      <c r="A16" s="123">
        <v>165</v>
      </c>
      <c r="B16" s="64">
        <v>9</v>
      </c>
      <c r="C16" s="64" t="s">
        <v>216</v>
      </c>
      <c r="D16" s="64">
        <v>7</v>
      </c>
      <c r="E16" s="64">
        <v>1</v>
      </c>
      <c r="F16" s="64"/>
      <c r="G16" s="64"/>
      <c r="H16" s="64"/>
      <c r="I16" s="96">
        <v>41983</v>
      </c>
      <c r="J16" s="98" t="s">
        <v>217</v>
      </c>
      <c r="K16" s="98">
        <v>41992</v>
      </c>
      <c r="L16" s="97">
        <v>0.3125</v>
      </c>
      <c r="M16" s="99">
        <f t="shared" si="3"/>
        <v>12918</v>
      </c>
      <c r="N16" s="100">
        <f t="shared" si="0"/>
        <v>215.3</v>
      </c>
      <c r="O16" s="99">
        <v>7</v>
      </c>
      <c r="P16" s="64" t="s">
        <v>108</v>
      </c>
      <c r="Q16" s="101">
        <v>41986</v>
      </c>
      <c r="R16" s="102">
        <v>0.71527777777777779</v>
      </c>
      <c r="S16" s="64">
        <v>11</v>
      </c>
      <c r="T16" s="64">
        <v>2</v>
      </c>
      <c r="U16" s="64">
        <v>2</v>
      </c>
      <c r="V16" s="65">
        <v>2</v>
      </c>
      <c r="W16" s="64">
        <v>0</v>
      </c>
      <c r="X16" s="66">
        <v>0</v>
      </c>
      <c r="Y16" s="64">
        <v>0</v>
      </c>
      <c r="Z16" s="64">
        <v>0</v>
      </c>
      <c r="AA16" s="64">
        <v>0</v>
      </c>
      <c r="AE16" s="45"/>
    </row>
    <row r="17" spans="1:31" s="25" customFormat="1">
      <c r="A17" s="123">
        <v>167</v>
      </c>
      <c r="B17" s="64">
        <v>9</v>
      </c>
      <c r="C17" s="64" t="s">
        <v>216</v>
      </c>
      <c r="D17" s="64">
        <v>7</v>
      </c>
      <c r="E17" s="64">
        <v>1</v>
      </c>
      <c r="F17" s="64"/>
      <c r="G17" s="64"/>
      <c r="H17" s="64"/>
      <c r="I17" s="96">
        <v>41983</v>
      </c>
      <c r="J17" s="98" t="s">
        <v>217</v>
      </c>
      <c r="K17" s="98">
        <v>41992</v>
      </c>
      <c r="L17" s="97">
        <v>0.3125</v>
      </c>
      <c r="M17" s="99">
        <f t="shared" si="3"/>
        <v>12918</v>
      </c>
      <c r="N17" s="100">
        <f t="shared" si="0"/>
        <v>215.3</v>
      </c>
      <c r="O17" s="99">
        <v>7</v>
      </c>
      <c r="P17" s="64" t="s">
        <v>134</v>
      </c>
      <c r="Q17" s="101">
        <v>41990</v>
      </c>
      <c r="R17" s="102">
        <v>0.26250000000000001</v>
      </c>
      <c r="S17" s="64">
        <v>11</v>
      </c>
      <c r="T17" s="64">
        <v>4</v>
      </c>
      <c r="U17" s="64">
        <v>4</v>
      </c>
      <c r="V17" s="65">
        <v>0</v>
      </c>
      <c r="W17" s="64">
        <v>1</v>
      </c>
      <c r="X17" s="66">
        <v>0</v>
      </c>
      <c r="Y17" s="64">
        <v>0</v>
      </c>
      <c r="Z17" s="64">
        <v>0</v>
      </c>
      <c r="AA17" s="64">
        <v>3</v>
      </c>
      <c r="AE17" s="45"/>
    </row>
    <row r="18" spans="1:31" s="64" customFormat="1">
      <c r="A18" s="123">
        <v>175</v>
      </c>
      <c r="B18" s="64">
        <v>1</v>
      </c>
      <c r="C18" s="64" t="s">
        <v>202</v>
      </c>
      <c r="D18" s="64">
        <v>8</v>
      </c>
      <c r="E18" s="64">
        <v>1</v>
      </c>
      <c r="I18" s="96">
        <v>41989</v>
      </c>
      <c r="J18" s="97">
        <v>0.35833333333333334</v>
      </c>
      <c r="K18" s="98">
        <v>41996</v>
      </c>
      <c r="L18" s="97">
        <v>0.34722222222222227</v>
      </c>
      <c r="M18" s="99">
        <f t="shared" ref="M18:M32" si="4">10080-16</f>
        <v>10064</v>
      </c>
      <c r="N18" s="100">
        <f t="shared" si="0"/>
        <v>167.73333333333332</v>
      </c>
      <c r="O18" s="99">
        <v>28</v>
      </c>
      <c r="P18" s="64" t="s">
        <v>303</v>
      </c>
      <c r="Q18" s="101">
        <v>41991</v>
      </c>
      <c r="R18" s="102">
        <v>0.10972222222222222</v>
      </c>
      <c r="S18" s="64">
        <v>1111</v>
      </c>
      <c r="T18" s="64">
        <v>2</v>
      </c>
      <c r="U18" s="64">
        <v>2</v>
      </c>
      <c r="V18" s="65">
        <v>2</v>
      </c>
      <c r="W18" s="64">
        <v>0</v>
      </c>
      <c r="X18" s="66">
        <v>0</v>
      </c>
      <c r="Y18" s="64">
        <v>0</v>
      </c>
      <c r="Z18" s="64">
        <v>0</v>
      </c>
      <c r="AA18" s="64">
        <v>0</v>
      </c>
      <c r="AE18" s="100"/>
    </row>
    <row r="19" spans="1:31" s="64" customFormat="1">
      <c r="A19" s="123">
        <v>178</v>
      </c>
      <c r="B19" s="64">
        <v>1</v>
      </c>
      <c r="C19" s="64" t="s">
        <v>202</v>
      </c>
      <c r="D19" s="64">
        <v>8</v>
      </c>
      <c r="E19" s="64">
        <v>1</v>
      </c>
      <c r="I19" s="96">
        <v>41989</v>
      </c>
      <c r="J19" s="97">
        <v>0.35833333333333334</v>
      </c>
      <c r="K19" s="98">
        <v>41996</v>
      </c>
      <c r="L19" s="97">
        <v>0.34722222222222227</v>
      </c>
      <c r="M19" s="99">
        <f t="shared" si="4"/>
        <v>10064</v>
      </c>
      <c r="N19" s="100">
        <f t="shared" si="0"/>
        <v>167.73333333333332</v>
      </c>
      <c r="O19" s="99">
        <v>28</v>
      </c>
      <c r="P19" s="64" t="s">
        <v>110</v>
      </c>
      <c r="Q19" s="101">
        <v>41991</v>
      </c>
      <c r="R19" s="102">
        <v>0.9145833333333333</v>
      </c>
      <c r="S19" s="64">
        <v>1111</v>
      </c>
      <c r="T19" s="64">
        <v>4</v>
      </c>
      <c r="U19" s="64">
        <v>2</v>
      </c>
      <c r="V19" s="65">
        <v>2</v>
      </c>
      <c r="W19" s="64">
        <v>0</v>
      </c>
      <c r="X19" s="66">
        <v>2</v>
      </c>
      <c r="Y19" s="64">
        <v>0</v>
      </c>
      <c r="Z19" s="64">
        <v>0</v>
      </c>
      <c r="AA19" s="64">
        <v>0</v>
      </c>
      <c r="AE19" s="100"/>
    </row>
    <row r="20" spans="1:31" s="64" customFormat="1">
      <c r="A20" s="123">
        <v>179</v>
      </c>
      <c r="B20" s="64">
        <v>1</v>
      </c>
      <c r="C20" s="64" t="s">
        <v>202</v>
      </c>
      <c r="D20" s="64">
        <v>8</v>
      </c>
      <c r="E20" s="64">
        <v>1</v>
      </c>
      <c r="I20" s="96">
        <v>41989</v>
      </c>
      <c r="J20" s="97">
        <v>0.35833333333333334</v>
      </c>
      <c r="K20" s="98">
        <v>41996</v>
      </c>
      <c r="L20" s="97">
        <v>0.34722222222222227</v>
      </c>
      <c r="M20" s="99">
        <f t="shared" si="4"/>
        <v>10064</v>
      </c>
      <c r="N20" s="100">
        <f t="shared" si="0"/>
        <v>167.73333333333332</v>
      </c>
      <c r="O20" s="99">
        <v>28</v>
      </c>
      <c r="P20" s="64" t="s">
        <v>114</v>
      </c>
      <c r="Q20" s="101">
        <v>41992</v>
      </c>
      <c r="R20" s="102">
        <v>0.12083333333333333</v>
      </c>
      <c r="S20" s="64">
        <v>11</v>
      </c>
      <c r="T20" s="64">
        <v>3</v>
      </c>
      <c r="U20" s="64">
        <v>3</v>
      </c>
      <c r="V20" s="65">
        <v>3</v>
      </c>
      <c r="W20" s="64">
        <v>0</v>
      </c>
      <c r="X20" s="66">
        <v>0</v>
      </c>
      <c r="Y20" s="64">
        <v>0</v>
      </c>
      <c r="Z20" s="64">
        <v>0</v>
      </c>
      <c r="AA20" s="64">
        <v>0</v>
      </c>
      <c r="AE20" s="100"/>
    </row>
    <row r="21" spans="1:31" s="64" customFormat="1">
      <c r="A21" s="123">
        <v>181</v>
      </c>
      <c r="B21" s="64">
        <v>1</v>
      </c>
      <c r="C21" s="64" t="s">
        <v>202</v>
      </c>
      <c r="D21" s="64">
        <v>8</v>
      </c>
      <c r="E21" s="64">
        <v>1</v>
      </c>
      <c r="I21" s="96">
        <v>41989</v>
      </c>
      <c r="J21" s="97">
        <v>0.35833333333333334</v>
      </c>
      <c r="K21" s="98">
        <v>41996</v>
      </c>
      <c r="L21" s="97">
        <v>0.34722222222222227</v>
      </c>
      <c r="M21" s="99">
        <f t="shared" si="4"/>
        <v>10064</v>
      </c>
      <c r="N21" s="100">
        <f t="shared" si="0"/>
        <v>167.73333333333332</v>
      </c>
      <c r="O21" s="99">
        <v>28</v>
      </c>
      <c r="P21" s="64" t="s">
        <v>112</v>
      </c>
      <c r="Q21" s="101">
        <v>41992</v>
      </c>
      <c r="R21" s="102">
        <v>0.74583333333333324</v>
      </c>
      <c r="S21" s="64">
        <v>11</v>
      </c>
      <c r="T21" s="64">
        <v>4</v>
      </c>
      <c r="U21" s="64">
        <v>4</v>
      </c>
      <c r="V21" s="65">
        <v>0</v>
      </c>
      <c r="W21" s="64">
        <v>2</v>
      </c>
      <c r="X21" s="66">
        <v>0</v>
      </c>
      <c r="Y21" s="64">
        <v>0</v>
      </c>
      <c r="Z21" s="64">
        <v>0</v>
      </c>
      <c r="AA21" s="64">
        <v>2</v>
      </c>
      <c r="AE21" s="100"/>
    </row>
    <row r="22" spans="1:31" s="64" customFormat="1">
      <c r="A22" s="123">
        <v>182</v>
      </c>
      <c r="B22" s="64">
        <v>1</v>
      </c>
      <c r="C22" s="64" t="s">
        <v>202</v>
      </c>
      <c r="D22" s="64">
        <v>8</v>
      </c>
      <c r="E22" s="64">
        <v>1</v>
      </c>
      <c r="I22" s="96">
        <v>41989</v>
      </c>
      <c r="J22" s="97">
        <v>0.35833333333333334</v>
      </c>
      <c r="K22" s="98">
        <v>41996</v>
      </c>
      <c r="L22" s="97">
        <v>0.34722222222222227</v>
      </c>
      <c r="M22" s="99">
        <f t="shared" si="4"/>
        <v>10064</v>
      </c>
      <c r="N22" s="100">
        <f t="shared" si="0"/>
        <v>167.73333333333332</v>
      </c>
      <c r="O22" s="99">
        <v>28</v>
      </c>
      <c r="P22" s="64" t="s">
        <v>301</v>
      </c>
      <c r="Q22" s="101">
        <v>41993</v>
      </c>
      <c r="R22" s="102">
        <v>4.7916666666666663E-2</v>
      </c>
      <c r="S22" s="64">
        <v>11</v>
      </c>
      <c r="T22" s="64">
        <v>4</v>
      </c>
      <c r="U22" s="64">
        <v>4</v>
      </c>
      <c r="V22" s="65">
        <v>0</v>
      </c>
      <c r="W22" s="64">
        <v>0</v>
      </c>
      <c r="X22" s="66">
        <v>0</v>
      </c>
      <c r="Y22" s="64">
        <v>0</v>
      </c>
      <c r="Z22" s="64">
        <v>0</v>
      </c>
      <c r="AA22" s="64">
        <v>4</v>
      </c>
      <c r="AE22" s="100"/>
    </row>
    <row r="23" spans="1:31" s="64" customFormat="1">
      <c r="A23" s="123">
        <v>183</v>
      </c>
      <c r="B23" s="64">
        <v>1</v>
      </c>
      <c r="C23" s="64" t="s">
        <v>202</v>
      </c>
      <c r="D23" s="64">
        <v>8</v>
      </c>
      <c r="E23" s="64">
        <v>1</v>
      </c>
      <c r="I23" s="96">
        <v>41989</v>
      </c>
      <c r="J23" s="97">
        <v>0.35833333333333334</v>
      </c>
      <c r="K23" s="98">
        <v>41996</v>
      </c>
      <c r="L23" s="97">
        <v>0.34722222222222227</v>
      </c>
      <c r="M23" s="99">
        <f t="shared" si="4"/>
        <v>10064</v>
      </c>
      <c r="N23" s="100">
        <f t="shared" si="0"/>
        <v>167.73333333333332</v>
      </c>
      <c r="O23" s="99">
        <v>28</v>
      </c>
      <c r="P23" s="64" t="s">
        <v>304</v>
      </c>
      <c r="Q23" s="101">
        <v>41993</v>
      </c>
      <c r="R23" s="102">
        <v>9.3055555555555558E-2</v>
      </c>
      <c r="S23" s="64">
        <v>11</v>
      </c>
      <c r="T23" s="64">
        <v>3</v>
      </c>
      <c r="U23" s="64">
        <v>3</v>
      </c>
      <c r="V23" s="65">
        <v>0</v>
      </c>
      <c r="W23" s="64">
        <v>0</v>
      </c>
      <c r="X23" s="66">
        <v>0</v>
      </c>
      <c r="Y23" s="64">
        <v>0</v>
      </c>
      <c r="Z23" s="64">
        <v>0</v>
      </c>
      <c r="AA23" s="64">
        <v>3</v>
      </c>
      <c r="AE23" s="100"/>
    </row>
    <row r="24" spans="1:31" s="64" customFormat="1">
      <c r="A24" s="123">
        <v>185</v>
      </c>
      <c r="B24" s="64">
        <v>1</v>
      </c>
      <c r="C24" s="64" t="s">
        <v>202</v>
      </c>
      <c r="D24" s="64">
        <v>8</v>
      </c>
      <c r="E24" s="64">
        <v>1</v>
      </c>
      <c r="I24" s="96">
        <v>41989</v>
      </c>
      <c r="J24" s="97">
        <v>0.35833333333333334</v>
      </c>
      <c r="K24" s="98">
        <v>41996</v>
      </c>
      <c r="L24" s="97">
        <v>0.34722222222222227</v>
      </c>
      <c r="M24" s="99">
        <f t="shared" si="4"/>
        <v>10064</v>
      </c>
      <c r="N24" s="100">
        <f t="shared" si="0"/>
        <v>167.73333333333332</v>
      </c>
      <c r="O24" s="99">
        <v>28</v>
      </c>
      <c r="P24" s="64" t="s">
        <v>306</v>
      </c>
      <c r="Q24" s="101">
        <v>41993</v>
      </c>
      <c r="R24" s="102">
        <v>0.76597222222222217</v>
      </c>
      <c r="S24" s="64">
        <v>11</v>
      </c>
      <c r="T24" s="64">
        <v>5</v>
      </c>
      <c r="U24" s="64">
        <v>4</v>
      </c>
      <c r="V24" s="65">
        <v>2</v>
      </c>
      <c r="W24" s="64">
        <v>0</v>
      </c>
      <c r="X24" s="66">
        <v>1</v>
      </c>
      <c r="Y24" s="64">
        <v>0</v>
      </c>
      <c r="Z24" s="64">
        <v>0</v>
      </c>
      <c r="AA24" s="64">
        <v>2</v>
      </c>
      <c r="AE24" s="100"/>
    </row>
    <row r="25" spans="1:31" s="64" customFormat="1">
      <c r="A25" s="123">
        <v>186</v>
      </c>
      <c r="B25" s="64">
        <v>1</v>
      </c>
      <c r="C25" s="64" t="s">
        <v>202</v>
      </c>
      <c r="D25" s="64">
        <v>8</v>
      </c>
      <c r="E25" s="64">
        <v>1</v>
      </c>
      <c r="I25" s="96">
        <v>41989</v>
      </c>
      <c r="J25" s="97">
        <v>0.35833333333333334</v>
      </c>
      <c r="K25" s="98">
        <v>41996</v>
      </c>
      <c r="L25" s="97">
        <v>0.34722222222222227</v>
      </c>
      <c r="M25" s="99">
        <f t="shared" si="4"/>
        <v>10064</v>
      </c>
      <c r="N25" s="100">
        <f t="shared" si="0"/>
        <v>167.73333333333332</v>
      </c>
      <c r="O25" s="99">
        <v>28</v>
      </c>
      <c r="P25" s="64" t="s">
        <v>307</v>
      </c>
      <c r="Q25" s="101">
        <v>41993</v>
      </c>
      <c r="R25" s="102">
        <v>0.94513888888888886</v>
      </c>
      <c r="S25" s="64">
        <v>11</v>
      </c>
      <c r="T25" s="64">
        <v>2</v>
      </c>
      <c r="U25" s="64">
        <v>2</v>
      </c>
      <c r="V25" s="65">
        <v>2</v>
      </c>
      <c r="W25" s="64">
        <v>0</v>
      </c>
      <c r="X25" s="66">
        <v>0</v>
      </c>
      <c r="Y25" s="64">
        <v>0</v>
      </c>
      <c r="Z25" s="64">
        <v>0</v>
      </c>
      <c r="AA25" s="64">
        <v>0</v>
      </c>
      <c r="AE25" s="100"/>
    </row>
    <row r="26" spans="1:31" s="64" customFormat="1">
      <c r="A26" s="123">
        <v>187</v>
      </c>
      <c r="B26" s="64">
        <v>1</v>
      </c>
      <c r="C26" s="64" t="s">
        <v>202</v>
      </c>
      <c r="D26" s="64">
        <v>8</v>
      </c>
      <c r="E26" s="64">
        <v>1</v>
      </c>
      <c r="I26" s="96">
        <v>41989</v>
      </c>
      <c r="J26" s="97">
        <v>0.35833333333333334</v>
      </c>
      <c r="K26" s="98">
        <v>41996</v>
      </c>
      <c r="L26" s="97">
        <v>0.34722222222222227</v>
      </c>
      <c r="M26" s="99">
        <f t="shared" si="4"/>
        <v>10064</v>
      </c>
      <c r="N26" s="100">
        <f t="shared" si="0"/>
        <v>167.73333333333332</v>
      </c>
      <c r="O26" s="99">
        <v>28</v>
      </c>
      <c r="P26" s="64" t="s">
        <v>308</v>
      </c>
      <c r="Q26" s="101">
        <v>41994</v>
      </c>
      <c r="R26" s="102">
        <v>0.12708333333333333</v>
      </c>
      <c r="S26" s="64">
        <v>11</v>
      </c>
      <c r="T26" s="64">
        <v>6</v>
      </c>
      <c r="U26" s="64">
        <v>6</v>
      </c>
      <c r="V26" s="65">
        <v>4</v>
      </c>
      <c r="W26" s="64">
        <v>2</v>
      </c>
      <c r="X26" s="66">
        <v>0</v>
      </c>
      <c r="Y26" s="64">
        <v>0</v>
      </c>
      <c r="Z26" s="64">
        <v>0</v>
      </c>
      <c r="AA26" s="64">
        <v>0</v>
      </c>
      <c r="AE26" s="100"/>
    </row>
    <row r="27" spans="1:31" s="64" customFormat="1">
      <c r="A27" s="123">
        <v>188</v>
      </c>
      <c r="B27" s="64">
        <v>1</v>
      </c>
      <c r="C27" s="64" t="s">
        <v>202</v>
      </c>
      <c r="D27" s="64">
        <v>8</v>
      </c>
      <c r="E27" s="64">
        <v>1</v>
      </c>
      <c r="I27" s="96">
        <v>41989</v>
      </c>
      <c r="J27" s="97">
        <v>0.35833333333333334</v>
      </c>
      <c r="K27" s="98">
        <v>41996</v>
      </c>
      <c r="L27" s="97">
        <v>0.34722222222222227</v>
      </c>
      <c r="M27" s="99">
        <f t="shared" si="4"/>
        <v>10064</v>
      </c>
      <c r="N27" s="100">
        <f t="shared" si="0"/>
        <v>167.73333333333332</v>
      </c>
      <c r="O27" s="99">
        <v>28</v>
      </c>
      <c r="P27" s="64" t="s">
        <v>203</v>
      </c>
      <c r="Q27" s="101">
        <v>41995</v>
      </c>
      <c r="R27" s="102">
        <v>4.7222222222222221E-2</v>
      </c>
      <c r="S27" s="64">
        <v>11</v>
      </c>
      <c r="T27" s="64">
        <v>4</v>
      </c>
      <c r="U27" s="64">
        <v>4</v>
      </c>
      <c r="V27" s="65">
        <v>4</v>
      </c>
      <c r="W27" s="64">
        <v>0</v>
      </c>
      <c r="X27" s="66">
        <v>0</v>
      </c>
      <c r="Y27" s="64">
        <v>0</v>
      </c>
      <c r="Z27" s="64">
        <v>0</v>
      </c>
      <c r="AA27" s="64">
        <v>0</v>
      </c>
      <c r="AE27" s="100"/>
    </row>
    <row r="28" spans="1:31" s="64" customFormat="1">
      <c r="A28" s="123">
        <v>189</v>
      </c>
      <c r="B28" s="64">
        <v>1</v>
      </c>
      <c r="C28" s="64" t="s">
        <v>202</v>
      </c>
      <c r="D28" s="64">
        <v>8</v>
      </c>
      <c r="E28" s="64">
        <v>1</v>
      </c>
      <c r="I28" s="96">
        <v>41989</v>
      </c>
      <c r="J28" s="97">
        <v>0.35833333333333334</v>
      </c>
      <c r="K28" s="98">
        <v>41996</v>
      </c>
      <c r="L28" s="97">
        <v>0.34722222222222227</v>
      </c>
      <c r="M28" s="99">
        <f t="shared" si="4"/>
        <v>10064</v>
      </c>
      <c r="N28" s="100">
        <f t="shared" si="0"/>
        <v>167.73333333333332</v>
      </c>
      <c r="O28" s="99">
        <v>28</v>
      </c>
      <c r="P28" s="64" t="s">
        <v>204</v>
      </c>
      <c r="Q28" s="101">
        <v>41995</v>
      </c>
      <c r="R28" s="102">
        <v>0.19444444444444445</v>
      </c>
      <c r="S28" s="64">
        <v>11</v>
      </c>
      <c r="T28" s="64">
        <v>2</v>
      </c>
      <c r="U28" s="64">
        <v>2</v>
      </c>
      <c r="V28" s="65">
        <v>1</v>
      </c>
      <c r="W28" s="64">
        <v>0</v>
      </c>
      <c r="X28" s="66">
        <v>0</v>
      </c>
      <c r="Y28" s="64">
        <v>0</v>
      </c>
      <c r="Z28" s="64">
        <v>0</v>
      </c>
      <c r="AA28" s="64">
        <v>1</v>
      </c>
      <c r="AE28" s="100"/>
    </row>
    <row r="29" spans="1:31" s="64" customFormat="1">
      <c r="A29" s="123">
        <v>191</v>
      </c>
      <c r="B29" s="64">
        <v>1</v>
      </c>
      <c r="C29" s="64" t="s">
        <v>202</v>
      </c>
      <c r="D29" s="64">
        <v>8</v>
      </c>
      <c r="E29" s="64">
        <v>1</v>
      </c>
      <c r="I29" s="96">
        <v>41989</v>
      </c>
      <c r="J29" s="97">
        <v>0.35833333333333334</v>
      </c>
      <c r="K29" s="98">
        <v>41996</v>
      </c>
      <c r="L29" s="97">
        <v>0.34722222222222227</v>
      </c>
      <c r="M29" s="99">
        <f t="shared" si="4"/>
        <v>10064</v>
      </c>
      <c r="N29" s="100">
        <f t="shared" si="0"/>
        <v>167.73333333333332</v>
      </c>
      <c r="O29" s="99">
        <v>28</v>
      </c>
      <c r="P29" s="64" t="s">
        <v>206</v>
      </c>
      <c r="Q29" s="101">
        <v>41995</v>
      </c>
      <c r="R29" s="102">
        <v>0.76250000000000007</v>
      </c>
      <c r="S29" s="64">
        <v>11</v>
      </c>
      <c r="T29" s="64">
        <v>4</v>
      </c>
      <c r="U29" s="64">
        <v>4</v>
      </c>
      <c r="V29" s="65">
        <v>4</v>
      </c>
      <c r="W29" s="64">
        <v>0</v>
      </c>
      <c r="X29" s="66">
        <v>0</v>
      </c>
      <c r="Y29" s="64">
        <v>0</v>
      </c>
      <c r="Z29" s="64">
        <v>0</v>
      </c>
      <c r="AA29" s="64">
        <v>0</v>
      </c>
      <c r="AE29" s="100"/>
    </row>
    <row r="30" spans="1:31" s="64" customFormat="1">
      <c r="A30" s="123">
        <v>192</v>
      </c>
      <c r="B30" s="64">
        <v>1</v>
      </c>
      <c r="C30" s="64" t="s">
        <v>202</v>
      </c>
      <c r="D30" s="64">
        <v>8</v>
      </c>
      <c r="E30" s="64">
        <v>1</v>
      </c>
      <c r="I30" s="96">
        <v>41989</v>
      </c>
      <c r="J30" s="97">
        <v>0.35833333333333334</v>
      </c>
      <c r="K30" s="98">
        <v>41996</v>
      </c>
      <c r="L30" s="97">
        <v>0.34722222222222227</v>
      </c>
      <c r="M30" s="99">
        <f t="shared" si="4"/>
        <v>10064</v>
      </c>
      <c r="N30" s="100">
        <f t="shared" si="0"/>
        <v>167.73333333333332</v>
      </c>
      <c r="O30" s="99">
        <v>28</v>
      </c>
      <c r="P30" s="64" t="s">
        <v>207</v>
      </c>
      <c r="Q30" s="101">
        <v>41995</v>
      </c>
      <c r="R30" s="102">
        <v>0.81736111111111109</v>
      </c>
      <c r="S30" s="64">
        <v>11</v>
      </c>
      <c r="T30" s="64">
        <v>5</v>
      </c>
      <c r="U30" s="64">
        <v>5</v>
      </c>
      <c r="V30" s="65">
        <v>4</v>
      </c>
      <c r="W30" s="64">
        <v>1</v>
      </c>
      <c r="X30" s="66">
        <v>0</v>
      </c>
      <c r="Y30" s="64">
        <v>0</v>
      </c>
      <c r="Z30" s="64">
        <v>0</v>
      </c>
      <c r="AA30" s="64">
        <v>0</v>
      </c>
      <c r="AE30" s="100"/>
    </row>
    <row r="31" spans="1:31" s="64" customFormat="1">
      <c r="A31" s="123">
        <v>195</v>
      </c>
      <c r="B31" s="64">
        <v>1</v>
      </c>
      <c r="C31" s="64" t="s">
        <v>202</v>
      </c>
      <c r="D31" s="64">
        <v>8</v>
      </c>
      <c r="E31" s="64">
        <v>1</v>
      </c>
      <c r="I31" s="96">
        <v>41989</v>
      </c>
      <c r="J31" s="97">
        <v>0.35833333333333334</v>
      </c>
      <c r="K31" s="98">
        <v>41996</v>
      </c>
      <c r="L31" s="97">
        <v>0.34722222222222227</v>
      </c>
      <c r="M31" s="99">
        <f t="shared" si="4"/>
        <v>10064</v>
      </c>
      <c r="N31" s="100">
        <f t="shared" si="0"/>
        <v>167.73333333333332</v>
      </c>
      <c r="O31" s="99">
        <v>28</v>
      </c>
      <c r="P31" s="64" t="s">
        <v>210</v>
      </c>
      <c r="Q31" s="101">
        <v>41996</v>
      </c>
      <c r="R31" s="102">
        <v>8.2638888888888887E-2</v>
      </c>
      <c r="S31" s="64">
        <v>11</v>
      </c>
      <c r="T31" s="64">
        <v>3</v>
      </c>
      <c r="U31" s="64">
        <v>3</v>
      </c>
      <c r="V31" s="65">
        <v>0</v>
      </c>
      <c r="W31" s="64">
        <v>0</v>
      </c>
      <c r="X31" s="66">
        <v>0</v>
      </c>
      <c r="Y31" s="64">
        <v>0</v>
      </c>
      <c r="Z31" s="64">
        <v>0</v>
      </c>
      <c r="AA31" s="64">
        <v>3</v>
      </c>
      <c r="AE31" s="100"/>
    </row>
    <row r="32" spans="1:31" s="103" customFormat="1" ht="15.75" thickBot="1">
      <c r="A32" s="124">
        <v>196</v>
      </c>
      <c r="B32" s="103">
        <v>1</v>
      </c>
      <c r="C32" s="103" t="s">
        <v>202</v>
      </c>
      <c r="D32" s="103">
        <v>8</v>
      </c>
      <c r="E32" s="103">
        <v>1</v>
      </c>
      <c r="I32" s="104">
        <v>41989</v>
      </c>
      <c r="J32" s="105">
        <v>0.35833333333333334</v>
      </c>
      <c r="K32" s="106">
        <v>41996</v>
      </c>
      <c r="L32" s="105">
        <v>0.34722222222222227</v>
      </c>
      <c r="M32" s="107">
        <f t="shared" si="4"/>
        <v>10064</v>
      </c>
      <c r="N32" s="108">
        <f t="shared" si="0"/>
        <v>167.73333333333332</v>
      </c>
      <c r="O32" s="107">
        <v>28</v>
      </c>
      <c r="P32" s="103" t="s">
        <v>211</v>
      </c>
      <c r="Q32" s="109">
        <v>41996</v>
      </c>
      <c r="R32" s="110">
        <v>0.20347222222222219</v>
      </c>
      <c r="S32" s="103">
        <v>11</v>
      </c>
      <c r="T32" s="103">
        <v>2</v>
      </c>
      <c r="U32" s="103">
        <v>2</v>
      </c>
      <c r="V32" s="111">
        <v>2</v>
      </c>
      <c r="W32" s="103">
        <v>0</v>
      </c>
      <c r="X32" s="112">
        <v>0</v>
      </c>
      <c r="Y32" s="103">
        <v>0</v>
      </c>
      <c r="Z32" s="103">
        <v>0</v>
      </c>
      <c r="AA32" s="103">
        <v>0</v>
      </c>
      <c r="AE32" s="108"/>
    </row>
    <row r="33" spans="20:20">
      <c r="T33">
        <f>AVERAGE(T5:T32)</f>
        <v>3.1071428571428572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4"/>
  <sheetViews>
    <sheetView tabSelected="1" topLeftCell="A16" workbookViewId="0">
      <selection activeCell="E34" sqref="E34"/>
    </sheetView>
  </sheetViews>
  <sheetFormatPr defaultRowHeight="15"/>
  <sheetData>
    <row r="1" spans="1:42" s="18" customFormat="1" ht="15" customHeight="1">
      <c r="A1" s="121">
        <v>30</v>
      </c>
      <c r="B1" s="18">
        <v>22</v>
      </c>
      <c r="C1" s="18" t="s">
        <v>106</v>
      </c>
      <c r="D1" s="18">
        <v>7</v>
      </c>
      <c r="E1" s="18">
        <v>0</v>
      </c>
      <c r="F1" s="18">
        <v>968</v>
      </c>
      <c r="G1" s="18">
        <v>678489</v>
      </c>
      <c r="H1" s="18">
        <v>9358344</v>
      </c>
      <c r="I1" s="34">
        <v>41949</v>
      </c>
      <c r="J1" s="35">
        <v>0.70694444444444438</v>
      </c>
      <c r="K1" s="36">
        <v>41956</v>
      </c>
      <c r="L1" s="35">
        <v>0.67708333333333337</v>
      </c>
      <c r="M1" s="37">
        <v>10037</v>
      </c>
      <c r="N1" s="38">
        <f t="shared" ref="N1:N13" si="0">VALUE(M1/60)</f>
        <v>167.28333333333333</v>
      </c>
      <c r="O1" s="37">
        <v>5</v>
      </c>
      <c r="P1" s="18" t="s">
        <v>277</v>
      </c>
      <c r="Q1" s="26">
        <v>41952</v>
      </c>
      <c r="R1" s="27">
        <v>0.80763888888888891</v>
      </c>
      <c r="S1" s="18">
        <v>1</v>
      </c>
      <c r="T1" s="18">
        <v>2</v>
      </c>
      <c r="U1" s="18">
        <v>2</v>
      </c>
      <c r="V1" s="22">
        <v>2</v>
      </c>
      <c r="W1" s="20">
        <v>0</v>
      </c>
      <c r="X1" s="24">
        <v>0</v>
      </c>
      <c r="Y1" s="18">
        <v>0</v>
      </c>
      <c r="Z1" s="18">
        <v>0</v>
      </c>
      <c r="AA1" s="18">
        <v>0</v>
      </c>
      <c r="AB1" s="18">
        <v>60</v>
      </c>
      <c r="AC1" s="18">
        <v>3.59</v>
      </c>
      <c r="AD1" s="18">
        <v>5.6</v>
      </c>
      <c r="AE1" s="38">
        <v>0.187</v>
      </c>
    </row>
    <row r="2" spans="1:42" s="18" customFormat="1" ht="15" customHeight="1">
      <c r="A2" s="121">
        <v>32</v>
      </c>
      <c r="B2" s="18">
        <v>22</v>
      </c>
      <c r="C2" s="18" t="s">
        <v>106</v>
      </c>
      <c r="D2" s="18">
        <v>7</v>
      </c>
      <c r="E2" s="18">
        <v>0</v>
      </c>
      <c r="F2" s="18">
        <v>968</v>
      </c>
      <c r="G2" s="18">
        <v>678489</v>
      </c>
      <c r="H2" s="18">
        <v>9358344</v>
      </c>
      <c r="I2" s="34">
        <v>41949</v>
      </c>
      <c r="J2" s="35">
        <v>0.70694444444444438</v>
      </c>
      <c r="K2" s="36">
        <v>41956</v>
      </c>
      <c r="L2" s="35">
        <v>0.67708333333333337</v>
      </c>
      <c r="M2" s="37">
        <v>10037</v>
      </c>
      <c r="N2" s="38">
        <f t="shared" si="0"/>
        <v>167.28333333333333</v>
      </c>
      <c r="O2" s="37">
        <v>5</v>
      </c>
      <c r="P2" s="18" t="s">
        <v>279</v>
      </c>
      <c r="Q2" s="26">
        <v>41954</v>
      </c>
      <c r="R2" s="27">
        <v>0.16250000000000001</v>
      </c>
      <c r="S2" s="18">
        <v>1</v>
      </c>
      <c r="T2" s="18">
        <v>2</v>
      </c>
      <c r="U2" s="18">
        <v>2</v>
      </c>
      <c r="V2" s="22">
        <v>2</v>
      </c>
      <c r="W2" s="20">
        <v>0</v>
      </c>
      <c r="X2" s="24">
        <v>0</v>
      </c>
      <c r="Y2" s="18">
        <v>0</v>
      </c>
      <c r="Z2" s="18">
        <v>0</v>
      </c>
      <c r="AA2" s="18">
        <v>0</v>
      </c>
      <c r="AE2" s="38"/>
      <c r="AG2" s="140"/>
      <c r="AH2" s="140"/>
      <c r="AI2" s="140"/>
      <c r="AJ2" s="140"/>
      <c r="AK2" s="140"/>
      <c r="AL2" s="140"/>
      <c r="AM2" s="140"/>
      <c r="AN2" s="140"/>
      <c r="AO2" s="140"/>
      <c r="AP2" s="140"/>
    </row>
    <row r="3" spans="1:42" s="18" customFormat="1" ht="15" customHeight="1">
      <c r="A3" s="121">
        <v>67</v>
      </c>
      <c r="B3" s="18">
        <v>14</v>
      </c>
      <c r="C3" s="18" t="s">
        <v>138</v>
      </c>
      <c r="D3" s="18">
        <v>6</v>
      </c>
      <c r="E3" s="18">
        <v>0</v>
      </c>
      <c r="F3" s="18" t="s">
        <v>157</v>
      </c>
      <c r="G3" s="18">
        <v>682359</v>
      </c>
      <c r="H3" s="18">
        <v>9356640</v>
      </c>
      <c r="I3" s="34">
        <v>41963</v>
      </c>
      <c r="J3" s="35">
        <v>0.54722222222222217</v>
      </c>
      <c r="K3" s="36">
        <v>41970</v>
      </c>
      <c r="L3" s="35">
        <v>0.36805555555555558</v>
      </c>
      <c r="M3" s="37">
        <v>9798</v>
      </c>
      <c r="N3" s="38">
        <f t="shared" si="0"/>
        <v>163.30000000000001</v>
      </c>
      <c r="O3" s="37">
        <v>1</v>
      </c>
      <c r="P3" s="18" t="s">
        <v>288</v>
      </c>
      <c r="Q3" s="26">
        <v>41969</v>
      </c>
      <c r="R3" s="27">
        <v>0.98263888888888884</v>
      </c>
      <c r="S3" s="18">
        <v>1</v>
      </c>
      <c r="T3" s="18">
        <v>2</v>
      </c>
      <c r="U3" s="18">
        <v>2</v>
      </c>
      <c r="V3" s="22">
        <v>1</v>
      </c>
      <c r="W3" s="20">
        <v>1</v>
      </c>
      <c r="X3" s="24">
        <v>0</v>
      </c>
      <c r="Y3" s="18">
        <v>0</v>
      </c>
      <c r="Z3" s="18">
        <v>0</v>
      </c>
      <c r="AA3" s="18">
        <v>0</v>
      </c>
      <c r="AB3" s="18">
        <v>10</v>
      </c>
      <c r="AC3" s="18" t="s">
        <v>140</v>
      </c>
      <c r="AD3" s="18">
        <v>0.9</v>
      </c>
      <c r="AE3" s="38">
        <v>0.23</v>
      </c>
      <c r="AG3" s="140"/>
      <c r="AH3" s="140"/>
      <c r="AI3" s="140"/>
      <c r="AJ3" s="140"/>
      <c r="AK3" s="140"/>
      <c r="AL3" s="140"/>
      <c r="AM3" s="140"/>
      <c r="AN3" s="140"/>
      <c r="AO3" s="140"/>
      <c r="AP3" s="140"/>
    </row>
    <row r="4" spans="1:42" s="18" customFormat="1" ht="15" customHeight="1">
      <c r="A4" s="119">
        <v>142</v>
      </c>
      <c r="B4" s="18">
        <v>19</v>
      </c>
      <c r="C4" s="49" t="s">
        <v>172</v>
      </c>
      <c r="D4" s="49">
        <v>7</v>
      </c>
      <c r="E4" s="18">
        <v>0</v>
      </c>
      <c r="F4" s="49">
        <v>2157</v>
      </c>
      <c r="G4" s="49">
        <v>678201</v>
      </c>
      <c r="H4" s="49">
        <v>9359481</v>
      </c>
      <c r="I4" s="50">
        <v>41979</v>
      </c>
      <c r="J4" s="51">
        <v>0.41180555555555554</v>
      </c>
      <c r="K4" s="52">
        <v>41986</v>
      </c>
      <c r="L4" s="51">
        <v>0.39513888888888887</v>
      </c>
      <c r="M4" s="53">
        <v>10056</v>
      </c>
      <c r="N4" s="54">
        <f t="shared" si="0"/>
        <v>167.6</v>
      </c>
      <c r="O4" s="53">
        <v>6</v>
      </c>
      <c r="P4" s="18" t="s">
        <v>120</v>
      </c>
      <c r="Q4" s="26">
        <v>41985</v>
      </c>
      <c r="R4" s="27">
        <v>3.472222222222222E-3</v>
      </c>
      <c r="S4" s="18">
        <v>1</v>
      </c>
      <c r="T4" s="18">
        <v>2</v>
      </c>
      <c r="U4" s="18">
        <v>2</v>
      </c>
      <c r="V4" s="22">
        <v>0</v>
      </c>
      <c r="W4" s="20">
        <v>0</v>
      </c>
      <c r="X4" s="24">
        <v>0</v>
      </c>
      <c r="Y4" s="25">
        <v>0</v>
      </c>
      <c r="Z4" s="25">
        <v>0</v>
      </c>
      <c r="AA4" s="25">
        <v>2</v>
      </c>
      <c r="AE4" s="38"/>
      <c r="AG4" s="140"/>
      <c r="AH4" s="140"/>
      <c r="AI4" s="140"/>
      <c r="AJ4" s="140"/>
      <c r="AK4" s="140"/>
      <c r="AL4" s="140"/>
      <c r="AM4" s="140"/>
      <c r="AN4" s="140"/>
      <c r="AO4" s="140"/>
      <c r="AP4" s="140"/>
    </row>
    <row r="5" spans="1:42" s="18" customFormat="1" ht="15" customHeight="1">
      <c r="A5" s="119">
        <v>148</v>
      </c>
      <c r="B5" s="18">
        <v>19</v>
      </c>
      <c r="C5" s="18" t="s">
        <v>171</v>
      </c>
      <c r="D5" s="49">
        <v>7</v>
      </c>
      <c r="E5" s="18">
        <v>0</v>
      </c>
      <c r="F5" s="18">
        <v>2535</v>
      </c>
      <c r="G5" s="18">
        <v>676996</v>
      </c>
      <c r="H5" s="18">
        <v>9359828</v>
      </c>
      <c r="I5" s="34">
        <v>41979</v>
      </c>
      <c r="J5" s="35">
        <v>0.44444444444444442</v>
      </c>
      <c r="K5" s="36">
        <v>41986</v>
      </c>
      <c r="L5" s="35">
        <v>0.42708333333333331</v>
      </c>
      <c r="M5" s="37">
        <v>10055</v>
      </c>
      <c r="N5" s="38">
        <f t="shared" si="0"/>
        <v>167.58333333333334</v>
      </c>
      <c r="O5" s="37">
        <v>3</v>
      </c>
      <c r="P5" s="18" t="s">
        <v>120</v>
      </c>
      <c r="Q5" s="26">
        <v>41985</v>
      </c>
      <c r="R5" s="27">
        <v>3.472222222222222E-3</v>
      </c>
      <c r="S5" s="18">
        <v>1</v>
      </c>
      <c r="T5" s="18">
        <v>2</v>
      </c>
      <c r="U5" s="18">
        <v>2</v>
      </c>
      <c r="V5" s="22">
        <v>0</v>
      </c>
      <c r="W5" s="20">
        <v>0</v>
      </c>
      <c r="X5" s="24">
        <v>0</v>
      </c>
      <c r="Y5" s="25">
        <v>0</v>
      </c>
      <c r="Z5" s="25">
        <v>0</v>
      </c>
      <c r="AA5" s="25">
        <v>2</v>
      </c>
      <c r="AE5" s="38"/>
      <c r="AG5" s="140"/>
      <c r="AH5" s="140"/>
      <c r="AI5" s="140"/>
      <c r="AJ5" s="140"/>
      <c r="AK5" s="140"/>
      <c r="AL5" s="140"/>
      <c r="AM5" s="140"/>
      <c r="AN5" s="140"/>
      <c r="AO5" s="140"/>
      <c r="AP5" s="140"/>
    </row>
    <row r="6" spans="1:42" s="18" customFormat="1" ht="15" customHeight="1">
      <c r="A6" s="139">
        <v>258</v>
      </c>
      <c r="B6" s="140">
        <v>16</v>
      </c>
      <c r="C6" s="140" t="s">
        <v>235</v>
      </c>
      <c r="D6" s="141">
        <v>8</v>
      </c>
      <c r="E6" s="141">
        <v>0</v>
      </c>
      <c r="F6" s="140"/>
      <c r="G6" s="140"/>
      <c r="H6" s="140"/>
      <c r="I6" s="142">
        <v>41993</v>
      </c>
      <c r="J6" s="143">
        <v>0.39583333333333331</v>
      </c>
      <c r="K6" s="144">
        <v>42000</v>
      </c>
      <c r="L6" s="143">
        <v>0.35902777777777778</v>
      </c>
      <c r="M6" s="145">
        <f>10080-53</f>
        <v>10027</v>
      </c>
      <c r="N6" s="146">
        <f t="shared" si="0"/>
        <v>167.11666666666667</v>
      </c>
      <c r="O6" s="145">
        <v>8</v>
      </c>
      <c r="P6" s="140" t="s">
        <v>100</v>
      </c>
      <c r="Q6" s="147">
        <v>41994</v>
      </c>
      <c r="R6" s="148">
        <v>0.10555555555555556</v>
      </c>
      <c r="S6" s="140">
        <v>1</v>
      </c>
      <c r="T6" s="140">
        <v>2</v>
      </c>
      <c r="U6" s="140">
        <v>2</v>
      </c>
      <c r="V6" s="149">
        <v>0</v>
      </c>
      <c r="W6" s="141">
        <v>2</v>
      </c>
      <c r="X6" s="150">
        <v>0</v>
      </c>
      <c r="Y6" s="141">
        <v>0</v>
      </c>
      <c r="Z6" s="141">
        <v>0</v>
      </c>
      <c r="AA6" s="141">
        <v>0</v>
      </c>
      <c r="AB6" s="141">
        <v>5</v>
      </c>
      <c r="AC6" s="141">
        <v>2.48</v>
      </c>
      <c r="AD6" s="141">
        <v>2</v>
      </c>
      <c r="AE6" s="146">
        <f>2/3</f>
        <v>0.66666666666666663</v>
      </c>
      <c r="AF6" s="140"/>
    </row>
    <row r="7" spans="1:42" s="18" customFormat="1" ht="15" customHeight="1">
      <c r="A7" s="119">
        <v>282</v>
      </c>
      <c r="B7" s="18">
        <v>19</v>
      </c>
      <c r="C7" s="18" t="s">
        <v>239</v>
      </c>
      <c r="D7" s="25">
        <v>8</v>
      </c>
      <c r="E7" s="25">
        <v>0</v>
      </c>
      <c r="I7" s="34">
        <v>41993</v>
      </c>
      <c r="J7" s="35">
        <v>0.44444444444444442</v>
      </c>
      <c r="K7" s="36">
        <v>42000</v>
      </c>
      <c r="L7" s="35">
        <v>0.45624999999999999</v>
      </c>
      <c r="M7" s="37">
        <f>10080+17</f>
        <v>10097</v>
      </c>
      <c r="N7" s="38">
        <f t="shared" si="0"/>
        <v>168.28333333333333</v>
      </c>
      <c r="O7" s="37">
        <v>12</v>
      </c>
      <c r="P7" s="18" t="s">
        <v>156</v>
      </c>
      <c r="Q7" s="26">
        <v>41997</v>
      </c>
      <c r="R7" s="27">
        <v>0.13125000000000001</v>
      </c>
      <c r="S7" s="18">
        <v>1</v>
      </c>
      <c r="T7" s="18">
        <v>2</v>
      </c>
      <c r="U7" s="18">
        <v>2</v>
      </c>
      <c r="V7" s="22">
        <v>2</v>
      </c>
      <c r="W7" s="20">
        <v>0</v>
      </c>
      <c r="X7" s="24">
        <v>0</v>
      </c>
      <c r="Y7" s="25">
        <v>0</v>
      </c>
      <c r="Z7" s="25">
        <v>0</v>
      </c>
      <c r="AA7" s="25">
        <v>0</v>
      </c>
      <c r="AB7" s="25"/>
      <c r="AC7" s="25"/>
      <c r="AD7" s="25"/>
      <c r="AE7" s="38"/>
    </row>
    <row r="8" spans="1:42" s="18" customFormat="1" ht="15" customHeight="1">
      <c r="A8" s="119">
        <v>319.88903061224403</v>
      </c>
      <c r="B8" s="18">
        <v>9</v>
      </c>
      <c r="C8" s="18" t="s">
        <v>263</v>
      </c>
      <c r="D8" s="18">
        <v>7</v>
      </c>
      <c r="E8" s="18">
        <v>0</v>
      </c>
      <c r="I8" s="34">
        <v>42004</v>
      </c>
      <c r="J8" s="35">
        <v>0.44791666666666669</v>
      </c>
      <c r="K8" s="36">
        <v>42011</v>
      </c>
      <c r="L8" s="35">
        <v>0.4145833333333333</v>
      </c>
      <c r="M8" s="37">
        <f>10080-48</f>
        <v>10032</v>
      </c>
      <c r="N8" s="38">
        <f t="shared" si="0"/>
        <v>167.2</v>
      </c>
      <c r="O8" s="37">
        <v>5</v>
      </c>
      <c r="P8" s="18" t="s">
        <v>120</v>
      </c>
      <c r="Q8" s="26">
        <v>41641</v>
      </c>
      <c r="R8" s="27">
        <v>0.74722222222222223</v>
      </c>
      <c r="S8" s="18">
        <v>1</v>
      </c>
      <c r="T8" s="18">
        <v>2</v>
      </c>
      <c r="U8" s="18">
        <v>1</v>
      </c>
      <c r="V8" s="22">
        <v>1</v>
      </c>
      <c r="W8" s="20">
        <v>0</v>
      </c>
      <c r="X8" s="24">
        <v>1</v>
      </c>
      <c r="Y8" s="25">
        <v>0</v>
      </c>
      <c r="Z8" s="25">
        <v>0</v>
      </c>
      <c r="AA8" s="25">
        <v>0</v>
      </c>
      <c r="AE8" s="38"/>
      <c r="AG8" s="140"/>
      <c r="AH8" s="140"/>
      <c r="AI8" s="140"/>
      <c r="AJ8" s="140"/>
      <c r="AK8" s="140"/>
      <c r="AL8" s="140"/>
      <c r="AM8" s="140"/>
      <c r="AN8" s="140"/>
      <c r="AO8" s="140"/>
      <c r="AP8" s="140"/>
    </row>
    <row r="9" spans="1:42" s="18" customFormat="1" ht="15" customHeight="1">
      <c r="A9" s="139">
        <v>349.95918367343302</v>
      </c>
      <c r="B9" s="140">
        <v>18</v>
      </c>
      <c r="C9" s="140" t="s">
        <v>314</v>
      </c>
      <c r="D9" s="140">
        <v>7</v>
      </c>
      <c r="E9" s="140">
        <v>0</v>
      </c>
      <c r="F9" s="140"/>
      <c r="G9" s="140"/>
      <c r="H9" s="140"/>
      <c r="I9" s="142">
        <v>41640</v>
      </c>
      <c r="J9" s="143">
        <v>0.4861111111111111</v>
      </c>
      <c r="K9" s="144">
        <v>42012</v>
      </c>
      <c r="L9" s="143">
        <v>0.53819444444444442</v>
      </c>
      <c r="M9" s="145">
        <f>10080+75</f>
        <v>10155</v>
      </c>
      <c r="N9" s="146">
        <f t="shared" si="0"/>
        <v>169.25</v>
      </c>
      <c r="O9" s="145">
        <v>2</v>
      </c>
      <c r="P9" s="140" t="s">
        <v>100</v>
      </c>
      <c r="Q9" s="147">
        <v>42012</v>
      </c>
      <c r="R9" s="148">
        <v>3.5416666666666666E-2</v>
      </c>
      <c r="S9" s="140">
        <v>1</v>
      </c>
      <c r="T9" s="140">
        <v>2</v>
      </c>
      <c r="U9" s="140">
        <v>1</v>
      </c>
      <c r="V9" s="149">
        <v>1</v>
      </c>
      <c r="W9" s="141">
        <v>0</v>
      </c>
      <c r="X9" s="150">
        <v>1</v>
      </c>
      <c r="Y9" s="141">
        <v>0</v>
      </c>
      <c r="Z9" s="141">
        <v>0</v>
      </c>
      <c r="AA9" s="141">
        <v>0</v>
      </c>
      <c r="AB9" s="141">
        <v>10</v>
      </c>
      <c r="AC9" s="141">
        <v>4.4800000000000004</v>
      </c>
      <c r="AD9" s="141">
        <v>1.88</v>
      </c>
      <c r="AE9" s="146">
        <f>1.88/30</f>
        <v>6.2666666666666662E-2</v>
      </c>
      <c r="AF9" s="140"/>
    </row>
    <row r="10" spans="1:42" s="18" customFormat="1" ht="15" customHeight="1">
      <c r="A10" s="121">
        <v>1</v>
      </c>
      <c r="B10" s="18">
        <v>1</v>
      </c>
      <c r="C10" s="18" t="s">
        <v>62</v>
      </c>
      <c r="D10" s="18">
        <v>7</v>
      </c>
      <c r="E10" s="18">
        <v>0</v>
      </c>
      <c r="F10" s="18">
        <v>3604</v>
      </c>
      <c r="G10" s="18">
        <v>684862</v>
      </c>
      <c r="H10" s="18">
        <v>9362146</v>
      </c>
      <c r="I10" s="34">
        <v>41947</v>
      </c>
      <c r="J10" s="35">
        <v>0.43402777777777773</v>
      </c>
      <c r="K10" s="36">
        <v>41954</v>
      </c>
      <c r="L10" s="35">
        <v>0.46527777777777773</v>
      </c>
      <c r="M10" s="37">
        <v>10125</v>
      </c>
      <c r="N10" s="38">
        <f t="shared" si="0"/>
        <v>168.75</v>
      </c>
      <c r="O10" s="37">
        <v>2</v>
      </c>
      <c r="P10" s="18" t="s">
        <v>268</v>
      </c>
      <c r="Q10" s="26">
        <v>41950</v>
      </c>
      <c r="R10" s="27">
        <v>0.27708333333333335</v>
      </c>
      <c r="S10" s="18">
        <v>1</v>
      </c>
      <c r="T10" s="18">
        <v>3</v>
      </c>
      <c r="U10" s="18">
        <v>3</v>
      </c>
      <c r="V10" s="22">
        <v>2</v>
      </c>
      <c r="W10" s="20">
        <v>0</v>
      </c>
      <c r="X10" s="24">
        <v>0</v>
      </c>
      <c r="Y10" s="18">
        <v>0</v>
      </c>
      <c r="Z10" s="18">
        <v>0</v>
      </c>
      <c r="AA10" s="18">
        <v>1</v>
      </c>
      <c r="AB10" s="18">
        <v>60</v>
      </c>
      <c r="AC10" s="18">
        <v>5.3</v>
      </c>
      <c r="AD10" s="18">
        <v>2.5</v>
      </c>
      <c r="AE10" s="38">
        <v>8.5999999999999993E-2</v>
      </c>
      <c r="AF10" s="18" t="s">
        <v>93</v>
      </c>
    </row>
    <row r="11" spans="1:42" s="18" customFormat="1" ht="15" customHeight="1">
      <c r="A11" s="121">
        <v>31</v>
      </c>
      <c r="B11" s="18">
        <v>22</v>
      </c>
      <c r="C11" s="18" t="s">
        <v>106</v>
      </c>
      <c r="D11" s="18">
        <v>7</v>
      </c>
      <c r="E11" s="18">
        <v>0</v>
      </c>
      <c r="F11" s="18">
        <v>968</v>
      </c>
      <c r="G11" s="18">
        <v>678489</v>
      </c>
      <c r="H11" s="18">
        <v>9358344</v>
      </c>
      <c r="I11" s="34">
        <v>41949</v>
      </c>
      <c r="J11" s="35">
        <v>0.70694444444444438</v>
      </c>
      <c r="K11" s="36">
        <v>41956</v>
      </c>
      <c r="L11" s="35">
        <v>0.67708333333333337</v>
      </c>
      <c r="M11" s="37">
        <v>10037</v>
      </c>
      <c r="N11" s="38">
        <f t="shared" si="0"/>
        <v>167.28333333333333</v>
      </c>
      <c r="O11" s="37">
        <v>5</v>
      </c>
      <c r="P11" s="18" t="s">
        <v>278</v>
      </c>
      <c r="Q11" s="26">
        <v>41953</v>
      </c>
      <c r="R11" s="27">
        <v>0.85138888888888886</v>
      </c>
      <c r="S11" s="18">
        <v>1</v>
      </c>
      <c r="T11" s="18">
        <v>3</v>
      </c>
      <c r="U11" s="18">
        <v>3</v>
      </c>
      <c r="V11" s="22">
        <v>2</v>
      </c>
      <c r="W11" s="20">
        <v>0</v>
      </c>
      <c r="X11" s="24">
        <v>0</v>
      </c>
      <c r="Y11" s="18">
        <v>0</v>
      </c>
      <c r="Z11" s="18">
        <v>0</v>
      </c>
      <c r="AA11" s="18">
        <v>1</v>
      </c>
      <c r="AE11" s="38"/>
    </row>
    <row r="12" spans="1:42" s="18" customFormat="1" ht="15" customHeight="1">
      <c r="A12" s="121">
        <v>42</v>
      </c>
      <c r="B12" s="18">
        <v>19</v>
      </c>
      <c r="C12" s="18" t="s">
        <v>80</v>
      </c>
      <c r="D12" s="18">
        <v>7</v>
      </c>
      <c r="E12" s="18">
        <v>0</v>
      </c>
      <c r="F12" s="18">
        <v>744</v>
      </c>
      <c r="G12" s="18">
        <v>684636</v>
      </c>
      <c r="H12" s="18">
        <v>9357989</v>
      </c>
      <c r="I12" s="34">
        <v>41951</v>
      </c>
      <c r="J12" s="35">
        <v>0.5625</v>
      </c>
      <c r="K12" s="36">
        <v>41958</v>
      </c>
      <c r="L12" s="35">
        <v>0.52777777777777779</v>
      </c>
      <c r="M12" s="37">
        <v>10030</v>
      </c>
      <c r="N12" s="38">
        <f t="shared" si="0"/>
        <v>167.16666666666666</v>
      </c>
      <c r="O12" s="37">
        <v>2</v>
      </c>
      <c r="P12" s="18" t="s">
        <v>273</v>
      </c>
      <c r="Q12" s="26">
        <v>41958</v>
      </c>
      <c r="R12" s="27">
        <v>0.27013888888888887</v>
      </c>
      <c r="S12" s="18">
        <v>1</v>
      </c>
      <c r="T12" s="18">
        <v>3</v>
      </c>
      <c r="U12" s="18">
        <v>1</v>
      </c>
      <c r="V12" s="22">
        <v>1</v>
      </c>
      <c r="W12" s="20">
        <v>0</v>
      </c>
      <c r="X12" s="24">
        <v>2</v>
      </c>
      <c r="Y12" s="18">
        <v>0</v>
      </c>
      <c r="Z12" s="18">
        <v>0</v>
      </c>
      <c r="AA12" s="18">
        <v>0</v>
      </c>
      <c r="AB12" s="18">
        <v>10</v>
      </c>
      <c r="AC12" s="18">
        <v>2</v>
      </c>
      <c r="AD12" s="18">
        <v>5.3</v>
      </c>
      <c r="AE12" s="38">
        <v>0.53</v>
      </c>
    </row>
    <row r="13" spans="1:42" s="18" customFormat="1" ht="15" customHeight="1">
      <c r="A13" s="119">
        <v>116</v>
      </c>
      <c r="B13" s="18">
        <v>6</v>
      </c>
      <c r="C13" s="18" t="s">
        <v>180</v>
      </c>
      <c r="D13" s="18">
        <v>7</v>
      </c>
      <c r="E13" s="18">
        <v>0</v>
      </c>
      <c r="F13" s="18">
        <v>982</v>
      </c>
      <c r="G13" s="18">
        <v>670890</v>
      </c>
      <c r="H13" s="18">
        <v>9358261</v>
      </c>
      <c r="I13" s="34">
        <v>41976</v>
      </c>
      <c r="J13" s="35">
        <v>0.37083333333333335</v>
      </c>
      <c r="K13" s="36">
        <v>41976</v>
      </c>
      <c r="L13" s="35">
        <v>0.44097222222222227</v>
      </c>
      <c r="M13" s="37">
        <v>10129</v>
      </c>
      <c r="N13" s="38">
        <f t="shared" si="0"/>
        <v>168.81666666666666</v>
      </c>
      <c r="O13" s="37">
        <v>2</v>
      </c>
      <c r="P13" s="18" t="s">
        <v>84</v>
      </c>
      <c r="Q13" s="26">
        <v>41979</v>
      </c>
      <c r="R13" s="27">
        <v>0.21597222222222223</v>
      </c>
      <c r="S13" s="18">
        <v>1</v>
      </c>
      <c r="T13" s="18">
        <v>3</v>
      </c>
      <c r="U13" s="18">
        <v>3</v>
      </c>
      <c r="V13" s="22">
        <v>2</v>
      </c>
      <c r="W13" s="20">
        <v>1</v>
      </c>
      <c r="X13" s="24">
        <v>0</v>
      </c>
      <c r="Y13" s="25">
        <v>0</v>
      </c>
      <c r="Z13" s="25">
        <v>0</v>
      </c>
      <c r="AA13" s="25">
        <v>0</v>
      </c>
      <c r="AB13" s="25">
        <v>30</v>
      </c>
      <c r="AC13" s="25">
        <v>1.9</v>
      </c>
      <c r="AD13" s="25">
        <v>0</v>
      </c>
      <c r="AE13" s="45">
        <v>0</v>
      </c>
    </row>
    <row r="14" spans="1:42" s="18" customFormat="1" ht="15" customHeight="1">
      <c r="A14" s="119">
        <v>125</v>
      </c>
      <c r="B14" s="25">
        <v>9</v>
      </c>
      <c r="C14" s="25" t="s">
        <v>183</v>
      </c>
      <c r="D14" s="25">
        <v>7</v>
      </c>
      <c r="E14" s="18">
        <v>0</v>
      </c>
      <c r="F14" s="25">
        <v>975</v>
      </c>
      <c r="G14" s="25">
        <v>679165</v>
      </c>
      <c r="H14" s="25">
        <v>9358276</v>
      </c>
      <c r="I14" s="42">
        <v>41982</v>
      </c>
      <c r="J14" s="43">
        <v>0.3833333333333333</v>
      </c>
      <c r="K14" s="44" t="s">
        <v>190</v>
      </c>
      <c r="L14" s="43"/>
      <c r="M14" s="28"/>
      <c r="N14" s="45"/>
      <c r="O14" s="28">
        <v>3</v>
      </c>
      <c r="P14" s="25" t="s">
        <v>118</v>
      </c>
      <c r="Q14" s="46">
        <v>41985</v>
      </c>
      <c r="R14" s="47">
        <v>0.38263888888888892</v>
      </c>
      <c r="S14" s="25">
        <v>1</v>
      </c>
      <c r="T14" s="25">
        <v>3</v>
      </c>
      <c r="U14" s="25">
        <v>1</v>
      </c>
      <c r="V14" s="22">
        <v>3</v>
      </c>
      <c r="W14" s="20">
        <v>0</v>
      </c>
      <c r="X14" s="24">
        <v>0</v>
      </c>
      <c r="Y14" s="25">
        <v>0</v>
      </c>
      <c r="Z14" s="25">
        <v>0</v>
      </c>
      <c r="AA14" s="25">
        <v>0</v>
      </c>
      <c r="AB14" s="25"/>
      <c r="AC14" s="25"/>
      <c r="AD14" s="25"/>
      <c r="AE14" s="45"/>
      <c r="AF14" s="25"/>
    </row>
    <row r="15" spans="1:42" s="18" customFormat="1" ht="15" customHeight="1">
      <c r="A15" s="119">
        <v>248</v>
      </c>
      <c r="B15" s="18">
        <v>10</v>
      </c>
      <c r="C15" s="18" t="s">
        <v>229</v>
      </c>
      <c r="D15" s="25">
        <v>7</v>
      </c>
      <c r="E15" s="25">
        <v>0</v>
      </c>
      <c r="I15" s="34">
        <v>41990</v>
      </c>
      <c r="J15" s="35">
        <v>0.49652777777777773</v>
      </c>
      <c r="K15" s="36">
        <v>41997</v>
      </c>
      <c r="L15" s="35">
        <v>0.45624999999999999</v>
      </c>
      <c r="M15" s="37">
        <f>10080-58</f>
        <v>10022</v>
      </c>
      <c r="N15" s="38">
        <f t="shared" ref="N15:N29" si="1">VALUE(M15/60)</f>
        <v>167.03333333333333</v>
      </c>
      <c r="O15" s="37">
        <v>10</v>
      </c>
      <c r="P15" s="18" t="s">
        <v>299</v>
      </c>
      <c r="Q15" s="26">
        <v>41996</v>
      </c>
      <c r="R15" s="27">
        <v>0.26944444444444443</v>
      </c>
      <c r="S15" s="18">
        <v>1</v>
      </c>
      <c r="T15" s="18">
        <v>3</v>
      </c>
      <c r="U15" s="18">
        <v>2</v>
      </c>
      <c r="V15" s="22">
        <v>2</v>
      </c>
      <c r="W15" s="20">
        <v>0</v>
      </c>
      <c r="X15" s="24">
        <v>0</v>
      </c>
      <c r="Y15" s="25">
        <v>0</v>
      </c>
      <c r="Z15" s="25">
        <v>0</v>
      </c>
      <c r="AA15" s="25">
        <v>1</v>
      </c>
      <c r="AE15" s="38"/>
    </row>
    <row r="16" spans="1:42" s="18" customFormat="1" ht="15" customHeight="1">
      <c r="A16" s="119">
        <v>261</v>
      </c>
      <c r="B16" s="18">
        <v>16</v>
      </c>
      <c r="C16" s="18" t="s">
        <v>235</v>
      </c>
      <c r="D16" s="25">
        <v>8</v>
      </c>
      <c r="E16" s="25">
        <v>0</v>
      </c>
      <c r="I16" s="34">
        <v>41993</v>
      </c>
      <c r="J16" s="35">
        <v>0.39583333333333331</v>
      </c>
      <c r="K16" s="36">
        <v>42000</v>
      </c>
      <c r="L16" s="35">
        <v>0.35902777777777778</v>
      </c>
      <c r="M16" s="37">
        <f>10080-53</f>
        <v>10027</v>
      </c>
      <c r="N16" s="38">
        <f t="shared" si="1"/>
        <v>167.11666666666667</v>
      </c>
      <c r="O16" s="37">
        <v>8</v>
      </c>
      <c r="P16" s="18" t="s">
        <v>156</v>
      </c>
      <c r="Q16" s="26">
        <v>41997</v>
      </c>
      <c r="R16" s="27">
        <v>0.13541666666666666</v>
      </c>
      <c r="S16" s="18">
        <v>1</v>
      </c>
      <c r="T16" s="18">
        <v>3</v>
      </c>
      <c r="U16" s="18">
        <v>1</v>
      </c>
      <c r="V16" s="22">
        <v>1</v>
      </c>
      <c r="W16" s="20">
        <v>0</v>
      </c>
      <c r="X16" s="24">
        <v>2</v>
      </c>
      <c r="Y16" s="25">
        <v>0</v>
      </c>
      <c r="Z16" s="25">
        <v>0</v>
      </c>
      <c r="AA16" s="25">
        <v>0</v>
      </c>
      <c r="AB16" s="25"/>
      <c r="AC16" s="25"/>
      <c r="AD16" s="25"/>
      <c r="AE16" s="38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</row>
    <row r="17" spans="1:42" s="18" customFormat="1" ht="15" customHeight="1">
      <c r="A17" s="119">
        <v>287</v>
      </c>
      <c r="B17" s="18">
        <v>19</v>
      </c>
      <c r="C17" s="18" t="s">
        <v>239</v>
      </c>
      <c r="D17" s="25">
        <v>8</v>
      </c>
      <c r="E17" s="25">
        <v>0</v>
      </c>
      <c r="I17" s="34">
        <v>41993</v>
      </c>
      <c r="J17" s="35">
        <v>0.44444444444444442</v>
      </c>
      <c r="K17" s="36">
        <v>42000</v>
      </c>
      <c r="L17" s="35">
        <v>0.45624999999999999</v>
      </c>
      <c r="M17" s="37">
        <f>10080+17</f>
        <v>10097</v>
      </c>
      <c r="N17" s="38">
        <f t="shared" si="1"/>
        <v>168.28333333333333</v>
      </c>
      <c r="O17" s="37">
        <v>12</v>
      </c>
      <c r="P17" s="18" t="s">
        <v>143</v>
      </c>
      <c r="Q17" s="26">
        <v>42000</v>
      </c>
      <c r="R17" s="27">
        <v>0.19513888888888889</v>
      </c>
      <c r="S17" s="18">
        <v>1</v>
      </c>
      <c r="T17" s="18">
        <v>3</v>
      </c>
      <c r="U17" s="18">
        <v>2</v>
      </c>
      <c r="V17" s="22">
        <v>1</v>
      </c>
      <c r="W17" s="20">
        <v>1</v>
      </c>
      <c r="X17" s="24">
        <v>1</v>
      </c>
      <c r="Y17" s="25">
        <v>0</v>
      </c>
      <c r="Z17" s="25">
        <v>0</v>
      </c>
      <c r="AA17" s="25">
        <v>0</v>
      </c>
      <c r="AB17" s="25"/>
      <c r="AC17" s="25"/>
      <c r="AD17" s="25"/>
      <c r="AE17" s="38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</row>
    <row r="18" spans="1:42" s="18" customFormat="1" ht="15" customHeight="1">
      <c r="A18" s="139">
        <v>351.16198979588</v>
      </c>
      <c r="B18" s="140">
        <v>18</v>
      </c>
      <c r="C18" s="140" t="s">
        <v>314</v>
      </c>
      <c r="D18" s="140">
        <v>7</v>
      </c>
      <c r="E18" s="140">
        <v>0</v>
      </c>
      <c r="F18" s="140"/>
      <c r="G18" s="140"/>
      <c r="H18" s="140"/>
      <c r="I18" s="142">
        <v>41640</v>
      </c>
      <c r="J18" s="143">
        <v>0.4861111111111111</v>
      </c>
      <c r="K18" s="144">
        <v>42012</v>
      </c>
      <c r="L18" s="143">
        <v>0.53819444444444442</v>
      </c>
      <c r="M18" s="145">
        <f>10080+75</f>
        <v>10155</v>
      </c>
      <c r="N18" s="146">
        <f t="shared" si="1"/>
        <v>169.25</v>
      </c>
      <c r="O18" s="145">
        <v>2</v>
      </c>
      <c r="P18" s="140" t="s">
        <v>104</v>
      </c>
      <c r="Q18" s="147">
        <v>42012</v>
      </c>
      <c r="R18" s="148">
        <v>0.17013888888888887</v>
      </c>
      <c r="S18" s="140">
        <v>1</v>
      </c>
      <c r="T18" s="140">
        <v>3</v>
      </c>
      <c r="U18" s="140">
        <v>2</v>
      </c>
      <c r="V18" s="149">
        <v>1</v>
      </c>
      <c r="W18" s="141">
        <v>0</v>
      </c>
      <c r="X18" s="150">
        <v>1</v>
      </c>
      <c r="Y18" s="141">
        <v>0</v>
      </c>
      <c r="Z18" s="141">
        <v>0</v>
      </c>
      <c r="AA18" s="141">
        <v>1</v>
      </c>
      <c r="AB18" s="141">
        <v>5</v>
      </c>
      <c r="AC18" s="141">
        <v>5.08</v>
      </c>
      <c r="AD18" s="141">
        <v>5.0999999999999996</v>
      </c>
      <c r="AE18" s="146">
        <f>5.1/19</f>
        <v>0.26842105263157895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</row>
    <row r="19" spans="1:42" s="18" customFormat="1" ht="15" customHeight="1">
      <c r="A19" s="139">
        <v>353.56760204077398</v>
      </c>
      <c r="B19" s="140">
        <v>19</v>
      </c>
      <c r="C19" s="140" t="s">
        <v>319</v>
      </c>
      <c r="D19" s="140">
        <v>7</v>
      </c>
      <c r="E19" s="140">
        <v>0</v>
      </c>
      <c r="F19" s="140"/>
      <c r="G19" s="140"/>
      <c r="H19" s="140"/>
      <c r="I19" s="142">
        <v>41640</v>
      </c>
      <c r="J19" s="143">
        <v>0.52638888888888891</v>
      </c>
      <c r="K19" s="144">
        <v>42012</v>
      </c>
      <c r="L19" s="143">
        <v>0.45624999999999999</v>
      </c>
      <c r="M19" s="145">
        <f>10080-101</f>
        <v>9979</v>
      </c>
      <c r="N19" s="146">
        <f t="shared" si="1"/>
        <v>166.31666666666666</v>
      </c>
      <c r="O19" s="145">
        <v>2</v>
      </c>
      <c r="P19" s="140" t="s">
        <v>317</v>
      </c>
      <c r="Q19" s="147">
        <v>42008</v>
      </c>
      <c r="R19" s="148">
        <v>0.36180555555555555</v>
      </c>
      <c r="S19" s="140">
        <v>1</v>
      </c>
      <c r="T19" s="140">
        <v>3</v>
      </c>
      <c r="U19" s="140">
        <v>3</v>
      </c>
      <c r="V19" s="149">
        <v>3</v>
      </c>
      <c r="W19" s="141">
        <v>0</v>
      </c>
      <c r="X19" s="150">
        <v>0</v>
      </c>
      <c r="Y19" s="141">
        <v>0</v>
      </c>
      <c r="Z19" s="141">
        <v>0</v>
      </c>
      <c r="AA19" s="141">
        <v>0</v>
      </c>
      <c r="AB19" s="141">
        <v>0</v>
      </c>
      <c r="AC19" s="141">
        <v>1.5</v>
      </c>
      <c r="AD19" s="141">
        <v>0.68</v>
      </c>
      <c r="AE19" s="146">
        <f>0.68/20</f>
        <v>3.4000000000000002E-2</v>
      </c>
      <c r="AF19" s="140"/>
    </row>
    <row r="20" spans="1:42" s="18" customFormat="1" ht="15" customHeight="1">
      <c r="A20" s="121">
        <v>50</v>
      </c>
      <c r="B20" s="18">
        <v>2</v>
      </c>
      <c r="C20" s="18" t="s">
        <v>123</v>
      </c>
      <c r="D20" s="18">
        <v>7</v>
      </c>
      <c r="E20" s="18">
        <v>0</v>
      </c>
      <c r="F20" s="18">
        <v>3232</v>
      </c>
      <c r="G20" s="18">
        <v>682535</v>
      </c>
      <c r="H20" s="18">
        <v>9360938</v>
      </c>
      <c r="I20" s="34">
        <v>41961</v>
      </c>
      <c r="J20" s="35">
        <v>0.43124999999999997</v>
      </c>
      <c r="K20" s="36">
        <v>41968</v>
      </c>
      <c r="L20" s="35">
        <v>0.35347222222222219</v>
      </c>
      <c r="M20" s="37">
        <v>9962</v>
      </c>
      <c r="N20" s="38">
        <f t="shared" si="1"/>
        <v>166.03333333333333</v>
      </c>
      <c r="O20" s="37">
        <v>2</v>
      </c>
      <c r="P20" s="18" t="s">
        <v>274</v>
      </c>
      <c r="Q20" s="26">
        <v>41965</v>
      </c>
      <c r="R20" s="27">
        <v>3.4027777777777775E-2</v>
      </c>
      <c r="S20" s="18">
        <v>1</v>
      </c>
      <c r="T20" s="18">
        <v>4</v>
      </c>
      <c r="U20" s="18">
        <v>1</v>
      </c>
      <c r="V20" s="22">
        <v>1</v>
      </c>
      <c r="W20" s="20">
        <v>0</v>
      </c>
      <c r="X20" s="24">
        <v>3</v>
      </c>
      <c r="Y20" s="18">
        <v>0</v>
      </c>
      <c r="Z20" s="18">
        <v>0</v>
      </c>
      <c r="AA20" s="18">
        <v>0</v>
      </c>
      <c r="AB20" s="18">
        <v>10</v>
      </c>
      <c r="AC20" s="18">
        <v>4.5</v>
      </c>
      <c r="AD20" s="18">
        <v>3.73</v>
      </c>
      <c r="AE20" s="38">
        <v>0.46</v>
      </c>
    </row>
    <row r="21" spans="1:42" s="18" customFormat="1" ht="15" customHeight="1">
      <c r="A21" s="139">
        <v>208</v>
      </c>
      <c r="B21" s="140">
        <v>4</v>
      </c>
      <c r="C21" s="140" t="s">
        <v>222</v>
      </c>
      <c r="D21" s="141">
        <v>7</v>
      </c>
      <c r="E21" s="141">
        <v>0</v>
      </c>
      <c r="F21" s="140"/>
      <c r="G21" s="140"/>
      <c r="H21" s="140"/>
      <c r="I21" s="142">
        <v>41989</v>
      </c>
      <c r="J21" s="143">
        <v>0.48055555555555557</v>
      </c>
      <c r="K21" s="144">
        <v>41996</v>
      </c>
      <c r="L21" s="143">
        <v>0.4597222222222222</v>
      </c>
      <c r="M21" s="145">
        <f>10080-30</f>
        <v>10050</v>
      </c>
      <c r="N21" s="146">
        <f t="shared" si="1"/>
        <v>167.5</v>
      </c>
      <c r="O21" s="145">
        <v>9</v>
      </c>
      <c r="P21" s="140" t="s">
        <v>297</v>
      </c>
      <c r="Q21" s="147">
        <v>41991</v>
      </c>
      <c r="R21" s="148">
        <v>0.39513888888888887</v>
      </c>
      <c r="S21" s="140">
        <v>1</v>
      </c>
      <c r="T21" s="140">
        <v>4</v>
      </c>
      <c r="U21" s="140">
        <v>0</v>
      </c>
      <c r="V21" s="149">
        <v>0</v>
      </c>
      <c r="W21" s="141">
        <v>0</v>
      </c>
      <c r="X21" s="150">
        <v>4</v>
      </c>
      <c r="Y21" s="141">
        <v>0</v>
      </c>
      <c r="Z21" s="141">
        <v>0</v>
      </c>
      <c r="AA21" s="141">
        <v>0</v>
      </c>
      <c r="AB21" s="141">
        <v>5</v>
      </c>
      <c r="AC21" s="141">
        <v>2.6</v>
      </c>
      <c r="AD21" s="141">
        <v>3</v>
      </c>
      <c r="AE21" s="151">
        <v>0.2</v>
      </c>
      <c r="AF21" s="140"/>
    </row>
    <row r="22" spans="1:42" s="18" customFormat="1" ht="15" customHeight="1">
      <c r="A22" s="139">
        <v>236</v>
      </c>
      <c r="B22" s="140">
        <v>8</v>
      </c>
      <c r="C22" s="140" t="s">
        <v>227</v>
      </c>
      <c r="D22" s="141">
        <v>5</v>
      </c>
      <c r="E22" s="141">
        <v>0</v>
      </c>
      <c r="F22" s="140"/>
      <c r="G22" s="140"/>
      <c r="H22" s="140"/>
      <c r="I22" s="142">
        <v>41990</v>
      </c>
      <c r="J22" s="143">
        <v>0.44375000000000003</v>
      </c>
      <c r="K22" s="144">
        <v>41997</v>
      </c>
      <c r="L22" s="143">
        <v>0.41388888888888892</v>
      </c>
      <c r="M22" s="145">
        <f>10080-43</f>
        <v>10037</v>
      </c>
      <c r="N22" s="146">
        <f t="shared" si="1"/>
        <v>167.28333333333333</v>
      </c>
      <c r="O22" s="145">
        <v>4</v>
      </c>
      <c r="P22" s="140" t="s">
        <v>139</v>
      </c>
      <c r="Q22" s="147">
        <v>41993</v>
      </c>
      <c r="R22" s="148">
        <v>0.70486111111111116</v>
      </c>
      <c r="S22" s="140">
        <v>1</v>
      </c>
      <c r="T22" s="140">
        <v>4</v>
      </c>
      <c r="U22" s="140">
        <v>1</v>
      </c>
      <c r="V22" s="149">
        <v>1</v>
      </c>
      <c r="W22" s="141">
        <v>0</v>
      </c>
      <c r="X22" s="150">
        <v>3</v>
      </c>
      <c r="Y22" s="141">
        <v>0</v>
      </c>
      <c r="Z22" s="141">
        <v>0</v>
      </c>
      <c r="AA22" s="141">
        <v>0</v>
      </c>
      <c r="AB22" s="141">
        <v>5</v>
      </c>
      <c r="AC22" s="141">
        <v>2.2999999999999998</v>
      </c>
      <c r="AD22" s="141">
        <v>3.2</v>
      </c>
      <c r="AE22" s="146">
        <f>3.2/30</f>
        <v>0.10666666666666667</v>
      </c>
      <c r="AF22" s="140"/>
    </row>
    <row r="23" spans="1:42" s="18" customFormat="1" ht="15" customHeight="1">
      <c r="A23" s="119">
        <v>243</v>
      </c>
      <c r="B23" s="18">
        <v>10</v>
      </c>
      <c r="C23" s="18" t="s">
        <v>229</v>
      </c>
      <c r="D23" s="25">
        <v>7</v>
      </c>
      <c r="E23" s="25">
        <v>0</v>
      </c>
      <c r="I23" s="34">
        <v>41990</v>
      </c>
      <c r="J23" s="35">
        <v>0.49652777777777773</v>
      </c>
      <c r="K23" s="36">
        <v>41997</v>
      </c>
      <c r="L23" s="35">
        <v>0.45624999999999999</v>
      </c>
      <c r="M23" s="37">
        <f>10080-58</f>
        <v>10022</v>
      </c>
      <c r="N23" s="38">
        <f t="shared" si="1"/>
        <v>167.03333333333333</v>
      </c>
      <c r="O23" s="37">
        <v>10</v>
      </c>
      <c r="P23" s="18" t="s">
        <v>156</v>
      </c>
      <c r="Q23" s="26">
        <v>41993</v>
      </c>
      <c r="R23" s="27">
        <v>0.22708333333333333</v>
      </c>
      <c r="S23" s="18">
        <v>1</v>
      </c>
      <c r="T23" s="18">
        <v>4</v>
      </c>
      <c r="U23" s="18">
        <v>2</v>
      </c>
      <c r="V23" s="22">
        <v>2</v>
      </c>
      <c r="W23" s="20">
        <v>0</v>
      </c>
      <c r="X23" s="24">
        <v>2</v>
      </c>
      <c r="Y23" s="25">
        <v>0</v>
      </c>
      <c r="Z23" s="25">
        <v>0</v>
      </c>
      <c r="AA23" s="25">
        <v>0</v>
      </c>
      <c r="AE23" s="38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</row>
    <row r="24" spans="1:42" s="18" customFormat="1" ht="15" customHeight="1">
      <c r="A24" s="119">
        <v>283</v>
      </c>
      <c r="B24" s="18">
        <v>19</v>
      </c>
      <c r="C24" s="18" t="s">
        <v>239</v>
      </c>
      <c r="D24" s="25">
        <v>8</v>
      </c>
      <c r="E24" s="25">
        <v>0</v>
      </c>
      <c r="I24" s="34">
        <v>41993</v>
      </c>
      <c r="J24" s="35">
        <v>0.44444444444444442</v>
      </c>
      <c r="K24" s="36">
        <v>42000</v>
      </c>
      <c r="L24" s="35">
        <v>0.45624999999999999</v>
      </c>
      <c r="M24" s="37">
        <f>10080+17</f>
        <v>10097</v>
      </c>
      <c r="N24" s="38">
        <f t="shared" si="1"/>
        <v>168.28333333333333</v>
      </c>
      <c r="O24" s="37">
        <v>12</v>
      </c>
      <c r="P24" s="18" t="s">
        <v>149</v>
      </c>
      <c r="Q24" s="26">
        <v>41998</v>
      </c>
      <c r="R24" s="27">
        <v>7.2222222222222229E-2</v>
      </c>
      <c r="S24" s="18">
        <v>1</v>
      </c>
      <c r="T24" s="18">
        <v>4</v>
      </c>
      <c r="U24" s="18">
        <v>4</v>
      </c>
      <c r="V24" s="22">
        <v>2</v>
      </c>
      <c r="W24" s="20">
        <v>1</v>
      </c>
      <c r="X24" s="24">
        <v>0</v>
      </c>
      <c r="Y24" s="25">
        <v>0</v>
      </c>
      <c r="Z24" s="25">
        <v>0</v>
      </c>
      <c r="AA24" s="25">
        <v>1</v>
      </c>
      <c r="AB24" s="25"/>
      <c r="AC24" s="25"/>
      <c r="AD24" s="25"/>
      <c r="AE24" s="38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</row>
    <row r="25" spans="1:42" s="18" customFormat="1" ht="15" customHeight="1">
      <c r="A25" s="139">
        <v>290</v>
      </c>
      <c r="B25" s="140">
        <v>20</v>
      </c>
      <c r="C25" s="140" t="s">
        <v>240</v>
      </c>
      <c r="D25" s="141">
        <v>8</v>
      </c>
      <c r="E25" s="141">
        <v>0</v>
      </c>
      <c r="F25" s="140"/>
      <c r="G25" s="140"/>
      <c r="H25" s="140"/>
      <c r="I25" s="142">
        <v>41993</v>
      </c>
      <c r="J25" s="143">
        <v>0.45833333333333331</v>
      </c>
      <c r="K25" s="144">
        <v>42000</v>
      </c>
      <c r="L25" s="143">
        <v>0.46875</v>
      </c>
      <c r="M25" s="145">
        <v>10095</v>
      </c>
      <c r="N25" s="146">
        <f t="shared" si="1"/>
        <v>168.25</v>
      </c>
      <c r="O25" s="145">
        <v>6</v>
      </c>
      <c r="P25" s="140" t="s">
        <v>84</v>
      </c>
      <c r="Q25" s="147">
        <v>41994</v>
      </c>
      <c r="R25" s="148">
        <v>0.76041666666666663</v>
      </c>
      <c r="S25" s="140">
        <v>1</v>
      </c>
      <c r="T25" s="140">
        <v>4</v>
      </c>
      <c r="U25" s="140">
        <v>1</v>
      </c>
      <c r="V25" s="149">
        <v>1</v>
      </c>
      <c r="W25" s="141">
        <v>0</v>
      </c>
      <c r="X25" s="150">
        <v>3</v>
      </c>
      <c r="Y25" s="141">
        <v>0</v>
      </c>
      <c r="Z25" s="141">
        <v>0</v>
      </c>
      <c r="AA25" s="141">
        <v>0</v>
      </c>
      <c r="AB25" s="141">
        <v>25</v>
      </c>
      <c r="AC25" s="141">
        <v>4.2</v>
      </c>
      <c r="AD25" s="141">
        <v>0.3</v>
      </c>
      <c r="AE25" s="146">
        <v>0.1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</row>
    <row r="26" spans="1:42" s="18" customFormat="1" ht="15" customHeight="1">
      <c r="A26" s="139">
        <v>339.13392857141002</v>
      </c>
      <c r="B26" s="140">
        <v>15</v>
      </c>
      <c r="C26" s="140" t="s">
        <v>311</v>
      </c>
      <c r="D26" s="140">
        <v>7</v>
      </c>
      <c r="E26" s="140">
        <v>0</v>
      </c>
      <c r="F26" s="140"/>
      <c r="G26" s="140"/>
      <c r="H26" s="154"/>
      <c r="I26" s="142">
        <v>41640</v>
      </c>
      <c r="J26" s="143">
        <v>0.40347222222222223</v>
      </c>
      <c r="K26" s="144">
        <v>42012</v>
      </c>
      <c r="L26" s="143">
        <v>0.40069444444444446</v>
      </c>
      <c r="M26" s="145">
        <f>10080-4</f>
        <v>10076</v>
      </c>
      <c r="N26" s="146">
        <f t="shared" si="1"/>
        <v>167.93333333333334</v>
      </c>
      <c r="O26" s="145">
        <v>4</v>
      </c>
      <c r="P26" s="140" t="s">
        <v>101</v>
      </c>
      <c r="Q26" s="147">
        <v>42007</v>
      </c>
      <c r="R26" s="148">
        <v>0.27361111111111108</v>
      </c>
      <c r="S26" s="140">
        <v>1</v>
      </c>
      <c r="T26" s="140">
        <v>4</v>
      </c>
      <c r="U26" s="140">
        <v>1</v>
      </c>
      <c r="V26" s="149">
        <v>1</v>
      </c>
      <c r="W26" s="141">
        <v>0</v>
      </c>
      <c r="X26" s="150">
        <v>2</v>
      </c>
      <c r="Y26" s="141">
        <v>0</v>
      </c>
      <c r="Z26" s="141">
        <v>0</v>
      </c>
      <c r="AA26" s="141">
        <v>1</v>
      </c>
      <c r="AB26" s="140"/>
      <c r="AC26" s="140"/>
      <c r="AD26" s="140"/>
      <c r="AE26" s="146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</row>
    <row r="27" spans="1:42" s="18" customFormat="1" ht="15" customHeight="1">
      <c r="A27" s="139">
        <v>206</v>
      </c>
      <c r="B27" s="140">
        <v>4</v>
      </c>
      <c r="C27" s="140" t="s">
        <v>222</v>
      </c>
      <c r="D27" s="141">
        <v>7</v>
      </c>
      <c r="E27" s="141">
        <v>0</v>
      </c>
      <c r="F27" s="140"/>
      <c r="G27" s="140"/>
      <c r="H27" s="140"/>
      <c r="I27" s="142">
        <v>41989</v>
      </c>
      <c r="J27" s="143">
        <v>0.48055555555555557</v>
      </c>
      <c r="K27" s="144">
        <v>41996</v>
      </c>
      <c r="L27" s="143">
        <v>0.4597222222222222</v>
      </c>
      <c r="M27" s="145">
        <f>10080-30</f>
        <v>10050</v>
      </c>
      <c r="N27" s="146">
        <f t="shared" si="1"/>
        <v>167.5</v>
      </c>
      <c r="O27" s="145">
        <v>9</v>
      </c>
      <c r="P27" s="140" t="s">
        <v>119</v>
      </c>
      <c r="Q27" s="147">
        <v>41990</v>
      </c>
      <c r="R27" s="148">
        <v>0.59513888888888888</v>
      </c>
      <c r="S27" s="140">
        <v>1</v>
      </c>
      <c r="T27" s="140">
        <v>5</v>
      </c>
      <c r="U27" s="140">
        <v>3</v>
      </c>
      <c r="V27" s="149">
        <v>2</v>
      </c>
      <c r="W27" s="141">
        <v>1</v>
      </c>
      <c r="X27" s="150">
        <v>0</v>
      </c>
      <c r="Y27" s="141">
        <v>0</v>
      </c>
      <c r="Z27" s="141">
        <v>0</v>
      </c>
      <c r="AA27" s="141">
        <v>2</v>
      </c>
      <c r="AB27" s="141">
        <v>15</v>
      </c>
      <c r="AC27" s="141">
        <v>3.3</v>
      </c>
      <c r="AD27" s="141">
        <v>2.5</v>
      </c>
      <c r="AE27" s="151">
        <v>0.12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</row>
    <row r="28" spans="1:42" s="18" customFormat="1" ht="15" customHeight="1">
      <c r="A28" s="121">
        <v>3</v>
      </c>
      <c r="B28" s="18">
        <v>2</v>
      </c>
      <c r="C28" s="18" t="s">
        <v>63</v>
      </c>
      <c r="D28" s="18">
        <v>7</v>
      </c>
      <c r="E28" s="18">
        <v>0</v>
      </c>
      <c r="F28" s="18">
        <v>3605</v>
      </c>
      <c r="G28" s="18">
        <v>684985</v>
      </c>
      <c r="H28" s="18">
        <v>9362162</v>
      </c>
      <c r="I28" s="34">
        <v>41947</v>
      </c>
      <c r="J28" s="35">
        <v>0.46527777777777773</v>
      </c>
      <c r="K28" s="36">
        <v>41954</v>
      </c>
      <c r="L28" s="35">
        <v>0.43402777777777773</v>
      </c>
      <c r="M28" s="37">
        <v>10035</v>
      </c>
      <c r="N28" s="38">
        <f t="shared" si="1"/>
        <v>167.25</v>
      </c>
      <c r="O28" s="37">
        <v>4</v>
      </c>
      <c r="P28" s="18" t="s">
        <v>270</v>
      </c>
      <c r="Q28" s="26">
        <v>41947</v>
      </c>
      <c r="R28" s="27">
        <v>0.15694444444444444</v>
      </c>
      <c r="S28" s="18">
        <v>1</v>
      </c>
      <c r="T28" s="18">
        <v>6</v>
      </c>
      <c r="U28" s="18">
        <v>6</v>
      </c>
      <c r="V28" s="22">
        <v>4</v>
      </c>
      <c r="W28" s="20">
        <v>0</v>
      </c>
      <c r="X28" s="24">
        <v>0</v>
      </c>
      <c r="Y28" s="18">
        <v>0</v>
      </c>
      <c r="Z28" s="18">
        <v>0</v>
      </c>
      <c r="AA28" s="18">
        <v>2</v>
      </c>
      <c r="AB28" s="18">
        <v>10</v>
      </c>
      <c r="AC28" s="18">
        <v>10.5</v>
      </c>
      <c r="AD28" s="18">
        <v>1.5</v>
      </c>
      <c r="AE28" s="38">
        <v>0.11</v>
      </c>
      <c r="AF28" s="18" t="s">
        <v>98</v>
      </c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</row>
    <row r="29" spans="1:42" s="18" customFormat="1" ht="15" customHeight="1">
      <c r="A29" s="119">
        <v>231</v>
      </c>
      <c r="B29" s="18">
        <v>7</v>
      </c>
      <c r="C29" s="18" t="s">
        <v>226</v>
      </c>
      <c r="D29" s="25">
        <v>7</v>
      </c>
      <c r="E29" s="25">
        <v>0</v>
      </c>
      <c r="I29" s="34">
        <v>41990</v>
      </c>
      <c r="J29" s="35">
        <v>0.41666666666666669</v>
      </c>
      <c r="K29" s="36">
        <v>41997</v>
      </c>
      <c r="L29" s="35">
        <v>0.38541666666666669</v>
      </c>
      <c r="M29" s="37">
        <f>10080-45</f>
        <v>10035</v>
      </c>
      <c r="N29" s="38">
        <f t="shared" si="1"/>
        <v>167.25</v>
      </c>
      <c r="O29" s="37">
        <v>7</v>
      </c>
      <c r="P29" s="18" t="s">
        <v>152</v>
      </c>
      <c r="Q29" s="26">
        <v>41995</v>
      </c>
      <c r="R29" s="27">
        <v>0.3972222222222222</v>
      </c>
      <c r="S29" s="18">
        <v>1</v>
      </c>
      <c r="T29" s="18">
        <v>9</v>
      </c>
      <c r="U29" s="18">
        <v>3</v>
      </c>
      <c r="V29" s="22">
        <v>2</v>
      </c>
      <c r="W29" s="20">
        <v>1</v>
      </c>
      <c r="X29" s="24">
        <v>3</v>
      </c>
      <c r="Y29" s="25">
        <v>0</v>
      </c>
      <c r="Z29" s="25">
        <v>0</v>
      </c>
      <c r="AA29" s="25">
        <v>3</v>
      </c>
      <c r="AB29" s="25">
        <v>5</v>
      </c>
      <c r="AC29" s="25">
        <v>2.48</v>
      </c>
      <c r="AD29" s="25">
        <v>3.48</v>
      </c>
      <c r="AE29" s="38">
        <f>3.48/5</f>
        <v>0.69599999999999995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</row>
    <row r="30" spans="1:42" s="18" customFormat="1" ht="15" customHeight="1">
      <c r="A30" s="121"/>
      <c r="I30" s="34"/>
      <c r="J30" s="35"/>
      <c r="K30" s="36"/>
      <c r="L30" s="35"/>
      <c r="M30" s="37"/>
      <c r="N30" s="38"/>
      <c r="O30" s="37"/>
      <c r="Q30" s="26"/>
      <c r="R30" s="27"/>
      <c r="T30" s="18">
        <f>AVERAGE(T1:T29)</f>
        <v>3.3103448275862069</v>
      </c>
      <c r="V30" s="22"/>
      <c r="W30" s="20"/>
      <c r="X30" s="24"/>
      <c r="AE30" s="38"/>
      <c r="AO30" s="29"/>
      <c r="AP30" s="29"/>
    </row>
    <row r="31" spans="1:42" s="18" customFormat="1" ht="15" customHeight="1">
      <c r="A31" s="121"/>
      <c r="I31" s="34"/>
      <c r="J31" s="35"/>
      <c r="K31" s="36"/>
      <c r="L31" s="35"/>
      <c r="M31" s="37"/>
      <c r="N31" s="38"/>
      <c r="O31" s="37"/>
      <c r="Q31" s="26"/>
      <c r="R31" s="27"/>
      <c r="V31" s="22"/>
      <c r="W31" s="20"/>
      <c r="X31" s="24"/>
      <c r="AE31" s="38"/>
    </row>
    <row r="32" spans="1:42" s="18" customFormat="1" ht="15" customHeight="1">
      <c r="A32" s="121"/>
      <c r="B32" s="18" t="s">
        <v>332</v>
      </c>
      <c r="C32" s="18" t="s">
        <v>333</v>
      </c>
      <c r="E32" s="18" t="s">
        <v>170</v>
      </c>
      <c r="I32" s="34"/>
      <c r="J32" s="35"/>
      <c r="K32" s="36"/>
      <c r="L32" s="35"/>
      <c r="M32" s="37"/>
      <c r="N32" s="38"/>
      <c r="O32" s="37"/>
      <c r="Q32" s="26"/>
      <c r="R32" s="27"/>
      <c r="V32" s="22"/>
      <c r="W32" s="20"/>
      <c r="X32" s="24"/>
      <c r="AE32" s="38"/>
      <c r="AO32" s="29"/>
    </row>
    <row r="33" spans="1:41" s="18" customFormat="1" ht="15" customHeight="1">
      <c r="A33" s="121"/>
      <c r="B33" s="18">
        <v>3.1071428571428572</v>
      </c>
      <c r="C33" s="18">
        <v>3.3103448275862069</v>
      </c>
      <c r="E33" s="18">
        <f>(B33+C33)/2</f>
        <v>3.208743842364532</v>
      </c>
      <c r="I33" s="34"/>
      <c r="J33" s="35"/>
      <c r="K33" s="36"/>
      <c r="L33" s="35"/>
      <c r="M33" s="37"/>
      <c r="N33" s="38"/>
      <c r="O33" s="37"/>
      <c r="Q33" s="26"/>
      <c r="R33" s="27"/>
      <c r="V33" s="22"/>
      <c r="W33" s="20"/>
      <c r="X33" s="24"/>
      <c r="AE33" s="38"/>
      <c r="AO33" s="76"/>
    </row>
    <row r="34" spans="1:41" s="18" customFormat="1" ht="15" customHeight="1">
      <c r="A34" s="121"/>
      <c r="I34" s="34"/>
      <c r="J34" s="35"/>
      <c r="K34" s="36"/>
      <c r="L34" s="35"/>
      <c r="M34" s="37"/>
      <c r="N34" s="38"/>
      <c r="O34" s="37"/>
      <c r="Q34" s="26"/>
      <c r="R34" s="27"/>
      <c r="V34" s="22"/>
      <c r="W34" s="20"/>
      <c r="X34" s="24"/>
      <c r="AE34" s="38"/>
    </row>
    <row r="35" spans="1:41" s="18" customFormat="1" ht="15" customHeight="1">
      <c r="A35" s="121"/>
      <c r="I35" s="34"/>
      <c r="J35" s="35"/>
      <c r="K35" s="36"/>
      <c r="L35" s="35"/>
      <c r="M35" s="37"/>
      <c r="N35" s="38"/>
      <c r="O35" s="37"/>
      <c r="Q35" s="26"/>
      <c r="R35" s="27"/>
      <c r="V35" s="22"/>
      <c r="W35" s="20"/>
      <c r="X35" s="24"/>
      <c r="AE35" s="38"/>
    </row>
    <row r="36" spans="1:41" s="18" customFormat="1" ht="15" customHeight="1">
      <c r="A36" s="121"/>
      <c r="I36" s="34"/>
      <c r="J36" s="35"/>
      <c r="K36" s="36"/>
      <c r="L36" s="35"/>
      <c r="M36" s="37"/>
      <c r="N36" s="38"/>
      <c r="O36" s="37"/>
      <c r="Q36" s="26"/>
      <c r="R36" s="27"/>
      <c r="V36" s="22"/>
      <c r="W36" s="20"/>
      <c r="X36" s="24"/>
      <c r="AE36" s="38"/>
    </row>
    <row r="37" spans="1:41" s="18" customFormat="1" ht="15" customHeight="1">
      <c r="A37" s="121"/>
      <c r="I37" s="34"/>
      <c r="J37" s="35"/>
      <c r="K37" s="36"/>
      <c r="L37" s="35"/>
      <c r="M37" s="37"/>
      <c r="N37" s="38"/>
      <c r="O37" s="37"/>
      <c r="Q37" s="26"/>
      <c r="R37" s="27"/>
      <c r="V37" s="22"/>
      <c r="W37" s="20"/>
      <c r="X37" s="24"/>
      <c r="AE37" s="38"/>
    </row>
    <row r="38" spans="1:41" s="18" customFormat="1" ht="15" customHeight="1">
      <c r="A38" s="121"/>
      <c r="I38" s="34"/>
      <c r="J38" s="35"/>
      <c r="K38" s="36"/>
      <c r="L38" s="35"/>
      <c r="M38" s="37"/>
      <c r="N38" s="38"/>
      <c r="O38" s="37"/>
      <c r="Q38" s="26"/>
      <c r="R38" s="27"/>
      <c r="V38" s="22"/>
      <c r="W38" s="20"/>
      <c r="X38" s="24"/>
      <c r="AE38" s="38"/>
    </row>
    <row r="39" spans="1:41" s="18" customFormat="1" ht="15" customHeight="1">
      <c r="A39" s="121"/>
      <c r="I39" s="34"/>
      <c r="J39" s="35"/>
      <c r="K39" s="36"/>
      <c r="L39" s="35"/>
      <c r="M39" s="37"/>
      <c r="N39" s="38"/>
      <c r="O39" s="37"/>
      <c r="Q39" s="26"/>
      <c r="R39" s="27"/>
      <c r="V39" s="22"/>
      <c r="W39" s="20"/>
      <c r="X39" s="24"/>
      <c r="AE39" s="38"/>
    </row>
    <row r="40" spans="1:41" s="18" customFormat="1" ht="15" customHeight="1">
      <c r="A40" s="121"/>
      <c r="I40" s="34"/>
      <c r="J40" s="35"/>
      <c r="K40" s="36"/>
      <c r="L40" s="35"/>
      <c r="M40" s="37"/>
      <c r="N40" s="38"/>
      <c r="O40" s="37"/>
      <c r="Q40" s="26"/>
      <c r="R40" s="27"/>
      <c r="V40" s="22"/>
      <c r="W40" s="20"/>
      <c r="X40" s="24"/>
      <c r="AE40" s="38"/>
    </row>
    <row r="41" spans="1:41" s="18" customFormat="1" ht="15" customHeight="1">
      <c r="A41" s="121"/>
      <c r="I41" s="34"/>
      <c r="J41" s="35"/>
      <c r="K41" s="36"/>
      <c r="L41" s="35"/>
      <c r="M41" s="37"/>
      <c r="N41" s="38"/>
      <c r="O41" s="37"/>
      <c r="Q41" s="26"/>
      <c r="R41" s="27"/>
      <c r="V41" s="22"/>
      <c r="W41" s="20"/>
      <c r="X41" s="24"/>
      <c r="AE41" s="38"/>
    </row>
    <row r="42" spans="1:41" s="18" customFormat="1" ht="15" customHeight="1">
      <c r="A42" s="121"/>
      <c r="I42" s="34"/>
      <c r="J42" s="35"/>
      <c r="K42" s="36"/>
      <c r="L42" s="35"/>
      <c r="M42" s="37"/>
      <c r="N42" s="38"/>
      <c r="O42" s="37"/>
      <c r="Q42" s="26"/>
      <c r="R42" s="27"/>
      <c r="V42" s="22"/>
      <c r="W42" s="20"/>
      <c r="X42" s="24"/>
      <c r="AE42" s="38"/>
    </row>
    <row r="43" spans="1:41" s="18" customFormat="1" ht="15" customHeight="1">
      <c r="A43" s="121"/>
      <c r="I43" s="34"/>
      <c r="J43" s="35"/>
      <c r="K43" s="36"/>
      <c r="L43" s="35"/>
      <c r="M43" s="37"/>
      <c r="N43" s="38"/>
      <c r="O43" s="37"/>
      <c r="Q43" s="26"/>
      <c r="R43" s="27"/>
      <c r="V43" s="22"/>
      <c r="W43" s="20"/>
      <c r="X43" s="24"/>
      <c r="AE43" s="38"/>
    </row>
    <row r="44" spans="1:41" s="18" customFormat="1" ht="15" customHeight="1">
      <c r="A44" s="121"/>
      <c r="I44" s="34"/>
      <c r="J44" s="35"/>
      <c r="K44" s="36"/>
      <c r="L44" s="35"/>
      <c r="M44" s="37"/>
      <c r="N44" s="38"/>
      <c r="O44" s="37"/>
      <c r="Q44" s="26"/>
      <c r="R44" s="27"/>
      <c r="V44" s="22"/>
      <c r="W44" s="20"/>
      <c r="X44" s="24"/>
      <c r="AE44" s="38"/>
    </row>
    <row r="45" spans="1:41" s="18" customFormat="1" ht="15" customHeight="1">
      <c r="A45" s="121"/>
      <c r="I45" s="34"/>
      <c r="J45" s="35"/>
      <c r="K45" s="36"/>
      <c r="L45" s="35"/>
      <c r="M45" s="37"/>
      <c r="N45" s="38"/>
      <c r="O45" s="37"/>
      <c r="Q45" s="26"/>
      <c r="R45" s="27"/>
      <c r="V45" s="22"/>
      <c r="W45" s="20"/>
      <c r="X45" s="24"/>
      <c r="AE45" s="38"/>
    </row>
    <row r="46" spans="1:41" s="18" customFormat="1" ht="15" customHeight="1">
      <c r="A46" s="121"/>
      <c r="I46" s="34"/>
      <c r="J46" s="35"/>
      <c r="K46" s="36"/>
      <c r="L46" s="35"/>
      <c r="M46" s="37"/>
      <c r="N46" s="38"/>
      <c r="O46" s="37"/>
      <c r="Q46" s="26"/>
      <c r="R46" s="27"/>
      <c r="V46" s="22"/>
      <c r="W46" s="20"/>
      <c r="X46" s="24"/>
      <c r="AE46" s="38"/>
    </row>
    <row r="47" spans="1:41" s="18" customFormat="1" ht="15" customHeight="1">
      <c r="A47" s="121"/>
      <c r="I47" s="34"/>
      <c r="J47" s="35"/>
      <c r="K47" s="36"/>
      <c r="L47" s="35"/>
      <c r="M47" s="37"/>
      <c r="N47" s="38"/>
      <c r="O47" s="37"/>
      <c r="Q47" s="26"/>
      <c r="R47" s="27"/>
      <c r="V47" s="22"/>
      <c r="W47" s="20"/>
      <c r="X47" s="24"/>
      <c r="AE47" s="38"/>
    </row>
    <row r="48" spans="1:41" s="18" customFormat="1" ht="15" customHeight="1">
      <c r="A48" s="121"/>
      <c r="I48" s="34"/>
      <c r="J48" s="35"/>
      <c r="K48" s="36"/>
      <c r="L48" s="35"/>
      <c r="M48" s="37"/>
      <c r="N48" s="38"/>
      <c r="O48" s="37"/>
      <c r="Q48" s="26"/>
      <c r="R48" s="27"/>
      <c r="V48" s="22"/>
      <c r="W48" s="20"/>
      <c r="X48" s="24"/>
      <c r="AE48" s="38"/>
    </row>
    <row r="49" spans="1:42" s="18" customFormat="1" ht="15" customHeight="1">
      <c r="A49" s="121"/>
      <c r="I49" s="34"/>
      <c r="J49" s="35"/>
      <c r="K49" s="36"/>
      <c r="L49" s="35"/>
      <c r="M49" s="37"/>
      <c r="N49" s="38"/>
      <c r="O49" s="37"/>
      <c r="Q49" s="26"/>
      <c r="R49" s="27"/>
      <c r="V49" s="22"/>
      <c r="W49" s="20"/>
      <c r="X49" s="24"/>
      <c r="AE49" s="38"/>
    </row>
    <row r="50" spans="1:42" s="18" customFormat="1" ht="15" customHeight="1">
      <c r="A50" s="121"/>
      <c r="I50" s="34"/>
      <c r="J50" s="35"/>
      <c r="K50" s="36"/>
      <c r="L50" s="35"/>
      <c r="M50" s="37"/>
      <c r="N50" s="38"/>
      <c r="O50" s="37"/>
      <c r="Q50" s="26"/>
      <c r="R50" s="27"/>
      <c r="V50" s="22"/>
      <c r="W50" s="20"/>
      <c r="X50" s="24"/>
      <c r="AE50" s="38"/>
    </row>
    <row r="51" spans="1:42" s="18" customFormat="1" ht="15" customHeight="1">
      <c r="A51" s="121"/>
      <c r="I51" s="34"/>
      <c r="J51" s="35"/>
      <c r="K51" s="36"/>
      <c r="L51" s="35"/>
      <c r="M51" s="37"/>
      <c r="N51" s="38"/>
      <c r="O51" s="37"/>
      <c r="Q51" s="26"/>
      <c r="R51" s="27"/>
      <c r="V51" s="22"/>
      <c r="W51" s="20"/>
      <c r="X51" s="24"/>
      <c r="AE51" s="38"/>
    </row>
    <row r="52" spans="1:42" s="18" customFormat="1" ht="15" customHeight="1">
      <c r="A52" s="121"/>
      <c r="I52" s="34"/>
      <c r="J52" s="35"/>
      <c r="K52" s="36"/>
      <c r="L52" s="35"/>
      <c r="M52" s="37"/>
      <c r="N52" s="38"/>
      <c r="O52" s="37"/>
      <c r="Q52" s="26"/>
      <c r="R52" s="27"/>
      <c r="V52" s="22"/>
      <c r="W52" s="20"/>
      <c r="X52" s="24"/>
      <c r="AE52" s="38"/>
    </row>
    <row r="53" spans="1:42" s="18" customFormat="1" ht="15" customHeight="1">
      <c r="A53" s="121"/>
      <c r="I53" s="34"/>
      <c r="J53" s="35"/>
      <c r="K53" s="36"/>
      <c r="L53" s="35"/>
      <c r="M53" s="37"/>
      <c r="N53" s="38"/>
      <c r="O53" s="37"/>
      <c r="Q53" s="26"/>
      <c r="R53" s="27"/>
      <c r="V53" s="22"/>
      <c r="W53" s="20"/>
      <c r="X53" s="24"/>
      <c r="AE53" s="38"/>
    </row>
    <row r="54" spans="1:42" s="18" customFormat="1" ht="15" customHeight="1">
      <c r="A54" s="121"/>
      <c r="I54" s="34"/>
      <c r="J54" s="35"/>
      <c r="K54" s="36"/>
      <c r="L54" s="35"/>
      <c r="M54" s="37"/>
      <c r="N54" s="38"/>
      <c r="O54" s="37"/>
      <c r="Q54" s="26"/>
      <c r="R54" s="27"/>
      <c r="V54" s="22"/>
      <c r="W54" s="20"/>
      <c r="X54" s="24"/>
      <c r="AE54" s="38"/>
    </row>
    <row r="55" spans="1:42" s="18" customFormat="1" ht="15" customHeight="1">
      <c r="A55" s="121"/>
      <c r="I55" s="34"/>
      <c r="J55" s="35"/>
      <c r="K55" s="36"/>
      <c r="L55" s="35"/>
      <c r="M55" s="37"/>
      <c r="N55" s="38"/>
      <c r="O55" s="37"/>
      <c r="Q55" s="26"/>
      <c r="R55" s="27"/>
      <c r="V55" s="22"/>
      <c r="W55" s="20"/>
      <c r="X55" s="24"/>
      <c r="AE55" s="38"/>
    </row>
    <row r="56" spans="1:42" s="18" customFormat="1" ht="15" customHeight="1">
      <c r="A56" s="121"/>
      <c r="I56" s="34"/>
      <c r="J56" s="35"/>
      <c r="K56" s="36"/>
      <c r="L56" s="35"/>
      <c r="M56" s="37"/>
      <c r="N56" s="38"/>
      <c r="O56" s="37"/>
      <c r="Q56" s="26"/>
      <c r="R56" s="27"/>
      <c r="V56" s="22"/>
      <c r="W56" s="20"/>
      <c r="X56" s="24"/>
      <c r="AE56" s="38"/>
    </row>
    <row r="57" spans="1:42" s="18" customFormat="1" ht="15" customHeight="1">
      <c r="A57" s="121"/>
      <c r="I57" s="34"/>
      <c r="J57" s="35"/>
      <c r="K57" s="36"/>
      <c r="L57" s="35"/>
      <c r="M57" s="37"/>
      <c r="N57" s="38"/>
      <c r="O57" s="37"/>
      <c r="Q57" s="26"/>
      <c r="R57" s="27"/>
      <c r="V57" s="22"/>
      <c r="W57" s="20"/>
      <c r="X57" s="24"/>
      <c r="AE57" s="38"/>
    </row>
    <row r="58" spans="1:42" s="18" customFormat="1" ht="15" customHeight="1">
      <c r="A58" s="121"/>
      <c r="I58" s="34"/>
      <c r="J58" s="35"/>
      <c r="K58" s="36"/>
      <c r="L58" s="35"/>
      <c r="M58" s="37"/>
      <c r="N58" s="38"/>
      <c r="O58" s="37"/>
      <c r="Q58" s="26"/>
      <c r="R58" s="27"/>
      <c r="V58" s="22"/>
      <c r="W58" s="20"/>
      <c r="X58" s="24"/>
      <c r="AE58" s="38"/>
    </row>
    <row r="59" spans="1:42" s="18" customFormat="1" ht="15" customHeight="1">
      <c r="A59" s="121"/>
      <c r="I59" s="34"/>
      <c r="J59" s="35"/>
      <c r="K59" s="36"/>
      <c r="L59" s="35"/>
      <c r="M59" s="37"/>
      <c r="N59" s="38"/>
      <c r="O59" s="37"/>
      <c r="Q59" s="26"/>
      <c r="R59" s="27"/>
      <c r="V59" s="22"/>
      <c r="W59" s="20"/>
      <c r="X59" s="24"/>
      <c r="AE59" s="38"/>
    </row>
    <row r="60" spans="1:42" s="18" customFormat="1" ht="15" customHeight="1">
      <c r="A60" s="121"/>
      <c r="I60" s="34"/>
      <c r="J60" s="35"/>
      <c r="K60" s="36"/>
      <c r="L60" s="35"/>
      <c r="M60" s="37"/>
      <c r="N60" s="38"/>
      <c r="O60" s="37"/>
      <c r="Q60" s="26"/>
      <c r="R60" s="27"/>
      <c r="V60" s="22"/>
      <c r="W60" s="20"/>
      <c r="X60" s="24"/>
      <c r="AE60" s="38"/>
      <c r="AL60" s="79"/>
    </row>
    <row r="61" spans="1:42" s="18" customFormat="1" ht="15" customHeight="1">
      <c r="A61" s="121"/>
      <c r="I61" s="34"/>
      <c r="J61" s="35"/>
      <c r="K61" s="36"/>
      <c r="L61" s="35"/>
      <c r="M61" s="37"/>
      <c r="N61" s="38"/>
      <c r="O61" s="37"/>
      <c r="Q61" s="26"/>
      <c r="R61" s="27"/>
      <c r="V61" s="22"/>
      <c r="W61" s="20"/>
      <c r="X61" s="24"/>
      <c r="AE61" s="38"/>
    </row>
    <row r="62" spans="1:42" s="18" customFormat="1" ht="15" customHeight="1">
      <c r="A62" s="121"/>
      <c r="I62" s="34"/>
      <c r="J62" s="35"/>
      <c r="K62" s="36"/>
      <c r="L62" s="35"/>
      <c r="M62" s="37"/>
      <c r="N62" s="38"/>
      <c r="O62" s="37"/>
      <c r="Q62" s="26"/>
      <c r="R62" s="27"/>
      <c r="V62" s="22"/>
      <c r="W62" s="20"/>
      <c r="X62" s="24"/>
      <c r="AE62" s="38"/>
    </row>
    <row r="63" spans="1:42" s="18" customFormat="1" ht="15" customHeight="1">
      <c r="A63" s="121"/>
      <c r="I63" s="34"/>
      <c r="J63" s="35"/>
      <c r="K63" s="36"/>
      <c r="L63" s="35"/>
      <c r="M63" s="37"/>
      <c r="N63" s="38"/>
      <c r="O63" s="37"/>
      <c r="Q63" s="26"/>
      <c r="R63" s="27"/>
      <c r="V63" s="22"/>
      <c r="W63" s="20"/>
      <c r="X63" s="24"/>
      <c r="AE63" s="38"/>
    </row>
    <row r="64" spans="1:42" s="25" customFormat="1" ht="15" customHeight="1">
      <c r="A64" s="121"/>
      <c r="B64" s="18"/>
      <c r="C64" s="18"/>
      <c r="D64" s="18"/>
      <c r="E64" s="18"/>
      <c r="F64" s="18"/>
      <c r="G64" s="18"/>
      <c r="H64" s="18"/>
      <c r="I64" s="34"/>
      <c r="J64" s="35"/>
      <c r="K64" s="36"/>
      <c r="L64" s="35"/>
      <c r="M64" s="37"/>
      <c r="N64" s="38"/>
      <c r="O64" s="37"/>
      <c r="P64" s="18"/>
      <c r="Q64" s="26"/>
      <c r="R64" s="27"/>
      <c r="S64" s="18"/>
      <c r="T64" s="18"/>
      <c r="U64" s="18"/>
      <c r="V64" s="22"/>
      <c r="W64" s="20"/>
      <c r="X64" s="24"/>
      <c r="Y64" s="18"/>
      <c r="Z64" s="18"/>
      <c r="AA64" s="18"/>
      <c r="AB64" s="18"/>
      <c r="AC64" s="18"/>
      <c r="AD64" s="18"/>
      <c r="AE64" s="3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</row>
    <row r="65" spans="1:42" s="68" customFormat="1" ht="15" customHeight="1" thickBot="1">
      <c r="A65" s="121"/>
      <c r="E65" s="18"/>
      <c r="I65" s="69"/>
      <c r="J65" s="70"/>
      <c r="K65" s="71"/>
      <c r="L65" s="70"/>
      <c r="M65" s="72"/>
      <c r="N65" s="73"/>
      <c r="O65" s="72"/>
      <c r="Q65" s="74"/>
      <c r="R65" s="75"/>
      <c r="V65" s="39"/>
      <c r="W65" s="40"/>
      <c r="X65" s="41"/>
      <c r="AE65" s="73"/>
    </row>
    <row r="66" spans="1:42" s="18" customFormat="1" ht="15" customHeight="1">
      <c r="A66" s="121"/>
      <c r="I66" s="34"/>
      <c r="J66" s="35"/>
      <c r="K66" s="36"/>
      <c r="L66" s="35"/>
      <c r="M66" s="37"/>
      <c r="N66" s="38"/>
      <c r="O66" s="37"/>
      <c r="Q66" s="26"/>
      <c r="R66" s="27"/>
      <c r="V66" s="22"/>
      <c r="W66" s="20"/>
      <c r="X66" s="24"/>
      <c r="AE66" s="38"/>
    </row>
    <row r="67" spans="1:42" s="18" customFormat="1" ht="15" customHeight="1">
      <c r="A67" s="121"/>
      <c r="I67" s="34"/>
      <c r="J67" s="35"/>
      <c r="K67" s="36"/>
      <c r="L67" s="35"/>
      <c r="M67" s="37"/>
      <c r="N67" s="38"/>
      <c r="O67" s="37"/>
      <c r="Q67" s="26"/>
      <c r="R67" s="27"/>
      <c r="V67" s="22"/>
      <c r="W67" s="20"/>
      <c r="X67" s="24"/>
      <c r="AE67" s="38"/>
    </row>
    <row r="68" spans="1:42" s="18" customFormat="1" ht="15" customHeight="1">
      <c r="A68" s="121"/>
      <c r="I68" s="34"/>
      <c r="J68" s="35"/>
      <c r="K68" s="36"/>
      <c r="L68" s="35"/>
      <c r="M68" s="37"/>
      <c r="N68" s="38"/>
      <c r="O68" s="37"/>
      <c r="Q68" s="26"/>
      <c r="R68" s="27"/>
      <c r="V68" s="22"/>
      <c r="W68" s="20"/>
      <c r="X68" s="24"/>
      <c r="AE68" s="38"/>
    </row>
    <row r="69" spans="1:42" s="18" customFormat="1" ht="15" customHeight="1">
      <c r="A69" s="121"/>
      <c r="I69" s="34"/>
      <c r="J69" s="35"/>
      <c r="K69" s="36"/>
      <c r="L69" s="35"/>
      <c r="M69" s="37"/>
      <c r="N69" s="38"/>
      <c r="O69" s="37"/>
      <c r="Q69" s="26"/>
      <c r="R69" s="27"/>
      <c r="V69" s="22"/>
      <c r="W69" s="20"/>
      <c r="X69" s="24"/>
      <c r="AE69" s="38"/>
    </row>
    <row r="70" spans="1:42" s="18" customFormat="1" ht="15" customHeight="1">
      <c r="A70" s="121"/>
      <c r="I70" s="34"/>
      <c r="J70" s="35"/>
      <c r="K70" s="36"/>
      <c r="L70" s="35"/>
      <c r="M70" s="37"/>
      <c r="N70" s="38"/>
      <c r="O70" s="37"/>
      <c r="Q70" s="26"/>
      <c r="R70" s="27"/>
      <c r="V70" s="22"/>
      <c r="W70" s="20"/>
      <c r="X70" s="24"/>
      <c r="AE70" s="38"/>
    </row>
    <row r="71" spans="1:42" s="18" customFormat="1" ht="15" customHeight="1">
      <c r="A71" s="121"/>
      <c r="I71" s="34"/>
      <c r="J71" s="35"/>
      <c r="K71" s="36"/>
      <c r="L71" s="35"/>
      <c r="M71" s="37"/>
      <c r="N71" s="38"/>
      <c r="O71" s="37"/>
      <c r="Q71" s="26"/>
      <c r="R71" s="27"/>
      <c r="V71" s="22"/>
      <c r="W71" s="20"/>
      <c r="X71" s="24"/>
      <c r="AE71" s="38"/>
    </row>
    <row r="72" spans="1:42" s="18" customFormat="1" ht="15" customHeight="1">
      <c r="A72" s="121"/>
      <c r="I72" s="34"/>
      <c r="J72" s="35"/>
      <c r="K72" s="36"/>
      <c r="L72" s="35"/>
      <c r="M72" s="37"/>
      <c r="N72" s="38"/>
      <c r="O72" s="37"/>
      <c r="Q72" s="26"/>
      <c r="R72" s="27"/>
      <c r="V72" s="22"/>
      <c r="W72" s="20"/>
      <c r="X72" s="24"/>
      <c r="AE72" s="38"/>
    </row>
    <row r="73" spans="1:42" s="18" customFormat="1" ht="15" customHeight="1">
      <c r="A73" s="121"/>
      <c r="I73" s="34"/>
      <c r="J73" s="35"/>
      <c r="K73" s="36"/>
      <c r="L73" s="35"/>
      <c r="M73" s="37"/>
      <c r="N73" s="38"/>
      <c r="O73" s="37"/>
      <c r="Q73" s="26"/>
      <c r="R73" s="27"/>
      <c r="V73" s="22"/>
      <c r="W73" s="20"/>
      <c r="X73" s="24"/>
      <c r="AE73" s="38"/>
    </row>
    <row r="74" spans="1:42" s="18" customFormat="1" ht="15" customHeight="1">
      <c r="A74" s="121"/>
      <c r="I74" s="34"/>
      <c r="J74" s="35"/>
      <c r="K74" s="36"/>
      <c r="L74" s="35"/>
      <c r="M74" s="37"/>
      <c r="N74" s="38"/>
      <c r="O74" s="37"/>
      <c r="Q74" s="26"/>
      <c r="R74" s="27"/>
      <c r="V74" s="22"/>
      <c r="W74" s="20"/>
      <c r="X74" s="24"/>
      <c r="AE74" s="38"/>
    </row>
    <row r="75" spans="1:42" s="18" customFormat="1" ht="15" customHeight="1">
      <c r="A75" s="121"/>
      <c r="I75" s="34"/>
      <c r="J75" s="35"/>
      <c r="K75" s="36"/>
      <c r="L75" s="35"/>
      <c r="M75" s="37"/>
      <c r="N75" s="38"/>
      <c r="O75" s="37"/>
      <c r="Q75" s="26"/>
      <c r="R75" s="27"/>
      <c r="V75" s="22"/>
      <c r="W75" s="20"/>
      <c r="X75" s="24"/>
      <c r="AE75" s="38"/>
    </row>
    <row r="76" spans="1:42" s="18" customFormat="1" ht="15" customHeight="1">
      <c r="A76" s="121"/>
      <c r="I76" s="34"/>
      <c r="J76" s="35"/>
      <c r="K76" s="36"/>
      <c r="L76" s="35"/>
      <c r="M76" s="37"/>
      <c r="N76" s="38"/>
      <c r="O76" s="37"/>
      <c r="Q76" s="26"/>
      <c r="R76" s="27"/>
      <c r="V76" s="22"/>
      <c r="W76" s="20"/>
      <c r="X76" s="24"/>
      <c r="AE76" s="38"/>
    </row>
    <row r="77" spans="1:42" s="18" customFormat="1" ht="15" customHeight="1">
      <c r="A77" s="121"/>
      <c r="I77" s="34"/>
      <c r="J77" s="35"/>
      <c r="K77" s="36"/>
      <c r="L77" s="35"/>
      <c r="M77" s="37"/>
      <c r="N77" s="38"/>
      <c r="O77" s="37"/>
      <c r="Q77" s="26"/>
      <c r="R77" s="27"/>
      <c r="V77" s="22"/>
      <c r="W77" s="20"/>
      <c r="X77" s="24"/>
      <c r="AE77" s="38"/>
    </row>
    <row r="78" spans="1:42" s="18" customFormat="1" ht="15" customHeight="1">
      <c r="A78" s="121"/>
      <c r="I78" s="34"/>
      <c r="J78" s="35"/>
      <c r="K78" s="36"/>
      <c r="L78" s="35"/>
      <c r="M78" s="37"/>
      <c r="N78" s="38"/>
      <c r="O78" s="37"/>
      <c r="Q78" s="26"/>
      <c r="R78" s="27"/>
      <c r="V78" s="22"/>
      <c r="W78" s="20"/>
      <c r="X78" s="24"/>
      <c r="AE78" s="38"/>
    </row>
    <row r="79" spans="1:42" s="49" customFormat="1" ht="15" customHeight="1">
      <c r="A79" s="121"/>
      <c r="B79" s="18"/>
      <c r="C79" s="18"/>
      <c r="D79" s="18"/>
      <c r="E79" s="18"/>
      <c r="F79" s="18"/>
      <c r="G79" s="18"/>
      <c r="H79" s="18"/>
      <c r="I79" s="34"/>
      <c r="J79" s="35"/>
      <c r="K79" s="36"/>
      <c r="L79" s="35"/>
      <c r="M79" s="37"/>
      <c r="N79" s="38"/>
      <c r="O79" s="37"/>
      <c r="P79" s="18"/>
      <c r="Q79" s="26"/>
      <c r="R79" s="27"/>
      <c r="S79" s="18"/>
      <c r="T79" s="18"/>
      <c r="U79" s="18"/>
      <c r="V79" s="22"/>
      <c r="W79" s="20"/>
      <c r="X79" s="24"/>
      <c r="Y79" s="18"/>
      <c r="Z79" s="18"/>
      <c r="AA79" s="18"/>
      <c r="AB79" s="18"/>
      <c r="AC79" s="18"/>
      <c r="AD79" s="18"/>
      <c r="AE79" s="3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</row>
    <row r="80" spans="1:42" s="18" customFormat="1" ht="15" customHeight="1">
      <c r="A80" s="121"/>
      <c r="I80" s="34"/>
      <c r="J80" s="35"/>
      <c r="K80" s="36"/>
      <c r="L80" s="35"/>
      <c r="M80" s="37"/>
      <c r="N80" s="38"/>
      <c r="O80" s="37"/>
      <c r="Q80" s="26"/>
      <c r="R80" s="27"/>
      <c r="V80" s="22"/>
      <c r="W80" s="20"/>
      <c r="X80" s="24"/>
      <c r="Y80" s="25"/>
      <c r="Z80" s="25"/>
      <c r="AA80" s="25"/>
      <c r="AE80" s="38"/>
    </row>
    <row r="81" spans="1:42" s="18" customFormat="1" ht="15" customHeight="1">
      <c r="A81" s="121"/>
      <c r="I81" s="34"/>
      <c r="J81" s="35"/>
      <c r="K81" s="36"/>
      <c r="L81" s="35"/>
      <c r="M81" s="37"/>
      <c r="N81" s="38"/>
      <c r="O81" s="37"/>
      <c r="Q81" s="26"/>
      <c r="R81" s="27"/>
      <c r="V81" s="22"/>
      <c r="W81" s="20"/>
      <c r="X81" s="24"/>
      <c r="Y81" s="25"/>
      <c r="Z81" s="25"/>
      <c r="AA81" s="25"/>
      <c r="AE81" s="38"/>
    </row>
    <row r="82" spans="1:42" s="18" customFormat="1" ht="15" customHeight="1">
      <c r="A82" s="121"/>
      <c r="I82" s="34"/>
      <c r="J82" s="35"/>
      <c r="K82" s="36"/>
      <c r="L82" s="35"/>
      <c r="M82" s="37"/>
      <c r="N82" s="38"/>
      <c r="O82" s="37"/>
      <c r="Q82" s="26"/>
      <c r="R82" s="27"/>
      <c r="V82" s="22"/>
      <c r="W82" s="20"/>
      <c r="X82" s="24"/>
      <c r="Y82" s="25"/>
      <c r="Z82" s="25"/>
      <c r="AA82" s="25"/>
      <c r="AE82" s="38"/>
    </row>
    <row r="83" spans="1:42" s="18" customFormat="1" ht="15" customHeight="1">
      <c r="A83" s="121"/>
      <c r="I83" s="34"/>
      <c r="J83" s="35"/>
      <c r="K83" s="36"/>
      <c r="L83" s="35"/>
      <c r="M83" s="37"/>
      <c r="N83" s="38"/>
      <c r="O83" s="37"/>
      <c r="Q83" s="26"/>
      <c r="R83" s="27"/>
      <c r="V83" s="22"/>
      <c r="W83" s="20"/>
      <c r="X83" s="24"/>
      <c r="Y83" s="25"/>
      <c r="Z83" s="25"/>
      <c r="AA83" s="25"/>
      <c r="AB83" s="25"/>
      <c r="AC83" s="25"/>
      <c r="AD83" s="25"/>
      <c r="AE83" s="38"/>
    </row>
    <row r="84" spans="1:42" s="18" customFormat="1" ht="15" customHeight="1">
      <c r="A84" s="121"/>
      <c r="I84" s="34"/>
      <c r="J84" s="35"/>
      <c r="K84" s="36"/>
      <c r="L84" s="35"/>
      <c r="M84" s="37"/>
      <c r="N84" s="38"/>
      <c r="O84" s="37"/>
      <c r="Q84" s="26"/>
      <c r="R84" s="27"/>
      <c r="V84" s="22"/>
      <c r="W84" s="20"/>
      <c r="X84" s="24"/>
      <c r="Y84" s="25"/>
      <c r="Z84" s="25"/>
      <c r="AA84" s="25"/>
      <c r="AB84" s="25"/>
      <c r="AC84" s="25"/>
      <c r="AD84" s="25"/>
      <c r="AE84" s="45"/>
    </row>
    <row r="85" spans="1:42" s="18" customFormat="1" ht="15" customHeight="1">
      <c r="A85" s="119"/>
      <c r="I85" s="34"/>
      <c r="J85" s="35"/>
      <c r="K85" s="36"/>
      <c r="L85" s="35"/>
      <c r="M85" s="37"/>
      <c r="N85" s="38"/>
      <c r="O85" s="37"/>
      <c r="Q85" s="26"/>
      <c r="R85" s="27"/>
      <c r="V85" s="22"/>
      <c r="W85" s="20"/>
      <c r="X85" s="24"/>
      <c r="Y85" s="25"/>
      <c r="Z85" s="25"/>
      <c r="AA85" s="25"/>
      <c r="AB85" s="25"/>
      <c r="AC85" s="25"/>
      <c r="AD85" s="25"/>
      <c r="AE85" s="45"/>
    </row>
    <row r="86" spans="1:42" s="18" customFormat="1" ht="15" customHeight="1">
      <c r="A86" s="119"/>
      <c r="I86" s="34"/>
      <c r="J86" s="35"/>
      <c r="K86" s="36"/>
      <c r="L86" s="35"/>
      <c r="M86" s="37"/>
      <c r="N86" s="38"/>
      <c r="O86" s="37"/>
      <c r="Q86" s="26"/>
      <c r="R86" s="27"/>
      <c r="V86" s="22"/>
      <c r="W86" s="20"/>
      <c r="X86" s="24"/>
      <c r="Y86" s="25"/>
      <c r="Z86" s="25"/>
      <c r="AA86" s="25"/>
      <c r="AB86" s="25"/>
      <c r="AC86" s="25"/>
      <c r="AD86" s="25"/>
      <c r="AE86" s="45"/>
    </row>
    <row r="87" spans="1:42" s="18" customFormat="1" ht="15" customHeight="1">
      <c r="A87" s="119"/>
      <c r="I87" s="34"/>
      <c r="J87" s="35"/>
      <c r="K87" s="36"/>
      <c r="L87" s="35"/>
      <c r="M87" s="37"/>
      <c r="N87" s="38"/>
      <c r="O87" s="37"/>
      <c r="Q87" s="26"/>
      <c r="R87" s="27"/>
      <c r="V87" s="22"/>
      <c r="W87" s="20"/>
      <c r="X87" s="24"/>
      <c r="Y87" s="25"/>
      <c r="Z87" s="25"/>
      <c r="AA87" s="25"/>
      <c r="AE87" s="38"/>
    </row>
    <row r="88" spans="1:42" s="18" customFormat="1" ht="15" customHeight="1">
      <c r="A88" s="119"/>
      <c r="I88" s="34"/>
      <c r="J88" s="35"/>
      <c r="K88" s="36"/>
      <c r="L88" s="35"/>
      <c r="M88" s="37"/>
      <c r="N88" s="38"/>
      <c r="O88" s="37"/>
      <c r="Q88" s="26"/>
      <c r="R88" s="27"/>
      <c r="V88" s="22"/>
      <c r="W88" s="20"/>
      <c r="X88" s="24"/>
      <c r="AA88" s="25"/>
      <c r="AE88" s="38"/>
    </row>
    <row r="89" spans="1:42" s="18" customFormat="1" ht="15" customHeight="1">
      <c r="A89" s="119"/>
      <c r="I89" s="34"/>
      <c r="J89" s="35"/>
      <c r="K89" s="36"/>
      <c r="L89" s="35"/>
      <c r="M89" s="37"/>
      <c r="N89" s="38"/>
      <c r="O89" s="37"/>
      <c r="Q89" s="26"/>
      <c r="R89" s="27"/>
      <c r="V89" s="22"/>
      <c r="W89" s="20"/>
      <c r="X89" s="24"/>
      <c r="Y89" s="25"/>
      <c r="Z89" s="25"/>
      <c r="AA89" s="25"/>
      <c r="AB89" s="25"/>
      <c r="AC89" s="25"/>
      <c r="AD89" s="25"/>
      <c r="AE89" s="38"/>
    </row>
    <row r="90" spans="1:42" s="18" customFormat="1" ht="15" customHeight="1">
      <c r="A90" s="119"/>
      <c r="I90" s="34"/>
      <c r="J90" s="35"/>
      <c r="K90" s="36"/>
      <c r="L90" s="35"/>
      <c r="M90" s="37"/>
      <c r="N90" s="38"/>
      <c r="O90" s="37"/>
      <c r="Q90" s="26"/>
      <c r="R90" s="27"/>
      <c r="V90" s="22"/>
      <c r="W90" s="20"/>
      <c r="X90" s="24"/>
      <c r="Y90" s="25"/>
      <c r="Z90" s="25"/>
      <c r="AA90" s="25"/>
      <c r="AB90" s="25"/>
      <c r="AC90" s="25"/>
      <c r="AD90" s="25"/>
      <c r="AE90" s="45"/>
    </row>
    <row r="91" spans="1:42" s="18" customFormat="1">
      <c r="A91" s="119"/>
      <c r="I91" s="34"/>
      <c r="J91" s="35"/>
      <c r="K91" s="36"/>
      <c r="L91" s="35"/>
      <c r="M91" s="37"/>
      <c r="N91" s="38"/>
      <c r="O91" s="37"/>
      <c r="Q91" s="26"/>
      <c r="R91" s="27"/>
      <c r="V91" s="22"/>
      <c r="W91" s="20"/>
      <c r="X91" s="24"/>
      <c r="Y91" s="25"/>
      <c r="Z91" s="25"/>
      <c r="AA91" s="25"/>
      <c r="AB91" s="25"/>
      <c r="AC91" s="25"/>
      <c r="AD91" s="25"/>
      <c r="AE91" s="45"/>
      <c r="AL91" s="25"/>
    </row>
    <row r="92" spans="1:42" s="18" customFormat="1">
      <c r="A92" s="119"/>
      <c r="I92" s="34"/>
      <c r="J92" s="35"/>
      <c r="K92" s="36"/>
      <c r="L92" s="35"/>
      <c r="M92" s="37"/>
      <c r="N92" s="38"/>
      <c r="O92" s="37"/>
      <c r="Q92" s="26"/>
      <c r="R92" s="27"/>
      <c r="V92" s="22"/>
      <c r="W92" s="20"/>
      <c r="X92" s="24"/>
      <c r="Y92" s="25"/>
      <c r="Z92" s="25"/>
      <c r="AA92" s="25"/>
      <c r="AB92" s="25"/>
      <c r="AC92" s="25"/>
      <c r="AD92" s="25"/>
      <c r="AE92" s="45"/>
    </row>
    <row r="93" spans="1:42" s="18" customFormat="1">
      <c r="A93" s="119"/>
      <c r="I93" s="34"/>
      <c r="J93" s="35"/>
      <c r="K93" s="36"/>
      <c r="L93" s="35"/>
      <c r="M93" s="37"/>
      <c r="N93" s="38"/>
      <c r="O93" s="37"/>
      <c r="Q93" s="26"/>
      <c r="R93" s="27"/>
      <c r="V93" s="22"/>
      <c r="W93" s="20"/>
      <c r="X93" s="24"/>
      <c r="Y93" s="25"/>
      <c r="Z93" s="25"/>
      <c r="AA93" s="25"/>
      <c r="AB93" s="25"/>
      <c r="AC93" s="25"/>
      <c r="AD93" s="25"/>
      <c r="AE93" s="45"/>
    </row>
    <row r="94" spans="1:42" s="18" customFormat="1">
      <c r="A94" s="119"/>
      <c r="I94" s="34"/>
      <c r="J94" s="35"/>
      <c r="K94" s="36"/>
      <c r="L94" s="35"/>
      <c r="M94" s="37"/>
      <c r="N94" s="38"/>
      <c r="O94" s="37"/>
      <c r="Q94" s="26"/>
      <c r="R94" s="27"/>
      <c r="V94" s="22"/>
      <c r="W94" s="20"/>
      <c r="X94" s="24"/>
      <c r="Y94" s="25"/>
      <c r="Z94" s="25"/>
      <c r="AA94" s="25"/>
      <c r="AB94" s="25"/>
      <c r="AC94" s="25"/>
      <c r="AD94" s="25"/>
      <c r="AE94" s="45"/>
    </row>
    <row r="95" spans="1:42" s="18" customFormat="1">
      <c r="A95" s="119"/>
      <c r="B95" s="25"/>
      <c r="C95" s="25"/>
      <c r="D95" s="25"/>
      <c r="F95" s="25"/>
      <c r="G95" s="25"/>
      <c r="H95" s="25"/>
      <c r="I95" s="42"/>
      <c r="J95" s="43"/>
      <c r="K95" s="44"/>
      <c r="L95" s="43"/>
      <c r="M95" s="28"/>
      <c r="N95" s="45"/>
      <c r="O95" s="28"/>
      <c r="P95" s="25"/>
      <c r="Q95" s="46"/>
      <c r="R95" s="47"/>
      <c r="S95" s="25"/>
      <c r="T95" s="25"/>
      <c r="U95" s="25"/>
      <c r="V95" s="22"/>
      <c r="W95" s="20"/>
      <c r="X95" s="24"/>
      <c r="Y95" s="25"/>
      <c r="Z95" s="25"/>
      <c r="AA95" s="25"/>
      <c r="AB95" s="25"/>
      <c r="AC95" s="25"/>
      <c r="AD95" s="25"/>
      <c r="AE95" s="4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</row>
    <row r="96" spans="1:42" s="140" customFormat="1">
      <c r="A96" s="119"/>
      <c r="B96" s="18"/>
      <c r="C96" s="18"/>
      <c r="D96" s="25"/>
      <c r="E96" s="18"/>
      <c r="F96" s="18"/>
      <c r="G96" s="18"/>
      <c r="H96" s="18"/>
      <c r="I96" s="34"/>
      <c r="J96" s="35"/>
      <c r="K96" s="36"/>
      <c r="L96" s="35"/>
      <c r="M96" s="37"/>
      <c r="N96" s="38"/>
      <c r="O96" s="28"/>
      <c r="P96" s="25"/>
      <c r="Q96" s="26"/>
      <c r="R96" s="27"/>
      <c r="S96" s="25"/>
      <c r="T96" s="25"/>
      <c r="U96" s="25"/>
      <c r="V96" s="22"/>
      <c r="W96" s="20"/>
      <c r="X96" s="24"/>
      <c r="Y96" s="25"/>
      <c r="Z96" s="25"/>
      <c r="AA96" s="25"/>
      <c r="AB96" s="18"/>
      <c r="AC96" s="18"/>
      <c r="AD96" s="18"/>
      <c r="AE96" s="3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</row>
    <row r="97" spans="1:42" s="18" customFormat="1">
      <c r="A97" s="119"/>
      <c r="D97" s="25"/>
      <c r="I97" s="34"/>
      <c r="J97" s="35"/>
      <c r="K97" s="36"/>
      <c r="L97" s="35"/>
      <c r="M97" s="37"/>
      <c r="N97" s="38"/>
      <c r="O97" s="28"/>
      <c r="P97" s="25"/>
      <c r="Q97" s="26"/>
      <c r="R97" s="27"/>
      <c r="S97" s="25"/>
      <c r="T97" s="25"/>
      <c r="U97" s="25"/>
      <c r="V97" s="22"/>
      <c r="W97" s="20"/>
      <c r="X97" s="24"/>
      <c r="Y97" s="25"/>
      <c r="Z97" s="25"/>
      <c r="AA97" s="25"/>
      <c r="AE97" s="38"/>
    </row>
    <row r="98" spans="1:42" s="18" customFormat="1">
      <c r="A98" s="119"/>
      <c r="D98" s="25"/>
      <c r="I98" s="34"/>
      <c r="J98" s="35"/>
      <c r="K98" s="36"/>
      <c r="L98" s="35"/>
      <c r="M98" s="37"/>
      <c r="N98" s="38"/>
      <c r="O98" s="28"/>
      <c r="P98" s="25"/>
      <c r="Q98" s="26"/>
      <c r="R98" s="27"/>
      <c r="S98" s="25"/>
      <c r="T98" s="25"/>
      <c r="U98" s="25"/>
      <c r="V98" s="22"/>
      <c r="W98" s="20"/>
      <c r="X98" s="24"/>
      <c r="Y98" s="25"/>
      <c r="Z98" s="25"/>
      <c r="AA98" s="25"/>
      <c r="AE98" s="38"/>
    </row>
    <row r="99" spans="1:42" s="18" customFormat="1">
      <c r="A99" s="119"/>
      <c r="D99" s="25"/>
      <c r="I99" s="34"/>
      <c r="J99" s="35"/>
      <c r="K99" s="36"/>
      <c r="L99" s="35"/>
      <c r="M99" s="37"/>
      <c r="N99" s="38"/>
      <c r="O99" s="28"/>
      <c r="P99" s="25"/>
      <c r="Q99" s="26"/>
      <c r="R99" s="27"/>
      <c r="S99" s="25"/>
      <c r="T99" s="25"/>
      <c r="U99" s="25"/>
      <c r="V99" s="22"/>
      <c r="W99" s="20"/>
      <c r="X99" s="24"/>
      <c r="Y99" s="25"/>
      <c r="Z99" s="25"/>
      <c r="AA99" s="25"/>
      <c r="AE99" s="38"/>
    </row>
    <row r="100" spans="1:42" s="140" customFormat="1">
      <c r="A100" s="119"/>
      <c r="B100" s="18"/>
      <c r="C100" s="18"/>
      <c r="D100" s="25"/>
      <c r="E100" s="18"/>
      <c r="F100" s="18"/>
      <c r="G100" s="18"/>
      <c r="H100" s="18"/>
      <c r="I100" s="34"/>
      <c r="J100" s="35"/>
      <c r="K100" s="36"/>
      <c r="L100" s="35"/>
      <c r="M100" s="37"/>
      <c r="N100" s="38"/>
      <c r="O100" s="28"/>
      <c r="P100" s="18"/>
      <c r="Q100" s="26"/>
      <c r="R100" s="27"/>
      <c r="S100" s="18"/>
      <c r="T100" s="18"/>
      <c r="U100" s="18"/>
      <c r="V100" s="22"/>
      <c r="W100" s="20"/>
      <c r="X100" s="24"/>
      <c r="Y100" s="25"/>
      <c r="Z100" s="25"/>
      <c r="AA100" s="25"/>
      <c r="AB100" s="18"/>
      <c r="AC100" s="18"/>
      <c r="AD100" s="18"/>
      <c r="AE100" s="3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</row>
    <row r="101" spans="1:42" s="18" customFormat="1" ht="16.5" customHeight="1">
      <c r="A101" s="119"/>
      <c r="D101" s="25"/>
      <c r="I101" s="34"/>
      <c r="J101" s="35"/>
      <c r="K101" s="36"/>
      <c r="L101" s="35"/>
      <c r="M101" s="37"/>
      <c r="N101" s="38"/>
      <c r="O101" s="37"/>
      <c r="Q101" s="26"/>
      <c r="R101" s="27"/>
      <c r="V101" s="22"/>
      <c r="W101" s="20"/>
      <c r="X101" s="24"/>
      <c r="Y101" s="25"/>
      <c r="Z101" s="25"/>
      <c r="AA101" s="25"/>
      <c r="AE101" s="38"/>
    </row>
    <row r="102" spans="1:42" s="140" customFormat="1">
      <c r="A102" s="119"/>
      <c r="B102" s="18"/>
      <c r="C102" s="18"/>
      <c r="D102" s="25"/>
      <c r="E102" s="18"/>
      <c r="F102" s="18"/>
      <c r="G102" s="18"/>
      <c r="H102" s="18"/>
      <c r="I102" s="34"/>
      <c r="J102" s="35"/>
      <c r="K102" s="36"/>
      <c r="L102" s="35"/>
      <c r="M102" s="37"/>
      <c r="N102" s="38"/>
      <c r="O102" s="37"/>
      <c r="P102" s="18"/>
      <c r="Q102" s="26"/>
      <c r="R102" s="27"/>
      <c r="S102" s="18"/>
      <c r="T102" s="18"/>
      <c r="U102" s="18"/>
      <c r="V102" s="22"/>
      <c r="W102" s="20"/>
      <c r="X102" s="24"/>
      <c r="Y102" s="25"/>
      <c r="Z102" s="25"/>
      <c r="AA102" s="25"/>
      <c r="AB102" s="18"/>
      <c r="AC102" s="18"/>
      <c r="AD102" s="18"/>
      <c r="AE102" s="3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</row>
    <row r="103" spans="1:42" s="18" customFormat="1">
      <c r="A103" s="119"/>
      <c r="B103" s="49"/>
      <c r="C103" s="49"/>
      <c r="D103" s="49"/>
      <c r="F103" s="49"/>
      <c r="G103" s="49"/>
      <c r="H103" s="49"/>
      <c r="I103" s="50"/>
      <c r="J103" s="51"/>
      <c r="K103" s="52"/>
      <c r="L103" s="51"/>
      <c r="M103" s="53"/>
      <c r="N103" s="54"/>
      <c r="O103" s="53"/>
      <c r="P103" s="49"/>
      <c r="Q103" s="55"/>
      <c r="R103" s="56"/>
      <c r="S103" s="49"/>
      <c r="T103" s="49"/>
      <c r="U103" s="49"/>
      <c r="V103" s="58"/>
      <c r="W103" s="48"/>
      <c r="X103" s="57"/>
      <c r="Y103" s="49"/>
      <c r="Z103" s="49"/>
      <c r="AA103" s="49"/>
      <c r="AB103" s="49"/>
      <c r="AC103" s="49"/>
      <c r="AD103" s="49"/>
      <c r="AE103" s="54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</row>
    <row r="104" spans="1:42" s="18" customFormat="1">
      <c r="A104" s="119"/>
      <c r="C104" s="49"/>
      <c r="D104" s="49"/>
      <c r="F104" s="49"/>
      <c r="G104" s="49"/>
      <c r="H104" s="49"/>
      <c r="I104" s="50"/>
      <c r="J104" s="51"/>
      <c r="K104" s="52"/>
      <c r="L104" s="51"/>
      <c r="M104" s="53"/>
      <c r="N104" s="54"/>
      <c r="O104" s="53"/>
      <c r="Q104" s="26"/>
      <c r="R104" s="27"/>
      <c r="V104" s="22"/>
      <c r="W104" s="20"/>
      <c r="X104" s="24"/>
      <c r="Y104" s="25"/>
      <c r="Z104" s="25"/>
      <c r="AA104" s="25"/>
      <c r="AE104" s="38"/>
    </row>
    <row r="105" spans="1:42" s="18" customFormat="1">
      <c r="A105" s="119"/>
      <c r="C105" s="49"/>
      <c r="D105" s="49"/>
      <c r="F105" s="49"/>
      <c r="G105" s="49"/>
      <c r="H105" s="49"/>
      <c r="I105" s="50"/>
      <c r="J105" s="51"/>
      <c r="K105" s="52"/>
      <c r="L105" s="51"/>
      <c r="M105" s="53"/>
      <c r="N105" s="54"/>
      <c r="O105" s="53"/>
      <c r="Q105" s="26"/>
      <c r="R105" s="27"/>
      <c r="V105" s="22"/>
      <c r="W105" s="20"/>
      <c r="X105" s="24"/>
      <c r="Y105" s="25"/>
      <c r="Z105" s="25"/>
      <c r="AA105" s="25"/>
      <c r="AE105" s="38"/>
    </row>
    <row r="106" spans="1:42" s="18" customFormat="1">
      <c r="A106" s="119"/>
      <c r="C106" s="49"/>
      <c r="D106" s="49"/>
      <c r="F106" s="49"/>
      <c r="G106" s="49"/>
      <c r="H106" s="49"/>
      <c r="I106" s="50"/>
      <c r="J106" s="51"/>
      <c r="K106" s="52"/>
      <c r="L106" s="51"/>
      <c r="M106" s="53"/>
      <c r="N106" s="54"/>
      <c r="O106" s="53"/>
      <c r="Q106" s="26"/>
      <c r="R106" s="27"/>
      <c r="V106" s="22"/>
      <c r="W106" s="20"/>
      <c r="X106" s="24"/>
      <c r="Y106" s="25"/>
      <c r="Z106" s="25"/>
      <c r="AA106" s="25"/>
      <c r="AE106" s="38"/>
    </row>
    <row r="107" spans="1:42" s="18" customFormat="1">
      <c r="A107" s="119"/>
      <c r="C107" s="49"/>
      <c r="D107" s="49"/>
      <c r="F107" s="49"/>
      <c r="G107" s="49"/>
      <c r="H107" s="49"/>
      <c r="I107" s="50"/>
      <c r="J107" s="51"/>
      <c r="K107" s="52"/>
      <c r="L107" s="51"/>
      <c r="M107" s="53"/>
      <c r="N107" s="54"/>
      <c r="O107" s="53"/>
      <c r="Q107" s="26"/>
      <c r="R107" s="27"/>
      <c r="V107" s="22"/>
      <c r="W107" s="20"/>
      <c r="X107" s="24"/>
      <c r="Y107" s="25"/>
      <c r="Z107" s="25"/>
      <c r="AA107" s="25"/>
      <c r="AE107" s="38"/>
    </row>
    <row r="108" spans="1:42" s="18" customFormat="1">
      <c r="A108" s="119"/>
      <c r="C108" s="49"/>
      <c r="D108" s="49"/>
      <c r="F108" s="49"/>
      <c r="G108" s="49"/>
      <c r="H108" s="49"/>
      <c r="I108" s="50"/>
      <c r="J108" s="51"/>
      <c r="K108" s="52"/>
      <c r="L108" s="51"/>
      <c r="M108" s="53"/>
      <c r="N108" s="54"/>
      <c r="O108" s="53"/>
      <c r="Q108" s="26"/>
      <c r="R108" s="27"/>
      <c r="V108" s="22"/>
      <c r="W108" s="20"/>
      <c r="X108" s="24"/>
      <c r="Y108" s="25"/>
      <c r="Z108" s="25"/>
      <c r="AA108" s="25"/>
      <c r="AE108" s="38"/>
    </row>
    <row r="109" spans="1:42" s="18" customFormat="1">
      <c r="A109" s="119"/>
      <c r="C109" s="49"/>
      <c r="D109" s="49"/>
      <c r="F109" s="49"/>
      <c r="G109" s="49"/>
      <c r="H109" s="49"/>
      <c r="I109" s="50"/>
      <c r="J109" s="51"/>
      <c r="K109" s="52"/>
      <c r="L109" s="51"/>
      <c r="M109" s="53"/>
      <c r="N109" s="54"/>
      <c r="O109" s="53"/>
      <c r="Q109" s="26"/>
      <c r="R109" s="27"/>
      <c r="V109" s="22"/>
      <c r="W109" s="20"/>
      <c r="X109" s="24"/>
      <c r="Y109" s="25"/>
      <c r="Z109" s="25"/>
      <c r="AA109" s="25"/>
      <c r="AE109" s="38"/>
    </row>
    <row r="110" spans="1:42" s="18" customFormat="1">
      <c r="A110" s="119"/>
      <c r="D110" s="49"/>
      <c r="I110" s="34"/>
      <c r="J110" s="35"/>
      <c r="K110" s="36"/>
      <c r="L110" s="35"/>
      <c r="M110" s="37"/>
      <c r="N110" s="38"/>
      <c r="O110" s="37"/>
      <c r="Q110" s="26"/>
      <c r="R110" s="27"/>
      <c r="V110" s="22"/>
      <c r="W110" s="20"/>
      <c r="X110" s="24"/>
      <c r="Y110" s="25"/>
      <c r="Z110" s="25"/>
      <c r="AA110" s="25"/>
      <c r="AE110" s="38"/>
    </row>
    <row r="111" spans="1:42" s="18" customFormat="1">
      <c r="A111" s="119"/>
      <c r="D111" s="25"/>
      <c r="E111" s="25"/>
      <c r="I111" s="34"/>
      <c r="J111" s="35"/>
      <c r="K111" s="36"/>
      <c r="L111" s="35"/>
      <c r="M111" s="37"/>
      <c r="N111" s="38"/>
      <c r="O111" s="37"/>
      <c r="Q111" s="26"/>
      <c r="R111" s="27"/>
      <c r="V111" s="22"/>
      <c r="W111" s="20"/>
      <c r="X111" s="24"/>
      <c r="Y111" s="25"/>
      <c r="Z111" s="25"/>
      <c r="AA111" s="25"/>
      <c r="AB111" s="25"/>
      <c r="AC111" s="25"/>
      <c r="AD111" s="25"/>
      <c r="AE111" s="45"/>
    </row>
    <row r="112" spans="1:42" s="18" customFormat="1">
      <c r="A112" s="119"/>
      <c r="D112" s="25"/>
      <c r="E112" s="25"/>
      <c r="I112" s="34"/>
      <c r="J112" s="35"/>
      <c r="K112" s="36"/>
      <c r="L112" s="35"/>
      <c r="M112" s="37"/>
      <c r="N112" s="38"/>
      <c r="O112" s="37"/>
      <c r="Q112" s="26"/>
      <c r="R112" s="27"/>
      <c r="V112" s="22"/>
      <c r="W112" s="20"/>
      <c r="X112" s="24"/>
      <c r="Y112" s="25"/>
      <c r="Z112" s="25"/>
      <c r="AA112" s="25"/>
      <c r="AE112" s="38"/>
    </row>
    <row r="113" spans="1:42" s="18" customFormat="1">
      <c r="A113" s="119"/>
      <c r="D113" s="25"/>
      <c r="E113" s="25"/>
      <c r="I113" s="34"/>
      <c r="J113" s="35"/>
      <c r="K113" s="36"/>
      <c r="L113" s="35"/>
      <c r="M113" s="37"/>
      <c r="N113" s="38"/>
      <c r="O113" s="37"/>
      <c r="Q113" s="26"/>
      <c r="R113" s="27"/>
      <c r="V113" s="22"/>
      <c r="W113" s="20"/>
      <c r="X113" s="24"/>
      <c r="Y113" s="25"/>
      <c r="Z113" s="25"/>
      <c r="AA113" s="25"/>
      <c r="AE113" s="38"/>
    </row>
    <row r="114" spans="1:42" s="18" customFormat="1">
      <c r="A114" s="119"/>
      <c r="D114" s="25"/>
      <c r="E114" s="25"/>
      <c r="I114" s="34"/>
      <c r="J114" s="35"/>
      <c r="K114" s="36"/>
      <c r="L114" s="35"/>
      <c r="M114" s="37"/>
      <c r="N114" s="38"/>
      <c r="O114" s="37"/>
      <c r="Q114" s="26"/>
      <c r="R114" s="27"/>
      <c r="V114" s="22"/>
      <c r="W114" s="20"/>
      <c r="X114" s="24"/>
      <c r="Y114" s="25"/>
      <c r="Z114" s="25"/>
      <c r="AA114" s="25"/>
      <c r="AE114" s="38"/>
    </row>
    <row r="115" spans="1:42" s="18" customFormat="1">
      <c r="A115" s="119"/>
      <c r="D115" s="25"/>
      <c r="E115" s="25"/>
      <c r="I115" s="34"/>
      <c r="J115" s="35"/>
      <c r="K115" s="36"/>
      <c r="L115" s="35"/>
      <c r="M115" s="37"/>
      <c r="N115" s="38"/>
      <c r="O115" s="37"/>
      <c r="Q115" s="26"/>
      <c r="R115" s="27"/>
      <c r="V115" s="22"/>
      <c r="W115" s="20"/>
      <c r="X115" s="24"/>
      <c r="Y115" s="25"/>
      <c r="Z115" s="25"/>
      <c r="AA115" s="25"/>
      <c r="AE115" s="38"/>
    </row>
    <row r="116" spans="1:42" s="18" customFormat="1">
      <c r="A116" s="119"/>
      <c r="D116" s="25"/>
      <c r="E116" s="25"/>
      <c r="I116" s="34"/>
      <c r="J116" s="35"/>
      <c r="K116" s="36"/>
      <c r="L116" s="35"/>
      <c r="M116" s="37"/>
      <c r="N116" s="38"/>
      <c r="O116" s="37"/>
      <c r="Q116" s="26"/>
      <c r="R116" s="27"/>
      <c r="V116" s="22"/>
      <c r="W116" s="20"/>
      <c r="X116" s="24"/>
      <c r="Y116" s="25"/>
      <c r="Z116" s="25"/>
      <c r="AA116" s="25"/>
      <c r="AB116" s="25"/>
      <c r="AC116" s="25"/>
      <c r="AD116" s="25"/>
      <c r="AE116" s="45"/>
    </row>
    <row r="117" spans="1:42" s="18" customFormat="1">
      <c r="A117" s="119"/>
      <c r="D117" s="25"/>
      <c r="E117" s="25"/>
      <c r="I117" s="34"/>
      <c r="J117" s="35"/>
      <c r="K117" s="36"/>
      <c r="L117" s="35"/>
      <c r="M117" s="37"/>
      <c r="N117" s="38"/>
      <c r="O117" s="37"/>
      <c r="Q117" s="26"/>
      <c r="R117" s="27"/>
      <c r="V117" s="22"/>
      <c r="W117" s="20"/>
      <c r="X117" s="24"/>
      <c r="Y117" s="25"/>
      <c r="Z117" s="25"/>
      <c r="AA117" s="25"/>
      <c r="AB117" s="25"/>
      <c r="AC117" s="25"/>
      <c r="AD117" s="25"/>
      <c r="AE117" s="45"/>
    </row>
    <row r="118" spans="1:42" s="18" customFormat="1">
      <c r="A118" s="119"/>
      <c r="D118" s="25"/>
      <c r="E118" s="25"/>
      <c r="I118" s="34"/>
      <c r="J118" s="35"/>
      <c r="K118" s="36"/>
      <c r="L118" s="35"/>
      <c r="M118" s="37"/>
      <c r="N118" s="38"/>
      <c r="O118" s="37"/>
      <c r="Q118" s="26"/>
      <c r="R118" s="27"/>
      <c r="V118" s="22"/>
      <c r="W118" s="20"/>
      <c r="X118" s="24"/>
      <c r="Y118" s="25"/>
      <c r="Z118" s="25"/>
      <c r="AA118" s="25"/>
      <c r="AE118" s="38"/>
    </row>
    <row r="119" spans="1:42" s="18" customFormat="1">
      <c r="A119" s="119"/>
      <c r="D119" s="25"/>
      <c r="E119" s="25"/>
      <c r="I119" s="34"/>
      <c r="J119" s="35"/>
      <c r="K119" s="36"/>
      <c r="L119" s="35"/>
      <c r="M119" s="37"/>
      <c r="N119" s="38"/>
      <c r="O119" s="37"/>
      <c r="Q119" s="26"/>
      <c r="R119" s="27"/>
      <c r="V119" s="22"/>
      <c r="W119" s="20"/>
      <c r="X119" s="24"/>
      <c r="Y119" s="25"/>
      <c r="Z119" s="25"/>
      <c r="AA119" s="25"/>
      <c r="AE119" s="38"/>
    </row>
    <row r="120" spans="1:42" s="18" customFormat="1">
      <c r="A120" s="119"/>
      <c r="D120" s="25"/>
      <c r="E120" s="25"/>
      <c r="I120" s="34"/>
      <c r="J120" s="35"/>
      <c r="K120" s="36"/>
      <c r="L120" s="35"/>
      <c r="M120" s="37"/>
      <c r="N120" s="38"/>
      <c r="O120" s="37"/>
      <c r="Q120" s="26"/>
      <c r="R120" s="27"/>
      <c r="V120" s="22"/>
      <c r="W120" s="20"/>
      <c r="X120" s="24"/>
      <c r="Y120" s="25"/>
      <c r="Z120" s="25"/>
      <c r="AA120" s="25"/>
      <c r="AE120" s="38"/>
    </row>
    <row r="121" spans="1:42" s="18" customFormat="1">
      <c r="A121" s="119"/>
      <c r="D121" s="25"/>
      <c r="E121" s="25"/>
      <c r="I121" s="34"/>
      <c r="J121" s="35"/>
      <c r="K121" s="36"/>
      <c r="L121" s="35"/>
      <c r="M121" s="37"/>
      <c r="N121" s="38"/>
      <c r="O121" s="37"/>
      <c r="Q121" s="26"/>
      <c r="R121" s="27"/>
      <c r="V121" s="22"/>
      <c r="W121" s="20"/>
      <c r="X121" s="24"/>
      <c r="Y121" s="25"/>
      <c r="Z121" s="25"/>
      <c r="AA121" s="25"/>
      <c r="AE121" s="38"/>
    </row>
    <row r="122" spans="1:42" s="18" customFormat="1">
      <c r="A122" s="119"/>
      <c r="D122" s="25"/>
      <c r="E122" s="25"/>
      <c r="I122" s="34"/>
      <c r="J122" s="35"/>
      <c r="K122" s="36"/>
      <c r="L122" s="35"/>
      <c r="M122" s="37"/>
      <c r="N122" s="38"/>
      <c r="O122" s="37"/>
      <c r="Q122" s="26"/>
      <c r="R122" s="27"/>
      <c r="V122" s="22"/>
      <c r="W122" s="20"/>
      <c r="X122" s="24"/>
      <c r="Y122" s="25"/>
      <c r="Z122" s="25"/>
      <c r="AA122" s="25"/>
      <c r="AB122" s="25"/>
      <c r="AC122" s="25"/>
      <c r="AD122" s="25"/>
      <c r="AE122" s="38"/>
    </row>
    <row r="123" spans="1:42" s="18" customFormat="1">
      <c r="A123" s="119"/>
      <c r="D123" s="25"/>
      <c r="E123" s="25"/>
      <c r="I123" s="34"/>
      <c r="J123" s="35"/>
      <c r="K123" s="36"/>
      <c r="L123" s="35"/>
      <c r="M123" s="37"/>
      <c r="N123" s="38"/>
      <c r="O123" s="37"/>
      <c r="Q123" s="26"/>
      <c r="R123" s="27"/>
      <c r="V123" s="22"/>
      <c r="W123" s="20"/>
      <c r="X123" s="24"/>
      <c r="Y123" s="25"/>
      <c r="Z123" s="25"/>
      <c r="AA123" s="25"/>
      <c r="AE123" s="38"/>
    </row>
    <row r="124" spans="1:42" s="140" customFormat="1">
      <c r="A124" s="119"/>
      <c r="B124" s="18"/>
      <c r="C124" s="18"/>
      <c r="D124" s="25"/>
      <c r="E124" s="25"/>
      <c r="F124" s="18"/>
      <c r="G124" s="18"/>
      <c r="H124" s="18"/>
      <c r="I124" s="34"/>
      <c r="J124" s="35"/>
      <c r="K124" s="36"/>
      <c r="L124" s="35"/>
      <c r="M124" s="37"/>
      <c r="N124" s="38"/>
      <c r="O124" s="37"/>
      <c r="P124" s="18"/>
      <c r="Q124" s="26"/>
      <c r="R124" s="27"/>
      <c r="S124" s="18"/>
      <c r="T124" s="18"/>
      <c r="U124" s="18"/>
      <c r="V124" s="22"/>
      <c r="W124" s="20"/>
      <c r="X124" s="24"/>
      <c r="Y124" s="25"/>
      <c r="Z124" s="25"/>
      <c r="AA124" s="25"/>
      <c r="AB124" s="18"/>
      <c r="AC124" s="18"/>
      <c r="AD124" s="18"/>
      <c r="AE124" s="3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</row>
    <row r="125" spans="1:42" s="18" customFormat="1">
      <c r="A125" s="119"/>
      <c r="D125" s="25"/>
      <c r="E125" s="25"/>
      <c r="I125" s="34"/>
      <c r="J125" s="35"/>
      <c r="K125" s="36"/>
      <c r="L125" s="35"/>
      <c r="M125" s="37"/>
      <c r="N125" s="38"/>
      <c r="O125" s="37"/>
      <c r="Q125" s="26"/>
      <c r="R125" s="27"/>
      <c r="V125" s="22"/>
      <c r="W125" s="20"/>
      <c r="X125" s="24"/>
      <c r="Y125" s="25"/>
      <c r="Z125" s="25"/>
      <c r="AA125" s="25"/>
      <c r="AE125" s="38"/>
    </row>
    <row r="126" spans="1:42" s="140" customFormat="1">
      <c r="A126" s="119"/>
      <c r="B126" s="18"/>
      <c r="C126" s="18"/>
      <c r="D126" s="25"/>
      <c r="E126" s="25"/>
      <c r="F126" s="18"/>
      <c r="G126" s="18"/>
      <c r="H126" s="18"/>
      <c r="I126" s="34"/>
      <c r="J126" s="35"/>
      <c r="K126" s="36"/>
      <c r="L126" s="35"/>
      <c r="M126" s="37"/>
      <c r="N126" s="38"/>
      <c r="O126" s="37"/>
      <c r="P126" s="18"/>
      <c r="Q126" s="26"/>
      <c r="R126" s="27"/>
      <c r="S126" s="18"/>
      <c r="T126" s="18"/>
      <c r="U126" s="18"/>
      <c r="V126" s="22"/>
      <c r="W126" s="20"/>
      <c r="X126" s="24"/>
      <c r="Y126" s="25"/>
      <c r="Z126" s="25"/>
      <c r="AA126" s="25"/>
      <c r="AB126" s="18"/>
      <c r="AC126" s="18"/>
      <c r="AD126" s="18"/>
      <c r="AE126" s="3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</row>
    <row r="127" spans="1:42" s="18" customFormat="1">
      <c r="A127" s="119"/>
      <c r="D127" s="25"/>
      <c r="E127" s="25"/>
      <c r="I127" s="34"/>
      <c r="J127" s="35"/>
      <c r="K127" s="36"/>
      <c r="L127" s="35"/>
      <c r="M127" s="37"/>
      <c r="N127" s="38"/>
      <c r="O127" s="37"/>
      <c r="Q127" s="26"/>
      <c r="R127" s="27"/>
      <c r="V127" s="22"/>
      <c r="W127" s="20"/>
      <c r="X127" s="24"/>
      <c r="Y127" s="25"/>
      <c r="Z127" s="25"/>
      <c r="AA127" s="25"/>
      <c r="AE127" s="38"/>
    </row>
    <row r="128" spans="1:42" s="18" customFormat="1">
      <c r="A128" s="119"/>
      <c r="D128" s="25"/>
      <c r="E128" s="25"/>
      <c r="I128" s="34"/>
      <c r="J128" s="35"/>
      <c r="K128" s="36"/>
      <c r="L128" s="35"/>
      <c r="M128" s="37"/>
      <c r="N128" s="38"/>
      <c r="O128" s="37"/>
      <c r="Q128" s="26"/>
      <c r="R128" s="27"/>
      <c r="V128" s="22"/>
      <c r="W128" s="20"/>
      <c r="X128" s="24"/>
      <c r="Y128" s="25"/>
      <c r="Z128" s="25"/>
      <c r="AA128" s="25"/>
      <c r="AE128" s="38"/>
    </row>
    <row r="129" spans="1:42" s="140" customFormat="1">
      <c r="A129" s="119"/>
      <c r="B129" s="18"/>
      <c r="C129" s="18"/>
      <c r="D129" s="25"/>
      <c r="E129" s="25"/>
      <c r="F129" s="18"/>
      <c r="G129" s="18"/>
      <c r="H129" s="18"/>
      <c r="I129" s="34"/>
      <c r="J129" s="35"/>
      <c r="K129" s="36"/>
      <c r="L129" s="35"/>
      <c r="M129" s="37"/>
      <c r="N129" s="38"/>
      <c r="O129" s="37"/>
      <c r="P129" s="18"/>
      <c r="Q129" s="26"/>
      <c r="R129" s="27"/>
      <c r="S129" s="18"/>
      <c r="T129" s="18"/>
      <c r="U129" s="18"/>
      <c r="V129" s="22"/>
      <c r="W129" s="20"/>
      <c r="X129" s="24"/>
      <c r="Y129" s="25"/>
      <c r="Z129" s="25"/>
      <c r="AA129" s="25"/>
      <c r="AB129" s="18"/>
      <c r="AC129" s="18"/>
      <c r="AD129" s="18"/>
      <c r="AE129" s="3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</row>
    <row r="130" spans="1:42" s="18" customFormat="1">
      <c r="A130" s="119"/>
      <c r="D130" s="25"/>
      <c r="E130" s="25"/>
      <c r="I130" s="34"/>
      <c r="J130" s="35"/>
      <c r="K130" s="36"/>
      <c r="L130" s="35"/>
      <c r="M130" s="37"/>
      <c r="N130" s="38"/>
      <c r="O130" s="37"/>
      <c r="Q130" s="26"/>
      <c r="R130" s="27"/>
      <c r="V130" s="22"/>
      <c r="W130" s="20"/>
      <c r="X130" s="24"/>
      <c r="Y130" s="25"/>
      <c r="Z130" s="25"/>
      <c r="AA130" s="25"/>
      <c r="AE130" s="38"/>
    </row>
    <row r="131" spans="1:42" s="18" customFormat="1">
      <c r="A131" s="119"/>
      <c r="D131" s="25"/>
      <c r="E131" s="25"/>
      <c r="I131" s="34"/>
      <c r="J131" s="35"/>
      <c r="K131" s="36"/>
      <c r="L131" s="35"/>
      <c r="M131" s="37"/>
      <c r="N131" s="38"/>
      <c r="O131" s="37"/>
      <c r="Q131" s="26"/>
      <c r="R131" s="27"/>
      <c r="V131" s="22"/>
      <c r="W131" s="20"/>
      <c r="X131" s="24"/>
      <c r="Y131" s="25"/>
      <c r="Z131" s="25"/>
      <c r="AA131" s="25"/>
      <c r="AB131" s="25"/>
      <c r="AC131" s="25"/>
      <c r="AD131" s="25"/>
      <c r="AE131" s="38"/>
    </row>
    <row r="132" spans="1:42" s="18" customFormat="1">
      <c r="A132" s="119"/>
      <c r="D132" s="25"/>
      <c r="E132" s="25"/>
      <c r="I132" s="34"/>
      <c r="J132" s="35"/>
      <c r="K132" s="36"/>
      <c r="L132" s="35"/>
      <c r="M132" s="37"/>
      <c r="N132" s="38"/>
      <c r="O132" s="37"/>
      <c r="Q132" s="26"/>
      <c r="R132" s="27"/>
      <c r="V132" s="22"/>
      <c r="W132" s="20"/>
      <c r="X132" s="24"/>
      <c r="Y132" s="25"/>
      <c r="Z132" s="25"/>
      <c r="AA132" s="25"/>
      <c r="AE132" s="38"/>
    </row>
    <row r="133" spans="1:42" s="18" customFormat="1">
      <c r="A133" s="119"/>
      <c r="D133" s="25"/>
      <c r="E133" s="25"/>
      <c r="I133" s="34"/>
      <c r="J133" s="35"/>
      <c r="K133" s="36"/>
      <c r="L133" s="35"/>
      <c r="M133" s="37"/>
      <c r="N133" s="38"/>
      <c r="O133" s="37"/>
      <c r="Q133" s="26"/>
      <c r="R133" s="27"/>
      <c r="V133" s="22"/>
      <c r="W133" s="20"/>
      <c r="X133" s="24"/>
      <c r="Y133" s="25"/>
      <c r="Z133" s="25"/>
      <c r="AA133" s="25"/>
      <c r="AE133" s="38"/>
    </row>
    <row r="134" spans="1:42" s="18" customFormat="1">
      <c r="A134" s="119"/>
      <c r="D134" s="25"/>
      <c r="E134" s="25"/>
      <c r="I134" s="34"/>
      <c r="J134" s="35"/>
      <c r="K134" s="36"/>
      <c r="L134" s="35"/>
      <c r="M134" s="37"/>
      <c r="N134" s="38"/>
      <c r="O134" s="37"/>
      <c r="Q134" s="26"/>
      <c r="R134" s="27"/>
      <c r="V134" s="22"/>
      <c r="W134" s="20"/>
      <c r="X134" s="24"/>
      <c r="Y134" s="25"/>
      <c r="Z134" s="25"/>
      <c r="AA134" s="25"/>
      <c r="AE134" s="38"/>
    </row>
    <row r="135" spans="1:42" s="18" customFormat="1">
      <c r="A135" s="119"/>
      <c r="D135" s="25"/>
      <c r="E135" s="25"/>
      <c r="I135" s="34"/>
      <c r="J135" s="35"/>
      <c r="K135" s="36"/>
      <c r="L135" s="35"/>
      <c r="M135" s="37"/>
      <c r="N135" s="38"/>
      <c r="O135" s="37"/>
      <c r="Q135" s="26"/>
      <c r="R135" s="27"/>
      <c r="V135" s="22"/>
      <c r="W135" s="20"/>
      <c r="X135" s="24"/>
      <c r="Y135" s="25"/>
      <c r="Z135" s="25"/>
      <c r="AA135" s="25"/>
      <c r="AE135" s="38"/>
    </row>
    <row r="136" spans="1:42" s="18" customFormat="1">
      <c r="A136" s="119"/>
      <c r="E136" s="25"/>
      <c r="I136" s="34"/>
      <c r="J136" s="35"/>
      <c r="K136" s="36"/>
      <c r="L136" s="35"/>
      <c r="M136" s="37"/>
      <c r="N136" s="38"/>
      <c r="O136" s="37"/>
      <c r="Q136" s="26"/>
      <c r="R136" s="27"/>
      <c r="V136" s="22"/>
      <c r="W136" s="20"/>
      <c r="X136" s="24"/>
      <c r="Y136" s="25"/>
      <c r="Z136" s="25"/>
      <c r="AA136" s="25"/>
      <c r="AE136" s="38"/>
    </row>
    <row r="137" spans="1:42" s="18" customFormat="1">
      <c r="A137" s="119"/>
      <c r="D137" s="25"/>
      <c r="E137" s="25"/>
      <c r="I137" s="34"/>
      <c r="J137" s="35"/>
      <c r="K137" s="36"/>
      <c r="L137" s="35"/>
      <c r="M137" s="37"/>
      <c r="N137" s="38"/>
      <c r="O137" s="37"/>
      <c r="Q137" s="26"/>
      <c r="R137" s="27"/>
      <c r="V137" s="22"/>
      <c r="W137" s="20"/>
      <c r="X137" s="24"/>
      <c r="Y137" s="25"/>
      <c r="Z137" s="25"/>
      <c r="AA137" s="25"/>
      <c r="AB137" s="25"/>
      <c r="AC137" s="25"/>
      <c r="AD137" s="25"/>
      <c r="AE137" s="38"/>
    </row>
    <row r="138" spans="1:42" s="18" customFormat="1">
      <c r="A138" s="119"/>
      <c r="D138" s="25"/>
      <c r="E138" s="25"/>
      <c r="I138" s="34"/>
      <c r="J138" s="35"/>
      <c r="K138" s="36"/>
      <c r="L138" s="35"/>
      <c r="M138" s="37"/>
      <c r="N138" s="38"/>
      <c r="O138" s="37"/>
      <c r="Q138" s="26"/>
      <c r="R138" s="27"/>
      <c r="V138" s="22"/>
      <c r="W138" s="20"/>
      <c r="X138" s="24"/>
      <c r="Y138" s="25"/>
      <c r="Z138" s="25"/>
      <c r="AA138" s="25"/>
      <c r="AB138" s="25"/>
      <c r="AC138" s="25"/>
      <c r="AD138" s="25"/>
      <c r="AE138" s="38"/>
    </row>
    <row r="139" spans="1:42" s="18" customFormat="1">
      <c r="A139" s="119"/>
      <c r="D139" s="25"/>
      <c r="E139" s="25"/>
      <c r="I139" s="34"/>
      <c r="J139" s="35"/>
      <c r="K139" s="36"/>
      <c r="L139" s="35"/>
      <c r="M139" s="37"/>
      <c r="N139" s="38"/>
      <c r="O139" s="37"/>
      <c r="Q139" s="26"/>
      <c r="R139" s="27"/>
      <c r="V139" s="22"/>
      <c r="W139" s="20"/>
      <c r="X139" s="24"/>
      <c r="Y139" s="25"/>
      <c r="Z139" s="25"/>
      <c r="AA139" s="25"/>
      <c r="AE139" s="38"/>
    </row>
    <row r="140" spans="1:42" s="18" customFormat="1">
      <c r="A140" s="119"/>
      <c r="D140" s="25"/>
      <c r="E140" s="25"/>
      <c r="I140" s="34"/>
      <c r="J140" s="35"/>
      <c r="K140" s="36"/>
      <c r="L140" s="35"/>
      <c r="M140" s="37"/>
      <c r="N140" s="38"/>
      <c r="O140" s="37"/>
      <c r="Q140" s="26"/>
      <c r="R140" s="27"/>
      <c r="V140" s="22"/>
      <c r="W140" s="20"/>
      <c r="X140" s="24"/>
      <c r="Y140" s="25"/>
      <c r="Z140" s="25"/>
      <c r="AA140" s="25"/>
      <c r="AE140" s="38"/>
    </row>
    <row r="141" spans="1:42" s="18" customFormat="1">
      <c r="A141" s="119"/>
      <c r="D141" s="25"/>
      <c r="E141" s="25"/>
      <c r="I141" s="34"/>
      <c r="J141" s="35"/>
      <c r="K141" s="36"/>
      <c r="L141" s="35"/>
      <c r="M141" s="37"/>
      <c r="N141" s="38"/>
      <c r="O141" s="37"/>
      <c r="Q141" s="26"/>
      <c r="R141" s="27"/>
      <c r="V141" s="22"/>
      <c r="W141" s="20"/>
      <c r="X141" s="24"/>
      <c r="Y141" s="25"/>
      <c r="Z141" s="25"/>
      <c r="AA141" s="25"/>
      <c r="AE141" s="38"/>
    </row>
    <row r="142" spans="1:42" s="140" customFormat="1">
      <c r="A142" s="119"/>
      <c r="B142" s="18"/>
      <c r="C142" s="18"/>
      <c r="D142" s="25"/>
      <c r="E142" s="25"/>
      <c r="F142" s="18"/>
      <c r="G142" s="18"/>
      <c r="H142" s="18"/>
      <c r="I142" s="34"/>
      <c r="J142" s="35"/>
      <c r="K142" s="36"/>
      <c r="L142" s="35"/>
      <c r="M142" s="37"/>
      <c r="N142" s="38"/>
      <c r="O142" s="37"/>
      <c r="P142" s="18"/>
      <c r="Q142" s="26"/>
      <c r="R142" s="27"/>
      <c r="S142" s="18"/>
      <c r="T142" s="18"/>
      <c r="U142" s="18"/>
      <c r="V142" s="22"/>
      <c r="W142" s="20"/>
      <c r="X142" s="24"/>
      <c r="Y142" s="25"/>
      <c r="Z142" s="25"/>
      <c r="AA142" s="25"/>
      <c r="AB142" s="18"/>
      <c r="AC142" s="18"/>
      <c r="AD142" s="18"/>
      <c r="AE142" s="3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</row>
    <row r="143" spans="1:42" s="18" customFormat="1">
      <c r="A143" s="119"/>
      <c r="D143" s="25"/>
      <c r="E143" s="25"/>
      <c r="I143" s="34"/>
      <c r="J143" s="35"/>
      <c r="K143" s="36"/>
      <c r="L143" s="35"/>
      <c r="M143" s="37"/>
      <c r="N143" s="38"/>
      <c r="O143" s="37"/>
      <c r="Q143" s="26"/>
      <c r="R143" s="27"/>
      <c r="V143" s="22"/>
      <c r="W143" s="20"/>
      <c r="X143" s="24"/>
      <c r="Y143" s="25"/>
      <c r="Z143" s="25"/>
      <c r="AA143" s="25"/>
      <c r="AE143" s="38"/>
    </row>
    <row r="144" spans="1:42" s="140" customFormat="1">
      <c r="A144" s="119"/>
      <c r="B144" s="18"/>
      <c r="C144" s="18"/>
      <c r="D144" s="25"/>
      <c r="E144" s="25"/>
      <c r="F144" s="18"/>
      <c r="G144" s="18"/>
      <c r="H144" s="18"/>
      <c r="I144" s="34"/>
      <c r="J144" s="35"/>
      <c r="K144" s="36"/>
      <c r="L144" s="35"/>
      <c r="M144" s="37"/>
      <c r="N144" s="38"/>
      <c r="O144" s="37"/>
      <c r="P144" s="18"/>
      <c r="Q144" s="26"/>
      <c r="R144" s="27"/>
      <c r="S144" s="18"/>
      <c r="T144" s="18"/>
      <c r="U144" s="18"/>
      <c r="V144" s="22"/>
      <c r="W144" s="20"/>
      <c r="X144" s="24"/>
      <c r="Y144" s="25"/>
      <c r="Z144" s="25"/>
      <c r="AA144" s="25"/>
      <c r="AB144" s="18"/>
      <c r="AC144" s="18"/>
      <c r="AD144" s="18"/>
      <c r="AE144" s="3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</row>
    <row r="145" spans="1:42" s="140" customFormat="1">
      <c r="A145" s="119"/>
      <c r="B145" s="18"/>
      <c r="C145" s="18"/>
      <c r="D145" s="25"/>
      <c r="E145" s="25"/>
      <c r="F145" s="18"/>
      <c r="G145" s="18"/>
      <c r="H145" s="18"/>
      <c r="I145" s="34"/>
      <c r="J145" s="35"/>
      <c r="K145" s="36"/>
      <c r="L145" s="35"/>
      <c r="M145" s="37"/>
      <c r="N145" s="38"/>
      <c r="O145" s="37"/>
      <c r="P145" s="18"/>
      <c r="Q145" s="26"/>
      <c r="R145" s="27"/>
      <c r="S145" s="18"/>
      <c r="T145" s="18"/>
      <c r="U145" s="18"/>
      <c r="V145" s="22"/>
      <c r="W145" s="20"/>
      <c r="X145" s="24"/>
      <c r="Y145" s="25"/>
      <c r="Z145" s="25"/>
      <c r="AA145" s="25"/>
      <c r="AB145" s="18"/>
      <c r="AC145" s="18"/>
      <c r="AD145" s="18"/>
      <c r="AE145" s="3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</row>
    <row r="146" spans="1:42" s="140" customFormat="1">
      <c r="A146" s="119"/>
      <c r="B146" s="18"/>
      <c r="C146" s="18"/>
      <c r="D146" s="25"/>
      <c r="E146" s="25"/>
      <c r="F146" s="18"/>
      <c r="G146" s="18"/>
      <c r="H146" s="18"/>
      <c r="I146" s="34"/>
      <c r="J146" s="35"/>
      <c r="K146" s="36"/>
      <c r="L146" s="35"/>
      <c r="M146" s="37"/>
      <c r="N146" s="38"/>
      <c r="O146" s="37"/>
      <c r="P146" s="18"/>
      <c r="Q146" s="26"/>
      <c r="R146" s="27"/>
      <c r="S146" s="18"/>
      <c r="T146" s="18"/>
      <c r="U146" s="18"/>
      <c r="V146" s="22"/>
      <c r="W146" s="20"/>
      <c r="X146" s="24"/>
      <c r="Y146" s="25"/>
      <c r="Z146" s="25"/>
      <c r="AA146" s="25"/>
      <c r="AB146" s="25"/>
      <c r="AC146" s="25"/>
      <c r="AD146" s="25"/>
      <c r="AE146" s="3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</row>
    <row r="147" spans="1:42" s="140" customFormat="1">
      <c r="A147" s="119"/>
      <c r="B147" s="18"/>
      <c r="C147" s="18"/>
      <c r="D147" s="25"/>
      <c r="E147" s="25"/>
      <c r="F147" s="18"/>
      <c r="G147" s="18"/>
      <c r="H147" s="18"/>
      <c r="I147" s="34"/>
      <c r="J147" s="35"/>
      <c r="K147" s="36"/>
      <c r="L147" s="35"/>
      <c r="M147" s="37"/>
      <c r="N147" s="38"/>
      <c r="O147" s="37"/>
      <c r="P147" s="18"/>
      <c r="Q147" s="26"/>
      <c r="R147" s="27"/>
      <c r="S147" s="18"/>
      <c r="T147" s="18"/>
      <c r="U147" s="18"/>
      <c r="V147" s="22"/>
      <c r="W147" s="20"/>
      <c r="X147" s="24"/>
      <c r="Y147" s="25"/>
      <c r="Z147" s="25"/>
      <c r="AA147" s="25"/>
      <c r="AB147" s="25"/>
      <c r="AC147" s="25"/>
      <c r="AD147" s="25"/>
      <c r="AE147" s="3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</row>
    <row r="148" spans="1:42" s="140" customFormat="1">
      <c r="A148" s="119"/>
      <c r="B148" s="18"/>
      <c r="C148" s="18"/>
      <c r="D148" s="25"/>
      <c r="E148" s="25"/>
      <c r="F148" s="18"/>
      <c r="G148" s="18"/>
      <c r="H148" s="18"/>
      <c r="I148" s="34"/>
      <c r="J148" s="35"/>
      <c r="K148" s="36"/>
      <c r="L148" s="35"/>
      <c r="M148" s="37"/>
      <c r="N148" s="38"/>
      <c r="O148" s="37"/>
      <c r="P148" s="18"/>
      <c r="Q148" s="26"/>
      <c r="R148" s="27"/>
      <c r="S148" s="18"/>
      <c r="T148" s="18"/>
      <c r="U148" s="18"/>
      <c r="V148" s="22"/>
      <c r="W148" s="20"/>
      <c r="X148" s="24"/>
      <c r="Y148" s="25"/>
      <c r="Z148" s="25"/>
      <c r="AA148" s="25"/>
      <c r="AB148" s="25"/>
      <c r="AC148" s="25"/>
      <c r="AD148" s="25"/>
      <c r="AE148" s="3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</row>
    <row r="149" spans="1:42" s="18" customFormat="1">
      <c r="A149" s="139"/>
      <c r="B149" s="140"/>
      <c r="C149" s="140"/>
      <c r="D149" s="141"/>
      <c r="E149" s="141"/>
      <c r="F149" s="140"/>
      <c r="G149" s="140"/>
      <c r="H149" s="140"/>
      <c r="I149" s="142"/>
      <c r="J149" s="143"/>
      <c r="K149" s="144"/>
      <c r="L149" s="143"/>
      <c r="M149" s="145"/>
      <c r="N149" s="146"/>
      <c r="O149" s="145"/>
      <c r="P149" s="140"/>
      <c r="Q149" s="147"/>
      <c r="R149" s="148"/>
      <c r="S149" s="140"/>
      <c r="T149" s="140"/>
      <c r="U149" s="140"/>
      <c r="V149" s="149"/>
      <c r="W149" s="141"/>
      <c r="X149" s="150"/>
      <c r="Y149" s="141"/>
      <c r="Z149" s="141"/>
      <c r="AA149" s="141"/>
      <c r="AB149" s="141"/>
      <c r="AC149" s="141"/>
      <c r="AD149" s="141"/>
      <c r="AE149" s="146"/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</row>
    <row r="150" spans="1:42" s="18" customFormat="1">
      <c r="A150" s="119"/>
      <c r="D150" s="25"/>
      <c r="E150" s="25"/>
      <c r="I150" s="34"/>
      <c r="J150" s="35"/>
      <c r="K150" s="36"/>
      <c r="L150" s="35"/>
      <c r="M150" s="37"/>
      <c r="N150" s="38"/>
      <c r="O150" s="37"/>
      <c r="Q150" s="26"/>
      <c r="R150" s="27"/>
      <c r="V150" s="22"/>
      <c r="W150" s="20"/>
      <c r="X150" s="24"/>
      <c r="Y150" s="25"/>
      <c r="Z150" s="25"/>
      <c r="AA150" s="25"/>
      <c r="AB150" s="25"/>
      <c r="AC150" s="25"/>
      <c r="AD150" s="25"/>
      <c r="AE150" s="38"/>
    </row>
    <row r="151" spans="1:42" s="18" customFormat="1">
      <c r="A151" s="119"/>
      <c r="D151" s="25"/>
      <c r="E151" s="25"/>
      <c r="I151" s="34"/>
      <c r="J151" s="35"/>
      <c r="K151" s="36"/>
      <c r="L151" s="35"/>
      <c r="M151" s="37"/>
      <c r="N151" s="38"/>
      <c r="O151" s="37"/>
      <c r="Q151" s="26"/>
      <c r="R151" s="27"/>
      <c r="V151" s="22"/>
      <c r="W151" s="20"/>
      <c r="X151" s="24"/>
      <c r="Y151" s="25"/>
      <c r="Z151" s="25"/>
      <c r="AA151" s="25"/>
      <c r="AB151" s="25"/>
      <c r="AC151" s="25"/>
      <c r="AD151" s="25"/>
      <c r="AE151" s="38"/>
    </row>
    <row r="152" spans="1:42" s="18" customFormat="1">
      <c r="A152" s="119"/>
      <c r="D152" s="25"/>
      <c r="E152" s="25"/>
      <c r="I152" s="34"/>
      <c r="J152" s="35"/>
      <c r="K152" s="36"/>
      <c r="L152" s="35"/>
      <c r="M152" s="37"/>
      <c r="N152" s="38"/>
      <c r="O152" s="37"/>
      <c r="Q152" s="26"/>
      <c r="R152" s="27"/>
      <c r="V152" s="22"/>
      <c r="W152" s="20"/>
      <c r="X152" s="24"/>
      <c r="Y152" s="25"/>
      <c r="Z152" s="25"/>
      <c r="AA152" s="25"/>
      <c r="AB152" s="25"/>
      <c r="AC152" s="25"/>
      <c r="AD152" s="25"/>
      <c r="AE152" s="38"/>
    </row>
    <row r="153" spans="1:42" s="18" customFormat="1">
      <c r="A153" s="119"/>
      <c r="D153" s="25"/>
      <c r="E153" s="25"/>
      <c r="I153" s="34"/>
      <c r="J153" s="35"/>
      <c r="K153" s="36"/>
      <c r="L153" s="35"/>
      <c r="M153" s="37"/>
      <c r="N153" s="38"/>
      <c r="O153" s="37"/>
      <c r="Q153" s="26"/>
      <c r="R153" s="27"/>
      <c r="V153" s="22"/>
      <c r="W153" s="20"/>
      <c r="X153" s="24"/>
      <c r="Y153" s="25"/>
      <c r="Z153" s="25"/>
      <c r="AA153" s="25"/>
      <c r="AB153" s="25"/>
      <c r="AC153" s="25"/>
      <c r="AD153" s="25"/>
      <c r="AE153" s="38"/>
    </row>
    <row r="154" spans="1:42" s="18" customFormat="1">
      <c r="A154" s="119"/>
      <c r="D154" s="25"/>
      <c r="E154" s="25"/>
      <c r="I154" s="34"/>
      <c r="J154" s="35"/>
      <c r="K154" s="36"/>
      <c r="L154" s="35"/>
      <c r="M154" s="37"/>
      <c r="N154" s="38"/>
      <c r="O154" s="37"/>
      <c r="Q154" s="26"/>
      <c r="R154" s="27"/>
      <c r="V154" s="22"/>
      <c r="W154" s="20"/>
      <c r="X154" s="24"/>
      <c r="Y154" s="25"/>
      <c r="Z154" s="25"/>
      <c r="AA154" s="25"/>
      <c r="AB154" s="25"/>
      <c r="AC154" s="25"/>
      <c r="AD154" s="25"/>
      <c r="AE154" s="38"/>
    </row>
    <row r="155" spans="1:42" s="18" customFormat="1">
      <c r="A155" s="119"/>
      <c r="D155" s="25"/>
      <c r="E155" s="25"/>
      <c r="I155" s="34"/>
      <c r="J155" s="35"/>
      <c r="K155" s="36"/>
      <c r="L155" s="35"/>
      <c r="M155" s="37"/>
      <c r="N155" s="38"/>
      <c r="O155" s="37"/>
      <c r="Q155" s="26"/>
      <c r="R155" s="27"/>
      <c r="V155" s="22"/>
      <c r="W155" s="20"/>
      <c r="X155" s="24"/>
      <c r="Y155" s="25"/>
      <c r="Z155" s="25"/>
      <c r="AA155" s="25"/>
      <c r="AB155" s="25"/>
      <c r="AC155" s="25"/>
      <c r="AD155" s="25"/>
      <c r="AE155" s="38"/>
    </row>
    <row r="156" spans="1:42" s="18" customFormat="1">
      <c r="A156" s="119"/>
      <c r="D156" s="25"/>
      <c r="E156" s="25"/>
      <c r="I156" s="34"/>
      <c r="J156" s="35"/>
      <c r="K156" s="36"/>
      <c r="L156" s="35"/>
      <c r="M156" s="37"/>
      <c r="N156" s="38"/>
      <c r="O156" s="37"/>
      <c r="Q156" s="26"/>
      <c r="R156" s="27"/>
      <c r="V156" s="22"/>
      <c r="W156" s="20"/>
      <c r="X156" s="24"/>
      <c r="Y156" s="25"/>
      <c r="Z156" s="25"/>
      <c r="AA156" s="25"/>
      <c r="AB156" s="25"/>
      <c r="AC156" s="25"/>
      <c r="AD156" s="25"/>
      <c r="AE156" s="38"/>
    </row>
    <row r="157" spans="1:42" s="140" customFormat="1">
      <c r="A157" s="119"/>
      <c r="B157" s="18"/>
      <c r="C157" s="18"/>
      <c r="D157" s="25"/>
      <c r="E157" s="25"/>
      <c r="F157" s="18"/>
      <c r="G157" s="18"/>
      <c r="H157" s="18"/>
      <c r="I157" s="34"/>
      <c r="J157" s="35"/>
      <c r="K157" s="36"/>
      <c r="L157" s="35"/>
      <c r="M157" s="37"/>
      <c r="N157" s="38"/>
      <c r="O157" s="37"/>
      <c r="P157" s="18"/>
      <c r="Q157" s="26"/>
      <c r="R157" s="27"/>
      <c r="S157" s="18"/>
      <c r="T157" s="18"/>
      <c r="U157" s="18"/>
      <c r="V157" s="22"/>
      <c r="W157" s="20"/>
      <c r="X157" s="24"/>
      <c r="Y157" s="25"/>
      <c r="Z157" s="25"/>
      <c r="AA157" s="25"/>
      <c r="AB157" s="25"/>
      <c r="AC157" s="25"/>
      <c r="AD157" s="25"/>
      <c r="AE157" s="3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</row>
    <row r="158" spans="1:42" s="140" customFormat="1">
      <c r="A158" s="119"/>
      <c r="B158" s="18"/>
      <c r="C158" s="18"/>
      <c r="D158" s="25"/>
      <c r="E158" s="25"/>
      <c r="F158" s="18"/>
      <c r="G158" s="18"/>
      <c r="H158" s="18"/>
      <c r="I158" s="34"/>
      <c r="J158" s="35"/>
      <c r="K158" s="36"/>
      <c r="L158" s="35"/>
      <c r="M158" s="37"/>
      <c r="N158" s="38"/>
      <c r="O158" s="37"/>
      <c r="P158" s="18"/>
      <c r="Q158" s="26"/>
      <c r="R158" s="27"/>
      <c r="S158" s="18"/>
      <c r="T158" s="18"/>
      <c r="U158" s="18"/>
      <c r="V158" s="22"/>
      <c r="W158" s="20"/>
      <c r="X158" s="24"/>
      <c r="Y158" s="25"/>
      <c r="Z158" s="25"/>
      <c r="AA158" s="25"/>
      <c r="AB158" s="25"/>
      <c r="AC158" s="25"/>
      <c r="AD158" s="25"/>
      <c r="AE158" s="3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</row>
    <row r="159" spans="1:42" s="140" customFormat="1">
      <c r="A159" s="119"/>
      <c r="B159" s="18"/>
      <c r="C159" s="18"/>
      <c r="D159" s="25"/>
      <c r="E159" s="25"/>
      <c r="F159" s="18"/>
      <c r="G159" s="18"/>
      <c r="H159" s="18"/>
      <c r="I159" s="34"/>
      <c r="J159" s="35"/>
      <c r="K159" s="36"/>
      <c r="L159" s="35"/>
      <c r="M159" s="37"/>
      <c r="N159" s="38"/>
      <c r="O159" s="37"/>
      <c r="P159" s="18"/>
      <c r="Q159" s="26"/>
      <c r="R159" s="27"/>
      <c r="S159" s="18"/>
      <c r="T159" s="18"/>
      <c r="U159" s="18"/>
      <c r="V159" s="22"/>
      <c r="W159" s="20"/>
      <c r="X159" s="24"/>
      <c r="Y159" s="25"/>
      <c r="Z159" s="25"/>
      <c r="AA159" s="25"/>
      <c r="AB159" s="25"/>
      <c r="AC159" s="25"/>
      <c r="AD159" s="25"/>
      <c r="AE159" s="3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</row>
    <row r="160" spans="1:42" s="140" customFormat="1">
      <c r="A160" s="119"/>
      <c r="B160" s="18"/>
      <c r="C160" s="18"/>
      <c r="D160" s="18"/>
      <c r="E160" s="18"/>
      <c r="F160" s="18"/>
      <c r="G160" s="18"/>
      <c r="H160" s="18"/>
      <c r="I160" s="34"/>
      <c r="J160" s="35"/>
      <c r="K160" s="36"/>
      <c r="L160" s="35"/>
      <c r="M160" s="37"/>
      <c r="N160" s="38"/>
      <c r="O160" s="37"/>
      <c r="P160" s="18"/>
      <c r="Q160" s="26"/>
      <c r="R160" s="27"/>
      <c r="S160" s="18"/>
      <c r="T160" s="18"/>
      <c r="U160" s="18"/>
      <c r="V160" s="22"/>
      <c r="W160" s="20"/>
      <c r="X160" s="24"/>
      <c r="Y160" s="25"/>
      <c r="Z160" s="25"/>
      <c r="AA160" s="25"/>
      <c r="AB160" s="25"/>
      <c r="AC160" s="25"/>
      <c r="AD160" s="25"/>
      <c r="AE160" s="3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</row>
    <row r="161" spans="1:42" s="18" customFormat="1">
      <c r="A161" s="119"/>
      <c r="I161" s="34"/>
      <c r="J161" s="35"/>
      <c r="K161" s="36"/>
      <c r="L161" s="35"/>
      <c r="M161" s="37"/>
      <c r="N161" s="38"/>
      <c r="O161" s="37"/>
      <c r="Q161" s="26"/>
      <c r="R161" s="27"/>
      <c r="V161" s="22"/>
      <c r="W161" s="20"/>
      <c r="X161" s="24"/>
      <c r="Y161" s="25"/>
      <c r="Z161" s="25"/>
      <c r="AA161" s="25"/>
      <c r="AB161" s="25"/>
      <c r="AC161" s="25"/>
      <c r="AD161" s="25"/>
      <c r="AE161" s="38"/>
    </row>
    <row r="162" spans="1:42" s="140" customFormat="1">
      <c r="A162" s="119"/>
      <c r="B162" s="18"/>
      <c r="C162" s="18"/>
      <c r="D162" s="18"/>
      <c r="E162" s="18"/>
      <c r="F162" s="18"/>
      <c r="G162" s="18"/>
      <c r="H162" s="18"/>
      <c r="I162" s="34"/>
      <c r="J162" s="35"/>
      <c r="K162" s="36"/>
      <c r="L162" s="35"/>
      <c r="M162" s="37"/>
      <c r="N162" s="38"/>
      <c r="O162" s="37"/>
      <c r="P162" s="18"/>
      <c r="Q162" s="26"/>
      <c r="R162" s="27"/>
      <c r="S162" s="18"/>
      <c r="T162" s="18"/>
      <c r="U162" s="18"/>
      <c r="V162" s="22"/>
      <c r="W162" s="20"/>
      <c r="X162" s="24"/>
      <c r="Y162" s="25"/>
      <c r="Z162" s="25"/>
      <c r="AA162" s="25"/>
      <c r="AB162" s="25"/>
      <c r="AC162" s="25"/>
      <c r="AD162" s="25"/>
      <c r="AE162" s="3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</row>
    <row r="163" spans="1:42" s="18" customFormat="1">
      <c r="A163" s="119"/>
      <c r="I163" s="34"/>
      <c r="J163" s="35"/>
      <c r="K163" s="36"/>
      <c r="L163" s="35"/>
      <c r="M163" s="37"/>
      <c r="N163" s="38"/>
      <c r="O163" s="37"/>
      <c r="Q163" s="26"/>
      <c r="R163" s="27"/>
      <c r="V163" s="22"/>
      <c r="W163" s="20"/>
      <c r="X163" s="24"/>
      <c r="Y163" s="25"/>
      <c r="Z163" s="25"/>
      <c r="AA163" s="25"/>
      <c r="AB163" s="25"/>
      <c r="AC163" s="25"/>
      <c r="AD163" s="25"/>
      <c r="AE163" s="38"/>
    </row>
    <row r="164" spans="1:42" s="18" customFormat="1">
      <c r="A164" s="119"/>
      <c r="I164" s="34"/>
      <c r="J164" s="35"/>
      <c r="K164" s="36"/>
      <c r="L164" s="35"/>
      <c r="M164" s="37"/>
      <c r="N164" s="38"/>
      <c r="O164" s="37"/>
      <c r="Q164" s="26"/>
      <c r="R164" s="27"/>
      <c r="U164" s="25"/>
      <c r="V164" s="22"/>
      <c r="W164" s="20"/>
      <c r="X164" s="24"/>
      <c r="Y164" s="25"/>
      <c r="Z164" s="25"/>
      <c r="AA164" s="25"/>
      <c r="AB164" s="25"/>
      <c r="AC164" s="25"/>
      <c r="AE164" s="38"/>
    </row>
    <row r="165" spans="1:42" s="18" customFormat="1">
      <c r="A165" s="119"/>
      <c r="I165" s="34"/>
      <c r="J165" s="35"/>
      <c r="K165" s="36"/>
      <c r="L165" s="35"/>
      <c r="M165" s="37"/>
      <c r="N165" s="38"/>
      <c r="O165" s="37"/>
      <c r="Q165" s="26"/>
      <c r="R165" s="27"/>
      <c r="U165" s="25"/>
      <c r="V165" s="22"/>
      <c r="W165" s="20"/>
      <c r="X165" s="24"/>
      <c r="Y165" s="25"/>
      <c r="Z165" s="25"/>
      <c r="AA165" s="25"/>
      <c r="AB165" s="25"/>
      <c r="AC165" s="25"/>
      <c r="AE165" s="38"/>
    </row>
    <row r="166" spans="1:42" s="140" customFormat="1">
      <c r="A166" s="119"/>
      <c r="B166" s="18"/>
      <c r="C166" s="18"/>
      <c r="D166" s="18"/>
      <c r="E166" s="18"/>
      <c r="F166" s="18"/>
      <c r="G166" s="18"/>
      <c r="H166" s="18"/>
      <c r="I166" s="34"/>
      <c r="J166" s="35"/>
      <c r="K166" s="36"/>
      <c r="L166" s="35"/>
      <c r="M166" s="37"/>
      <c r="N166" s="38"/>
      <c r="O166" s="37"/>
      <c r="P166" s="18"/>
      <c r="Q166" s="26"/>
      <c r="R166" s="27"/>
      <c r="S166" s="18"/>
      <c r="T166" s="18"/>
      <c r="U166" s="25"/>
      <c r="V166" s="22"/>
      <c r="W166" s="20"/>
      <c r="X166" s="24"/>
      <c r="Y166" s="25"/>
      <c r="Z166" s="25"/>
      <c r="AA166" s="25"/>
      <c r="AB166" s="25"/>
      <c r="AC166" s="25"/>
      <c r="AD166" s="18"/>
      <c r="AE166" s="3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</row>
    <row r="167" spans="1:42" s="18" customFormat="1">
      <c r="A167" s="119"/>
      <c r="I167" s="34"/>
      <c r="J167" s="35"/>
      <c r="K167" s="36"/>
      <c r="L167" s="35"/>
      <c r="M167" s="37"/>
      <c r="N167" s="38"/>
      <c r="O167" s="37"/>
      <c r="Q167" s="26"/>
      <c r="R167" s="27"/>
      <c r="U167" s="25"/>
      <c r="V167" s="22"/>
      <c r="W167" s="20"/>
      <c r="X167" s="24"/>
      <c r="Y167" s="25"/>
      <c r="Z167" s="25"/>
      <c r="AA167" s="25"/>
      <c r="AB167" s="25"/>
      <c r="AC167" s="25"/>
      <c r="AE167" s="38"/>
    </row>
    <row r="168" spans="1:42" s="18" customFormat="1">
      <c r="A168" s="119"/>
      <c r="I168" s="34"/>
      <c r="J168" s="35"/>
      <c r="K168" s="36"/>
      <c r="L168" s="35"/>
      <c r="M168" s="37"/>
      <c r="N168" s="38"/>
      <c r="O168" s="37"/>
      <c r="Q168" s="26"/>
      <c r="R168" s="27"/>
      <c r="U168" s="25"/>
      <c r="V168" s="22"/>
      <c r="W168" s="20"/>
      <c r="X168" s="24"/>
      <c r="Y168" s="25"/>
      <c r="Z168" s="25"/>
      <c r="AA168" s="25"/>
      <c r="AB168" s="25"/>
      <c r="AC168" s="25"/>
      <c r="AE168" s="38"/>
    </row>
    <row r="169" spans="1:42" s="18" customFormat="1">
      <c r="A169" s="119"/>
      <c r="I169" s="34"/>
      <c r="J169" s="35"/>
      <c r="K169" s="36"/>
      <c r="L169" s="35"/>
      <c r="M169" s="37"/>
      <c r="N169" s="38"/>
      <c r="O169" s="37"/>
      <c r="Q169" s="26"/>
      <c r="R169" s="27"/>
      <c r="U169" s="25"/>
      <c r="V169" s="22"/>
      <c r="W169" s="20"/>
      <c r="X169" s="24"/>
      <c r="Y169" s="25"/>
      <c r="Z169" s="25"/>
      <c r="AA169" s="25"/>
      <c r="AB169" s="25"/>
      <c r="AC169" s="25"/>
      <c r="AE169" s="38"/>
    </row>
    <row r="170" spans="1:42" s="18" customFormat="1">
      <c r="A170" s="119"/>
      <c r="I170" s="34"/>
      <c r="J170" s="35"/>
      <c r="K170" s="36"/>
      <c r="L170" s="35"/>
      <c r="M170" s="37"/>
      <c r="N170" s="38"/>
      <c r="O170" s="37"/>
      <c r="Q170" s="26"/>
      <c r="R170" s="27"/>
      <c r="V170" s="22"/>
      <c r="W170" s="20"/>
      <c r="X170" s="24"/>
      <c r="Y170" s="25"/>
      <c r="Z170" s="25"/>
      <c r="AA170" s="25"/>
      <c r="AB170" s="25"/>
      <c r="AC170" s="25"/>
      <c r="AE170" s="38"/>
    </row>
    <row r="171" spans="1:42" s="18" customFormat="1">
      <c r="A171" s="119"/>
      <c r="I171" s="34"/>
      <c r="J171" s="35"/>
      <c r="K171" s="36"/>
      <c r="L171" s="35"/>
      <c r="M171" s="37"/>
      <c r="N171" s="38"/>
      <c r="O171" s="37"/>
      <c r="Q171" s="26"/>
      <c r="R171" s="27"/>
      <c r="V171" s="22"/>
      <c r="W171" s="20"/>
      <c r="X171" s="24"/>
      <c r="Y171" s="25"/>
      <c r="Z171" s="25"/>
      <c r="AA171" s="25"/>
      <c r="AB171" s="25"/>
      <c r="AC171" s="25"/>
      <c r="AE171" s="38"/>
    </row>
    <row r="172" spans="1:42" s="18" customFormat="1">
      <c r="A172" s="119"/>
      <c r="H172" s="28"/>
      <c r="I172" s="34"/>
      <c r="J172" s="35"/>
      <c r="K172" s="36"/>
      <c r="L172" s="35"/>
      <c r="M172" s="37"/>
      <c r="N172" s="38"/>
      <c r="O172" s="37"/>
      <c r="Q172" s="26"/>
      <c r="R172" s="27"/>
      <c r="V172" s="22"/>
      <c r="W172" s="20"/>
      <c r="X172" s="24"/>
      <c r="Y172" s="25"/>
      <c r="Z172" s="25"/>
      <c r="AA172" s="25"/>
      <c r="AE172" s="38"/>
    </row>
    <row r="173" spans="1:42" s="18" customFormat="1">
      <c r="A173" s="119"/>
      <c r="H173" s="28"/>
      <c r="I173" s="34"/>
      <c r="J173" s="35"/>
      <c r="K173" s="36"/>
      <c r="L173" s="35"/>
      <c r="M173" s="37"/>
      <c r="N173" s="38"/>
      <c r="O173" s="37"/>
      <c r="Q173" s="26"/>
      <c r="R173" s="27"/>
      <c r="V173" s="22"/>
      <c r="W173" s="20"/>
      <c r="X173" s="24"/>
      <c r="Y173" s="25"/>
      <c r="Z173" s="25"/>
      <c r="AA173" s="25"/>
      <c r="AE173" s="38"/>
    </row>
    <row r="174" spans="1:42" s="18" customFormat="1">
      <c r="A174" s="119"/>
      <c r="H174" s="28"/>
      <c r="I174" s="34"/>
      <c r="J174" s="35"/>
      <c r="K174" s="36"/>
      <c r="L174" s="35"/>
      <c r="M174" s="37"/>
      <c r="N174" s="38"/>
      <c r="O174" s="37"/>
      <c r="Q174" s="26"/>
      <c r="R174" s="27"/>
      <c r="V174" s="22"/>
      <c r="W174" s="20"/>
      <c r="X174" s="24"/>
      <c r="Y174" s="25"/>
      <c r="Z174" s="25"/>
      <c r="AA174" s="25"/>
      <c r="AE174" s="38"/>
    </row>
    <row r="175" spans="1:42" s="18" customFormat="1">
      <c r="A175" s="119"/>
      <c r="H175" s="28"/>
      <c r="I175" s="34"/>
      <c r="J175" s="35"/>
      <c r="K175" s="36"/>
      <c r="L175" s="35"/>
      <c r="M175" s="37"/>
      <c r="N175" s="38"/>
      <c r="O175" s="37"/>
      <c r="Q175" s="26"/>
      <c r="R175" s="27"/>
      <c r="V175" s="22"/>
      <c r="W175" s="20"/>
      <c r="X175" s="24"/>
      <c r="Y175" s="25"/>
      <c r="Z175" s="25"/>
      <c r="AA175" s="25"/>
      <c r="AE175" s="38"/>
    </row>
    <row r="176" spans="1:42" s="18" customFormat="1">
      <c r="A176" s="119"/>
      <c r="H176" s="28"/>
      <c r="I176" s="34"/>
      <c r="J176" s="35"/>
      <c r="K176" s="36"/>
      <c r="L176" s="35"/>
      <c r="M176" s="37"/>
      <c r="N176" s="38"/>
      <c r="O176" s="37"/>
      <c r="Q176" s="26"/>
      <c r="R176" s="27"/>
      <c r="V176" s="22"/>
      <c r="W176" s="20"/>
      <c r="X176" s="24"/>
      <c r="Y176" s="25"/>
      <c r="Z176" s="25"/>
      <c r="AA176" s="25"/>
      <c r="AE176" s="38"/>
    </row>
    <row r="177" spans="1:42" s="18" customFormat="1">
      <c r="A177" s="119"/>
      <c r="H177" s="28"/>
      <c r="I177" s="34"/>
      <c r="J177" s="35"/>
      <c r="K177" s="36"/>
      <c r="L177" s="35"/>
      <c r="M177" s="37"/>
      <c r="N177" s="38"/>
      <c r="O177" s="37"/>
      <c r="Q177" s="26"/>
      <c r="R177" s="27"/>
      <c r="V177" s="22"/>
      <c r="W177" s="20"/>
      <c r="X177" s="24"/>
      <c r="Y177" s="25"/>
      <c r="Z177" s="25"/>
      <c r="AA177" s="25"/>
      <c r="AE177" s="38"/>
    </row>
    <row r="178" spans="1:42" s="18" customFormat="1">
      <c r="A178" s="119"/>
      <c r="H178" s="28"/>
      <c r="I178" s="34"/>
      <c r="J178" s="35"/>
      <c r="K178" s="36"/>
      <c r="L178" s="35"/>
      <c r="M178" s="37"/>
      <c r="N178" s="38"/>
      <c r="O178" s="37"/>
      <c r="Q178" s="26"/>
      <c r="R178" s="27"/>
      <c r="V178" s="22"/>
      <c r="W178" s="20"/>
      <c r="X178" s="24"/>
      <c r="Y178" s="25"/>
      <c r="Z178" s="25"/>
      <c r="AA178" s="25"/>
      <c r="AE178" s="38"/>
    </row>
    <row r="179" spans="1:42" s="140" customFormat="1">
      <c r="A179" s="119"/>
      <c r="B179" s="18"/>
      <c r="C179" s="18"/>
      <c r="D179" s="18"/>
      <c r="E179" s="18"/>
      <c r="F179" s="18"/>
      <c r="G179" s="18"/>
      <c r="H179" s="28"/>
      <c r="I179" s="34"/>
      <c r="J179" s="35"/>
      <c r="K179" s="36"/>
      <c r="L179" s="35"/>
      <c r="M179" s="37"/>
      <c r="N179" s="38"/>
      <c r="O179" s="37"/>
      <c r="P179" s="18"/>
      <c r="Q179" s="26"/>
      <c r="R179" s="27"/>
      <c r="S179" s="18"/>
      <c r="T179" s="18"/>
      <c r="U179" s="18"/>
      <c r="V179" s="22"/>
      <c r="W179" s="20"/>
      <c r="X179" s="24"/>
      <c r="Y179" s="25"/>
      <c r="Z179" s="25"/>
      <c r="AA179" s="25"/>
      <c r="AB179" s="18"/>
      <c r="AC179" s="18"/>
      <c r="AD179" s="18"/>
      <c r="AE179" s="3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</row>
    <row r="180" spans="1:42" s="18" customFormat="1">
      <c r="A180" s="119"/>
      <c r="H180" s="28"/>
      <c r="I180" s="34"/>
      <c r="J180" s="35"/>
      <c r="K180" s="36"/>
      <c r="L180" s="35"/>
      <c r="M180" s="37"/>
      <c r="N180" s="38"/>
      <c r="O180" s="37"/>
      <c r="Q180" s="26"/>
      <c r="R180" s="27"/>
      <c r="V180" s="22"/>
      <c r="W180" s="20"/>
      <c r="X180" s="24"/>
      <c r="Y180" s="25"/>
      <c r="Z180" s="25"/>
      <c r="AA180" s="25"/>
      <c r="AE180" s="38"/>
    </row>
    <row r="181" spans="1:42" s="18" customFormat="1">
      <c r="A181" s="119"/>
      <c r="I181" s="34"/>
      <c r="J181" s="35"/>
      <c r="K181" s="36"/>
      <c r="L181" s="35"/>
      <c r="M181" s="37"/>
      <c r="N181" s="38"/>
      <c r="O181" s="37"/>
      <c r="Q181" s="26"/>
      <c r="R181" s="27"/>
      <c r="V181" s="22"/>
      <c r="W181" s="20"/>
      <c r="X181" s="24"/>
      <c r="Y181" s="25"/>
      <c r="Z181" s="25"/>
      <c r="AA181" s="25"/>
      <c r="AE181" s="38"/>
    </row>
    <row r="182" spans="1:42" s="18" customFormat="1">
      <c r="A182" s="119"/>
      <c r="I182" s="34"/>
      <c r="J182" s="35"/>
      <c r="K182" s="36"/>
      <c r="L182" s="35"/>
      <c r="M182" s="37"/>
      <c r="N182" s="38"/>
      <c r="O182" s="37"/>
      <c r="Q182" s="26"/>
      <c r="R182" s="27"/>
      <c r="V182" s="22"/>
      <c r="W182" s="20"/>
      <c r="X182" s="24"/>
      <c r="Y182" s="25"/>
      <c r="Z182" s="25"/>
      <c r="AA182" s="25"/>
      <c r="AE182" s="38"/>
    </row>
    <row r="183" spans="1:42" s="18" customFormat="1">
      <c r="A183" s="119"/>
      <c r="I183" s="34"/>
      <c r="J183" s="35"/>
      <c r="K183" s="36"/>
      <c r="L183" s="35"/>
      <c r="M183" s="37"/>
      <c r="N183" s="38"/>
      <c r="O183" s="37"/>
      <c r="Q183" s="26"/>
      <c r="R183" s="27"/>
      <c r="V183" s="22"/>
      <c r="W183" s="20"/>
      <c r="X183" s="24"/>
      <c r="Y183" s="25"/>
      <c r="Z183" s="25"/>
      <c r="AA183" s="25"/>
      <c r="AE183" s="38"/>
    </row>
    <row r="184" spans="1:42" s="18" customFormat="1">
      <c r="A184" s="119"/>
      <c r="I184" s="34"/>
      <c r="J184" s="35"/>
      <c r="K184" s="36"/>
      <c r="L184" s="35"/>
      <c r="M184" s="37"/>
      <c r="N184" s="38"/>
      <c r="O184" s="37"/>
      <c r="Q184" s="26"/>
      <c r="R184" s="27"/>
      <c r="V184" s="22"/>
      <c r="W184" s="20"/>
      <c r="X184" s="24"/>
      <c r="Y184" s="25"/>
      <c r="Z184" s="25"/>
      <c r="AA184" s="25"/>
      <c r="AE184" s="38"/>
    </row>
    <row r="185" spans="1:42" s="18" customFormat="1">
      <c r="A185" s="119"/>
      <c r="I185" s="34"/>
      <c r="J185" s="35"/>
      <c r="K185" s="36"/>
      <c r="L185" s="35"/>
      <c r="M185" s="37"/>
      <c r="N185" s="38"/>
      <c r="O185" s="37"/>
      <c r="Q185" s="26"/>
      <c r="R185" s="27"/>
      <c r="V185" s="22"/>
      <c r="W185" s="20"/>
      <c r="X185" s="24"/>
      <c r="Y185" s="25"/>
      <c r="Z185" s="25"/>
      <c r="AA185" s="25"/>
      <c r="AB185" s="25"/>
      <c r="AC185" s="25"/>
      <c r="AD185" s="25"/>
      <c r="AE185" s="38"/>
    </row>
    <row r="186" spans="1:42" s="18" customFormat="1">
      <c r="A186" s="121"/>
      <c r="I186" s="34"/>
      <c r="J186" s="35"/>
      <c r="K186" s="36"/>
      <c r="L186" s="35"/>
      <c r="M186" s="37"/>
      <c r="N186" s="38"/>
      <c r="O186" s="37"/>
      <c r="Q186" s="26"/>
      <c r="R186" s="27"/>
      <c r="V186" s="22"/>
      <c r="W186" s="20"/>
      <c r="X186" s="24"/>
      <c r="AE186" s="38"/>
    </row>
    <row r="187" spans="1:42" s="18" customFormat="1">
      <c r="A187" s="119"/>
      <c r="D187" s="25"/>
      <c r="I187" s="34"/>
      <c r="J187" s="35"/>
      <c r="K187" s="36"/>
      <c r="L187" s="35"/>
      <c r="M187" s="37"/>
      <c r="N187" s="38"/>
      <c r="O187" s="28"/>
      <c r="Q187" s="26"/>
      <c r="R187" s="27"/>
      <c r="V187" s="22"/>
      <c r="W187" s="20"/>
      <c r="X187" s="24"/>
      <c r="Y187" s="25"/>
      <c r="Z187" s="25"/>
      <c r="AA187" s="25"/>
      <c r="AE187" s="38"/>
    </row>
    <row r="188" spans="1:42" s="18" customFormat="1">
      <c r="A188" s="119"/>
      <c r="D188" s="25"/>
      <c r="E188" s="25"/>
      <c r="I188" s="34"/>
      <c r="J188" s="35"/>
      <c r="K188" s="36"/>
      <c r="L188" s="35"/>
      <c r="M188" s="37"/>
      <c r="N188" s="38"/>
      <c r="O188" s="37"/>
      <c r="Q188" s="26"/>
      <c r="R188" s="27"/>
      <c r="V188" s="22"/>
      <c r="W188" s="20"/>
      <c r="X188" s="24"/>
      <c r="Y188" s="25"/>
      <c r="Z188" s="25"/>
      <c r="AA188" s="25"/>
      <c r="AB188" s="25"/>
      <c r="AC188" s="25"/>
      <c r="AD188" s="25"/>
      <c r="AE188" s="38"/>
    </row>
    <row r="189" spans="1:42" s="18" customFormat="1">
      <c r="A189" s="119"/>
      <c r="D189" s="25"/>
      <c r="E189" s="25"/>
      <c r="I189" s="34"/>
      <c r="J189" s="35"/>
      <c r="K189" s="36"/>
      <c r="L189" s="35"/>
      <c r="M189" s="37"/>
      <c r="N189" s="38"/>
      <c r="O189" s="37"/>
      <c r="Q189" s="26"/>
      <c r="R189" s="27"/>
      <c r="V189" s="22"/>
      <c r="W189" s="20"/>
      <c r="X189" s="24"/>
      <c r="Y189" s="25"/>
      <c r="Z189" s="25"/>
      <c r="AA189" s="25"/>
      <c r="AB189" s="25"/>
      <c r="AC189" s="25"/>
      <c r="AD189" s="25"/>
      <c r="AE189" s="38"/>
    </row>
    <row r="190" spans="1:42" s="18" customFormat="1">
      <c r="A190" s="119"/>
      <c r="D190" s="25"/>
      <c r="E190" s="25"/>
      <c r="I190" s="34"/>
      <c r="J190" s="35"/>
      <c r="K190" s="36"/>
      <c r="L190" s="35"/>
      <c r="M190" s="37"/>
      <c r="N190" s="38"/>
      <c r="O190" s="37"/>
      <c r="Q190" s="26"/>
      <c r="R190" s="27"/>
      <c r="V190" s="22"/>
      <c r="W190" s="20"/>
      <c r="X190" s="24"/>
      <c r="Y190" s="25"/>
      <c r="Z190" s="25"/>
      <c r="AA190" s="25"/>
      <c r="AB190" s="25"/>
      <c r="AC190" s="25"/>
      <c r="AD190" s="25"/>
      <c r="AE190" s="38"/>
    </row>
    <row r="191" spans="1:42" s="18" customFormat="1">
      <c r="A191" s="119"/>
      <c r="H191" s="28"/>
      <c r="I191" s="34"/>
      <c r="J191" s="35"/>
      <c r="K191" s="36"/>
      <c r="L191" s="35"/>
      <c r="M191" s="37"/>
      <c r="N191" s="38"/>
      <c r="O191" s="37"/>
      <c r="Q191" s="26"/>
      <c r="R191" s="27"/>
      <c r="V191" s="22"/>
      <c r="W191" s="20"/>
      <c r="X191" s="24"/>
      <c r="Y191" s="25"/>
      <c r="Z191" s="25"/>
      <c r="AA191" s="25"/>
      <c r="AE191" s="38"/>
    </row>
    <row r="192" spans="1:42" s="18" customFormat="1">
      <c r="A192" s="119"/>
      <c r="H192" s="28"/>
      <c r="I192" s="34"/>
      <c r="J192" s="35"/>
      <c r="K192" s="36"/>
      <c r="L192" s="35"/>
      <c r="M192" s="37"/>
      <c r="N192" s="38"/>
      <c r="O192" s="37"/>
      <c r="Q192" s="26"/>
      <c r="R192" s="27"/>
      <c r="V192" s="22"/>
      <c r="W192" s="20"/>
      <c r="X192" s="24"/>
      <c r="Y192" s="25"/>
      <c r="Z192" s="25"/>
      <c r="AA192" s="25"/>
      <c r="AE192" s="38"/>
    </row>
    <row r="193" spans="1:42" s="18" customFormat="1">
      <c r="A193" s="119"/>
      <c r="D193" s="25"/>
      <c r="E193" s="25"/>
      <c r="I193" s="34"/>
      <c r="J193" s="35"/>
      <c r="K193" s="36"/>
      <c r="L193" s="35"/>
      <c r="M193" s="37"/>
      <c r="N193" s="38"/>
      <c r="O193" s="37"/>
      <c r="Q193" s="26"/>
      <c r="R193" s="27"/>
      <c r="V193" s="22"/>
      <c r="W193" s="20"/>
      <c r="X193" s="24"/>
      <c r="Y193" s="25"/>
      <c r="Z193" s="25"/>
      <c r="AA193" s="25"/>
      <c r="AB193" s="25"/>
      <c r="AC193" s="25"/>
      <c r="AD193" s="25"/>
      <c r="AE193" s="45"/>
    </row>
    <row r="194" spans="1:42" s="18" customFormat="1">
      <c r="A194" s="119"/>
      <c r="D194" s="25"/>
      <c r="E194" s="25"/>
      <c r="I194" s="34"/>
      <c r="J194" s="35"/>
      <c r="K194" s="36"/>
      <c r="L194" s="35"/>
      <c r="M194" s="37"/>
      <c r="N194" s="38"/>
      <c r="O194" s="37"/>
      <c r="Q194" s="26"/>
      <c r="R194" s="27"/>
      <c r="V194" s="22"/>
      <c r="W194" s="20"/>
      <c r="X194" s="24"/>
      <c r="Y194" s="25"/>
      <c r="Z194" s="25"/>
      <c r="AA194" s="25"/>
      <c r="AC194" s="25"/>
      <c r="AD194" s="25"/>
      <c r="AE194" s="38"/>
    </row>
    <row r="195" spans="1:42" s="18" customFormat="1">
      <c r="A195" s="119"/>
      <c r="D195" s="25"/>
      <c r="E195" s="25"/>
      <c r="I195" s="34"/>
      <c r="J195" s="35"/>
      <c r="K195" s="36"/>
      <c r="L195" s="35"/>
      <c r="M195" s="37"/>
      <c r="N195" s="38"/>
      <c r="O195" s="37"/>
      <c r="Q195" s="26"/>
      <c r="R195" s="27"/>
      <c r="V195" s="22"/>
      <c r="W195" s="20"/>
      <c r="X195" s="24"/>
      <c r="Y195" s="25"/>
      <c r="Z195" s="25"/>
      <c r="AA195" s="25"/>
      <c r="AB195" s="25"/>
      <c r="AC195" s="25"/>
      <c r="AD195" s="25"/>
      <c r="AE195" s="38"/>
    </row>
    <row r="196" spans="1:42" s="18" customFormat="1">
      <c r="A196" s="119"/>
      <c r="D196" s="25"/>
      <c r="E196" s="25"/>
      <c r="I196" s="34"/>
      <c r="J196" s="35"/>
      <c r="K196" s="36"/>
      <c r="L196" s="35"/>
      <c r="M196" s="37"/>
      <c r="N196" s="38"/>
      <c r="O196" s="37"/>
      <c r="Q196" s="26"/>
      <c r="R196" s="27"/>
      <c r="V196" s="22"/>
      <c r="W196" s="20"/>
      <c r="X196" s="24"/>
      <c r="Y196" s="25"/>
      <c r="Z196" s="25"/>
      <c r="AA196" s="25"/>
      <c r="AB196" s="25"/>
      <c r="AC196" s="25"/>
      <c r="AD196" s="25"/>
      <c r="AE196" s="38"/>
    </row>
    <row r="197" spans="1:42" s="18" customFormat="1">
      <c r="A197" s="119"/>
      <c r="H197" s="28"/>
      <c r="I197" s="34"/>
      <c r="J197" s="35"/>
      <c r="K197" s="36"/>
      <c r="L197" s="35"/>
      <c r="M197" s="37"/>
      <c r="N197" s="38"/>
      <c r="O197" s="37"/>
      <c r="Q197" s="26"/>
      <c r="R197" s="27"/>
      <c r="V197" s="22"/>
      <c r="W197" s="20"/>
      <c r="X197" s="24"/>
      <c r="Y197" s="25"/>
      <c r="Z197" s="25"/>
      <c r="AA197" s="25"/>
      <c r="AE197" s="38"/>
    </row>
    <row r="198" spans="1:42" s="125" customFormat="1">
      <c r="A198" s="119"/>
      <c r="B198" s="18"/>
      <c r="C198" s="18"/>
      <c r="D198" s="18"/>
      <c r="E198" s="18"/>
      <c r="F198" s="18"/>
      <c r="G198" s="18"/>
      <c r="H198" s="28"/>
      <c r="I198" s="34"/>
      <c r="J198" s="35"/>
      <c r="K198" s="36"/>
      <c r="L198" s="35"/>
      <c r="M198" s="37"/>
      <c r="N198" s="38"/>
      <c r="O198" s="37"/>
      <c r="P198" s="18"/>
      <c r="Q198" s="26"/>
      <c r="R198" s="27"/>
      <c r="S198" s="18"/>
      <c r="T198" s="18"/>
      <c r="U198" s="18"/>
      <c r="V198" s="22"/>
      <c r="W198" s="20"/>
      <c r="X198" s="24"/>
      <c r="Y198" s="25"/>
      <c r="Z198" s="25"/>
      <c r="AA198" s="25"/>
      <c r="AB198" s="18"/>
      <c r="AC198" s="18"/>
      <c r="AD198" s="18"/>
      <c r="AE198" s="3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</row>
    <row r="199" spans="1:42" s="18" customFormat="1">
      <c r="A199" s="120" t="s">
        <v>105</v>
      </c>
      <c r="B199" s="29" t="s">
        <v>4</v>
      </c>
      <c r="C199" s="29" t="s">
        <v>61</v>
      </c>
      <c r="D199" s="29" t="s">
        <v>241</v>
      </c>
      <c r="E199" s="29" t="s">
        <v>242</v>
      </c>
      <c r="F199" s="29" t="s">
        <v>7</v>
      </c>
      <c r="G199" s="29" t="s">
        <v>10</v>
      </c>
      <c r="H199" s="29" t="s">
        <v>13</v>
      </c>
      <c r="I199" s="29" t="s">
        <v>16</v>
      </c>
      <c r="J199" s="30" t="s">
        <v>19</v>
      </c>
      <c r="K199" s="31" t="s">
        <v>22</v>
      </c>
      <c r="L199" s="30" t="s">
        <v>25</v>
      </c>
      <c r="M199" s="32" t="s">
        <v>161</v>
      </c>
      <c r="N199" s="33" t="s">
        <v>160</v>
      </c>
      <c r="O199" s="32" t="s">
        <v>82</v>
      </c>
      <c r="P199" s="29" t="s">
        <v>29</v>
      </c>
      <c r="Q199" s="29" t="s">
        <v>32</v>
      </c>
      <c r="R199" s="29" t="s">
        <v>34</v>
      </c>
      <c r="S199" s="29" t="s">
        <v>37</v>
      </c>
      <c r="T199" s="29" t="s">
        <v>48</v>
      </c>
      <c r="U199" s="29" t="s">
        <v>102</v>
      </c>
      <c r="V199" s="21" t="s">
        <v>59</v>
      </c>
      <c r="W199" s="19" t="s">
        <v>60</v>
      </c>
      <c r="X199" s="23" t="s">
        <v>55</v>
      </c>
      <c r="Y199" s="29" t="s">
        <v>57</v>
      </c>
      <c r="Z199" s="29" t="s">
        <v>95</v>
      </c>
      <c r="AA199" s="29" t="s">
        <v>90</v>
      </c>
      <c r="AB199" s="29" t="s">
        <v>41</v>
      </c>
      <c r="AC199" s="29" t="s">
        <v>44</v>
      </c>
      <c r="AD199" s="29" t="s">
        <v>83</v>
      </c>
      <c r="AE199" s="33" t="s">
        <v>86</v>
      </c>
      <c r="AF199" s="29" t="s">
        <v>85</v>
      </c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</row>
    <row r="200" spans="1:42" s="18" customFormat="1">
      <c r="A200" s="121"/>
      <c r="I200" s="34"/>
      <c r="J200" s="35"/>
      <c r="K200" s="36"/>
      <c r="L200" s="35"/>
      <c r="M200" s="37"/>
      <c r="N200" s="38"/>
      <c r="O200" s="37"/>
      <c r="V200" s="22"/>
      <c r="W200" s="20"/>
      <c r="X200" s="24"/>
      <c r="AE200" s="38"/>
      <c r="AO200" s="29" t="s">
        <v>170</v>
      </c>
    </row>
    <row r="201" spans="1:42" s="140" customFormat="1">
      <c r="A201" s="121"/>
      <c r="B201" s="18"/>
      <c r="C201" s="18"/>
      <c r="D201" s="18"/>
      <c r="E201" s="18"/>
      <c r="F201" s="18"/>
      <c r="G201" s="18"/>
      <c r="H201" s="18"/>
      <c r="I201" s="34"/>
      <c r="J201" s="35"/>
      <c r="K201" s="36"/>
      <c r="L201" s="35"/>
      <c r="M201" s="37"/>
      <c r="N201" s="38"/>
      <c r="O201" s="37"/>
      <c r="P201" s="18"/>
      <c r="Q201" s="18"/>
      <c r="R201" s="18"/>
      <c r="S201" s="18"/>
      <c r="T201" s="18"/>
      <c r="U201" s="18"/>
      <c r="V201" s="22"/>
      <c r="W201" s="20"/>
      <c r="X201" s="24"/>
      <c r="Y201" s="18"/>
      <c r="Z201" s="18"/>
      <c r="AA201" s="18"/>
      <c r="AB201" s="18"/>
      <c r="AC201" s="18"/>
      <c r="AD201" s="18"/>
      <c r="AE201" s="38"/>
      <c r="AF201" s="18"/>
      <c r="AG201" s="18"/>
      <c r="AH201" s="18"/>
      <c r="AI201" s="18"/>
      <c r="AJ201" s="18"/>
      <c r="AK201" s="18"/>
      <c r="AL201" s="18"/>
      <c r="AM201" s="18"/>
      <c r="AN201" s="18"/>
      <c r="AO201" s="77">
        <f>AVERAGEIFS(T:T,S:S,1)</f>
        <v>3.3103448275862069</v>
      </c>
      <c r="AP201" s="18"/>
    </row>
    <row r="202" spans="1:42" s="18" customFormat="1" ht="120">
      <c r="A202" s="121"/>
      <c r="I202" s="34"/>
      <c r="J202" s="35"/>
      <c r="K202" s="36"/>
      <c r="L202" s="35"/>
      <c r="M202" s="37"/>
      <c r="N202" s="38"/>
      <c r="O202" s="37"/>
      <c r="V202" s="22"/>
      <c r="W202" s="20"/>
      <c r="X202" s="24"/>
      <c r="AE202" s="38"/>
      <c r="AO202" s="78" t="s">
        <v>215</v>
      </c>
    </row>
    <row r="203" spans="1:42" s="18" customFormat="1">
      <c r="A203" s="121"/>
      <c r="I203" s="34"/>
      <c r="J203" s="35"/>
      <c r="K203" s="36"/>
      <c r="L203" s="35"/>
      <c r="M203" s="37"/>
      <c r="N203" s="38"/>
      <c r="O203" s="37"/>
      <c r="V203" s="22"/>
      <c r="W203" s="20"/>
      <c r="X203" s="24"/>
      <c r="AE203" s="38"/>
    </row>
    <row r="204" spans="1:42" s="18" customFormat="1">
      <c r="A204" s="121"/>
      <c r="I204" s="34"/>
      <c r="J204" s="35"/>
      <c r="K204" s="36"/>
      <c r="L204" s="35"/>
      <c r="M204" s="37"/>
      <c r="N204" s="38"/>
      <c r="O204" s="37"/>
      <c r="V204" s="22"/>
      <c r="W204" s="20"/>
      <c r="X204" s="24"/>
      <c r="AE204" s="38"/>
    </row>
    <row r="205" spans="1:42" s="18" customFormat="1">
      <c r="A205" s="121"/>
      <c r="I205" s="34"/>
      <c r="J205" s="35"/>
      <c r="K205" s="36"/>
      <c r="L205" s="35"/>
      <c r="M205" s="37"/>
      <c r="N205" s="38"/>
      <c r="O205" s="37"/>
      <c r="V205" s="22"/>
      <c r="W205" s="20"/>
      <c r="X205" s="24"/>
      <c r="AE205" s="38"/>
    </row>
    <row r="206" spans="1:42" s="18" customFormat="1">
      <c r="A206" s="121"/>
      <c r="I206" s="34"/>
      <c r="J206" s="35"/>
      <c r="K206" s="36"/>
      <c r="L206" s="35"/>
      <c r="M206" s="37"/>
      <c r="N206" s="38"/>
      <c r="O206" s="37"/>
      <c r="V206" s="22"/>
      <c r="W206" s="20"/>
      <c r="X206" s="24"/>
      <c r="AE206" s="38"/>
    </row>
    <row r="207" spans="1:42" s="18" customFormat="1">
      <c r="A207" s="121"/>
      <c r="I207" s="34"/>
      <c r="J207" s="35"/>
      <c r="K207" s="36"/>
      <c r="L207" s="35"/>
      <c r="M207" s="37"/>
      <c r="N207" s="38"/>
      <c r="O207" s="37"/>
      <c r="V207" s="22"/>
      <c r="W207" s="20"/>
      <c r="X207" s="24"/>
      <c r="AE207" s="38"/>
    </row>
    <row r="208" spans="1:42" s="125" customFormat="1">
      <c r="A208" s="121"/>
      <c r="B208" s="18"/>
      <c r="C208" s="18"/>
      <c r="D208" s="18"/>
      <c r="E208" s="18"/>
      <c r="F208" s="18"/>
      <c r="G208" s="18"/>
      <c r="H208" s="18"/>
      <c r="I208" s="34"/>
      <c r="J208" s="35"/>
      <c r="K208" s="36"/>
      <c r="L208" s="35"/>
      <c r="M208" s="37"/>
      <c r="N208" s="38"/>
      <c r="O208" s="37"/>
      <c r="P208" s="18"/>
      <c r="Q208" s="18"/>
      <c r="R208" s="18"/>
      <c r="S208" s="18"/>
      <c r="T208" s="18"/>
      <c r="U208" s="18"/>
      <c r="V208" s="22"/>
      <c r="W208" s="20"/>
      <c r="X208" s="24"/>
      <c r="Y208" s="18"/>
      <c r="Z208" s="18"/>
      <c r="AA208" s="18"/>
      <c r="AB208" s="18"/>
      <c r="AC208" s="18"/>
      <c r="AD208" s="18"/>
      <c r="AE208" s="3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</row>
    <row r="209" spans="1:42" s="18" customFormat="1">
      <c r="A209" s="121"/>
      <c r="I209" s="34"/>
      <c r="J209" s="35"/>
      <c r="K209" s="36"/>
      <c r="L209" s="35"/>
      <c r="M209" s="37"/>
      <c r="N209" s="38"/>
      <c r="O209" s="37"/>
      <c r="V209" s="22"/>
      <c r="W209" s="20"/>
      <c r="X209" s="24"/>
      <c r="AE209" s="38"/>
    </row>
    <row r="210" spans="1:42" s="18" customFormat="1">
      <c r="A210" s="121"/>
      <c r="I210" s="34"/>
      <c r="J210" s="35"/>
      <c r="K210" s="36"/>
      <c r="L210" s="35"/>
      <c r="M210" s="37"/>
      <c r="N210" s="38"/>
      <c r="O210" s="37"/>
      <c r="V210" s="22"/>
      <c r="W210" s="20"/>
      <c r="X210" s="24"/>
      <c r="AE210" s="38"/>
    </row>
    <row r="211" spans="1:42" s="18" customFormat="1">
      <c r="A211" s="121"/>
      <c r="I211" s="34"/>
      <c r="J211" s="35"/>
      <c r="K211" s="36"/>
      <c r="L211" s="35"/>
      <c r="M211" s="37"/>
      <c r="N211" s="38"/>
      <c r="O211" s="37"/>
      <c r="V211" s="22"/>
      <c r="W211" s="20"/>
      <c r="X211" s="24"/>
      <c r="AE211" s="38"/>
    </row>
    <row r="212" spans="1:42" s="18" customFormat="1">
      <c r="A212" s="121"/>
      <c r="I212" s="34"/>
      <c r="J212" s="35"/>
      <c r="K212" s="36"/>
      <c r="L212" s="35"/>
      <c r="M212" s="37"/>
      <c r="N212" s="38"/>
      <c r="O212" s="37"/>
      <c r="V212" s="22"/>
      <c r="W212" s="20"/>
      <c r="X212" s="24"/>
      <c r="AE212" s="38"/>
    </row>
    <row r="213" spans="1:42" s="18" customFormat="1">
      <c r="A213" s="121"/>
      <c r="I213" s="34"/>
      <c r="J213" s="35"/>
      <c r="K213" s="36"/>
      <c r="L213" s="35"/>
      <c r="M213" s="37"/>
      <c r="N213" s="38"/>
      <c r="O213" s="37"/>
      <c r="V213" s="22"/>
      <c r="W213" s="20"/>
      <c r="X213" s="24"/>
      <c r="AE213" s="38"/>
    </row>
    <row r="214" spans="1:42" s="18" customFormat="1">
      <c r="A214" s="121"/>
      <c r="I214" s="34"/>
      <c r="J214" s="35"/>
      <c r="K214" s="36"/>
      <c r="L214" s="35"/>
      <c r="M214" s="37"/>
      <c r="N214" s="38"/>
      <c r="O214" s="37"/>
      <c r="V214" s="22"/>
      <c r="W214" s="20"/>
      <c r="X214" s="24"/>
      <c r="AE214" s="38"/>
    </row>
    <row r="215" spans="1:42" s="18" customFormat="1">
      <c r="A215" s="121"/>
      <c r="I215" s="34"/>
      <c r="J215" s="35"/>
      <c r="K215" s="36"/>
      <c r="L215" s="35"/>
      <c r="M215" s="37"/>
      <c r="N215" s="38"/>
      <c r="O215" s="37"/>
      <c r="V215" s="22"/>
      <c r="W215" s="20"/>
      <c r="X215" s="24"/>
      <c r="AE215" s="38"/>
    </row>
    <row r="216" spans="1:42" s="18" customFormat="1">
      <c r="A216" s="121"/>
      <c r="I216" s="34"/>
      <c r="J216" s="35"/>
      <c r="K216" s="36"/>
      <c r="L216" s="35"/>
      <c r="M216" s="37"/>
      <c r="N216" s="38"/>
      <c r="O216" s="37"/>
      <c r="V216" s="22"/>
      <c r="W216" s="20"/>
      <c r="X216" s="24"/>
      <c r="AE216" s="38"/>
    </row>
    <row r="217" spans="1:42" s="140" customFormat="1">
      <c r="A217" s="121"/>
      <c r="B217" s="18"/>
      <c r="C217" s="18"/>
      <c r="D217" s="18"/>
      <c r="E217" s="18"/>
      <c r="F217" s="18"/>
      <c r="G217" s="18"/>
      <c r="H217" s="18"/>
      <c r="I217" s="34"/>
      <c r="J217" s="35"/>
      <c r="K217" s="36"/>
      <c r="L217" s="35"/>
      <c r="M217" s="37"/>
      <c r="N217" s="38"/>
      <c r="O217" s="37"/>
      <c r="P217" s="18"/>
      <c r="Q217" s="18"/>
      <c r="R217" s="18"/>
      <c r="S217" s="18"/>
      <c r="T217" s="18"/>
      <c r="U217" s="18"/>
      <c r="V217" s="22"/>
      <c r="W217" s="20"/>
      <c r="X217" s="24"/>
      <c r="Y217" s="18"/>
      <c r="Z217" s="18"/>
      <c r="AA217" s="18"/>
      <c r="AB217" s="18"/>
      <c r="AC217" s="18"/>
      <c r="AD217" s="18"/>
      <c r="AE217" s="3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</row>
    <row r="218" spans="1:42" s="18" customFormat="1">
      <c r="A218" s="121"/>
      <c r="I218" s="34"/>
      <c r="J218" s="35"/>
      <c r="K218" s="36"/>
      <c r="L218" s="35"/>
      <c r="M218" s="37"/>
      <c r="N218" s="38"/>
      <c r="O218" s="37"/>
      <c r="V218" s="22"/>
      <c r="W218" s="20"/>
      <c r="X218" s="24"/>
      <c r="AE218" s="38"/>
    </row>
    <row r="219" spans="1:42" s="18" customFormat="1">
      <c r="A219" s="121"/>
      <c r="I219" s="34"/>
      <c r="J219" s="35"/>
      <c r="K219" s="36"/>
      <c r="L219" s="35"/>
      <c r="M219" s="37"/>
      <c r="N219" s="38"/>
      <c r="O219" s="37"/>
      <c r="V219" s="22"/>
      <c r="W219" s="20"/>
      <c r="X219" s="24"/>
      <c r="AE219" s="38"/>
    </row>
    <row r="220" spans="1:42" s="140" customFormat="1">
      <c r="A220" s="119"/>
      <c r="B220" s="18"/>
      <c r="C220" s="18"/>
      <c r="D220" s="18"/>
      <c r="E220" s="18"/>
      <c r="F220" s="18"/>
      <c r="G220" s="18"/>
      <c r="H220" s="18"/>
      <c r="I220" s="34"/>
      <c r="J220" s="35"/>
      <c r="K220" s="36"/>
      <c r="L220" s="35"/>
      <c r="M220" s="37"/>
      <c r="N220" s="38"/>
      <c r="O220" s="37"/>
      <c r="P220" s="18"/>
      <c r="Q220" s="18"/>
      <c r="R220" s="18"/>
      <c r="S220" s="18"/>
      <c r="T220" s="18"/>
      <c r="U220" s="18"/>
      <c r="V220" s="22"/>
      <c r="W220" s="20"/>
      <c r="X220" s="24"/>
      <c r="Y220" s="18"/>
      <c r="Z220" s="18"/>
      <c r="AA220" s="18"/>
      <c r="AB220" s="18"/>
      <c r="AC220" s="18"/>
      <c r="AD220" s="18"/>
      <c r="AE220" s="3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</row>
    <row r="221" spans="1:42" s="18" customFormat="1">
      <c r="A221" s="119"/>
      <c r="D221" s="25"/>
      <c r="I221" s="34"/>
      <c r="J221" s="35"/>
      <c r="K221" s="36"/>
      <c r="L221" s="35"/>
      <c r="M221" s="37"/>
      <c r="N221" s="38"/>
      <c r="O221" s="28"/>
      <c r="V221" s="22"/>
      <c r="W221" s="20"/>
      <c r="X221" s="24"/>
      <c r="AE221" s="38"/>
    </row>
    <row r="222" spans="1:42" s="18" customFormat="1">
      <c r="A222" s="119"/>
      <c r="D222" s="25"/>
      <c r="I222" s="34"/>
      <c r="J222" s="35"/>
      <c r="K222" s="36"/>
      <c r="L222" s="35"/>
      <c r="M222" s="37"/>
      <c r="N222" s="38"/>
      <c r="O222" s="28"/>
      <c r="V222" s="22"/>
      <c r="W222" s="20"/>
      <c r="X222" s="24"/>
      <c r="AE222" s="38"/>
    </row>
    <row r="223" spans="1:42" s="18" customFormat="1">
      <c r="A223" s="119"/>
      <c r="D223" s="25"/>
      <c r="I223" s="34"/>
      <c r="J223" s="35"/>
      <c r="K223" s="36"/>
      <c r="L223" s="35"/>
      <c r="M223" s="37"/>
      <c r="N223" s="38"/>
      <c r="O223" s="28"/>
      <c r="V223" s="22"/>
      <c r="W223" s="20"/>
      <c r="X223" s="24"/>
      <c r="AE223" s="38"/>
    </row>
    <row r="224" spans="1:42" s="18" customFormat="1">
      <c r="A224" s="119"/>
      <c r="D224" s="25"/>
      <c r="I224" s="34"/>
      <c r="J224" s="35"/>
      <c r="K224" s="36"/>
      <c r="L224" s="35"/>
      <c r="M224" s="37"/>
      <c r="N224" s="38"/>
      <c r="O224" s="28"/>
      <c r="V224" s="22"/>
      <c r="W224" s="20"/>
      <c r="X224" s="24"/>
      <c r="AE224" s="38"/>
    </row>
    <row r="225" spans="1:42" s="140" customFormat="1">
      <c r="A225" s="119"/>
      <c r="B225" s="18"/>
      <c r="C225" s="18"/>
      <c r="D225" s="25"/>
      <c r="E225" s="25"/>
      <c r="F225" s="18"/>
      <c r="G225" s="18"/>
      <c r="H225" s="18"/>
      <c r="I225" s="34"/>
      <c r="J225" s="35"/>
      <c r="K225" s="36"/>
      <c r="L225" s="35"/>
      <c r="M225" s="37"/>
      <c r="N225" s="38"/>
      <c r="O225" s="37"/>
      <c r="P225" s="18"/>
      <c r="Q225" s="18"/>
      <c r="R225" s="18"/>
      <c r="S225" s="18"/>
      <c r="T225" s="18"/>
      <c r="U225" s="18"/>
      <c r="V225" s="22"/>
      <c r="W225" s="20"/>
      <c r="X225" s="24"/>
      <c r="Y225" s="18"/>
      <c r="Z225" s="18"/>
      <c r="AA225" s="18"/>
      <c r="AB225" s="18"/>
      <c r="AC225" s="18"/>
      <c r="AD225" s="18"/>
      <c r="AE225" s="3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</row>
    <row r="226" spans="1:42" s="18" customFormat="1">
      <c r="A226" s="119"/>
      <c r="D226" s="25"/>
      <c r="E226" s="25"/>
      <c r="I226" s="34"/>
      <c r="J226" s="35"/>
      <c r="K226" s="36"/>
      <c r="L226" s="35"/>
      <c r="M226" s="37"/>
      <c r="N226" s="38"/>
      <c r="O226" s="37"/>
      <c r="Q226" s="26"/>
      <c r="R226" s="27"/>
      <c r="V226" s="22"/>
      <c r="W226" s="20"/>
      <c r="X226" s="24"/>
      <c r="Y226" s="25"/>
      <c r="Z226" s="25"/>
      <c r="AA226" s="25"/>
      <c r="AE226" s="38"/>
    </row>
    <row r="227" spans="1:42" s="18" customFormat="1">
      <c r="A227" s="119"/>
      <c r="D227" s="25"/>
      <c r="E227" s="25"/>
      <c r="I227" s="34"/>
      <c r="J227" s="35"/>
      <c r="K227" s="36"/>
      <c r="L227" s="35"/>
      <c r="M227" s="37"/>
      <c r="N227" s="38"/>
      <c r="O227" s="37"/>
      <c r="Q227" s="26"/>
      <c r="R227" s="27"/>
      <c r="V227" s="22"/>
      <c r="W227" s="20"/>
      <c r="X227" s="24"/>
      <c r="Y227" s="25"/>
      <c r="Z227" s="25"/>
      <c r="AA227" s="25"/>
      <c r="AB227" s="25"/>
      <c r="AC227" s="25"/>
      <c r="AD227" s="25"/>
      <c r="AE227" s="38"/>
    </row>
    <row r="228" spans="1:42" s="18" customFormat="1">
      <c r="A228" s="119"/>
      <c r="I228" s="34"/>
      <c r="J228" s="35"/>
      <c r="K228" s="36"/>
      <c r="L228" s="35"/>
      <c r="M228" s="37"/>
      <c r="N228" s="38"/>
      <c r="O228" s="37"/>
      <c r="Q228" s="26"/>
      <c r="R228" s="27"/>
      <c r="V228" s="22"/>
      <c r="W228" s="20"/>
      <c r="X228" s="24"/>
      <c r="Y228" s="25"/>
      <c r="Z228" s="25"/>
      <c r="AA228" s="25"/>
      <c r="AB228" s="25"/>
      <c r="AC228" s="25"/>
      <c r="AD228" s="25"/>
      <c r="AE228" s="38"/>
    </row>
    <row r="229" spans="1:42" s="140" customFormat="1">
      <c r="A229" s="119"/>
      <c r="B229" s="18"/>
      <c r="C229" s="18"/>
      <c r="D229" s="18"/>
      <c r="E229" s="18"/>
      <c r="F229" s="18"/>
      <c r="G229" s="18"/>
      <c r="H229" s="18"/>
      <c r="I229" s="34"/>
      <c r="J229" s="35"/>
      <c r="K229" s="36"/>
      <c r="L229" s="35"/>
      <c r="M229" s="37"/>
      <c r="N229" s="38"/>
      <c r="O229" s="37"/>
      <c r="P229" s="18"/>
      <c r="Q229" s="26"/>
      <c r="R229" s="27"/>
      <c r="S229" s="18"/>
      <c r="T229" s="18"/>
      <c r="U229" s="18"/>
      <c r="V229" s="22"/>
      <c r="W229" s="20"/>
      <c r="X229" s="24"/>
      <c r="Y229" s="25"/>
      <c r="Z229" s="25"/>
      <c r="AA229" s="25"/>
      <c r="AB229" s="25"/>
      <c r="AC229" s="25"/>
      <c r="AD229" s="25"/>
      <c r="AE229" s="3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</row>
    <row r="230" spans="1:42" s="140" customFormat="1">
      <c r="A230" s="119"/>
      <c r="B230" s="18"/>
      <c r="C230" s="18"/>
      <c r="D230" s="18"/>
      <c r="E230" s="18"/>
      <c r="F230" s="18"/>
      <c r="G230" s="18"/>
      <c r="H230" s="18"/>
      <c r="I230" s="34"/>
      <c r="J230" s="35"/>
      <c r="K230" s="36"/>
      <c r="L230" s="35"/>
      <c r="M230" s="37"/>
      <c r="N230" s="38"/>
      <c r="O230" s="37"/>
      <c r="P230" s="18"/>
      <c r="Q230" s="26"/>
      <c r="R230" s="27"/>
      <c r="S230" s="18"/>
      <c r="T230" s="18"/>
      <c r="U230" s="18"/>
      <c r="V230" s="22"/>
      <c r="W230" s="20"/>
      <c r="X230" s="24"/>
      <c r="Y230" s="25"/>
      <c r="Z230" s="25"/>
      <c r="AA230" s="25"/>
      <c r="AB230" s="25"/>
      <c r="AC230" s="25"/>
      <c r="AD230" s="18"/>
      <c r="AE230" s="3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</row>
    <row r="231" spans="1:42" s="18" customFormat="1">
      <c r="A231" s="119"/>
      <c r="H231" s="28"/>
      <c r="I231" s="34"/>
      <c r="J231" s="35"/>
      <c r="K231" s="36"/>
      <c r="L231" s="35"/>
      <c r="M231" s="37"/>
      <c r="N231" s="38"/>
      <c r="O231" s="37"/>
      <c r="Q231" s="26"/>
      <c r="R231" s="27"/>
      <c r="V231" s="22"/>
      <c r="W231" s="20"/>
      <c r="X231" s="24"/>
      <c r="AE231" s="38"/>
    </row>
    <row r="232" spans="1:42" s="140" customFormat="1">
      <c r="A232" s="119"/>
      <c r="B232" s="18"/>
      <c r="C232" s="18"/>
      <c r="D232" s="18"/>
      <c r="E232" s="18"/>
      <c r="F232" s="18"/>
      <c r="G232" s="18"/>
      <c r="H232" s="28"/>
      <c r="I232" s="34"/>
      <c r="J232" s="35"/>
      <c r="K232" s="36"/>
      <c r="L232" s="35"/>
      <c r="M232" s="37"/>
      <c r="N232" s="38"/>
      <c r="O232" s="37"/>
      <c r="P232" s="18"/>
      <c r="Q232" s="26"/>
      <c r="R232" s="27"/>
      <c r="S232" s="18"/>
      <c r="T232" s="18"/>
      <c r="U232" s="18"/>
      <c r="V232" s="22"/>
      <c r="W232" s="20"/>
      <c r="X232" s="24"/>
      <c r="Y232" s="18"/>
      <c r="Z232" s="18"/>
      <c r="AA232" s="18"/>
      <c r="AB232" s="18"/>
      <c r="AC232" s="18"/>
      <c r="AD232" s="18"/>
      <c r="AE232" s="3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</row>
    <row r="233" spans="1:42" s="18" customFormat="1">
      <c r="A233" s="119"/>
      <c r="I233" s="34"/>
      <c r="J233" s="35"/>
      <c r="K233" s="36"/>
      <c r="L233" s="35"/>
      <c r="M233" s="37"/>
      <c r="N233" s="38"/>
      <c r="O233" s="37"/>
      <c r="Q233" s="26"/>
      <c r="R233" s="27"/>
      <c r="V233" s="152"/>
      <c r="W233" s="25"/>
      <c r="X233" s="153"/>
      <c r="AE233" s="38"/>
    </row>
    <row r="234" spans="1:42" s="18" customFormat="1">
      <c r="A234" s="119"/>
      <c r="M234" s="37"/>
      <c r="N234" s="38"/>
      <c r="O234" s="37"/>
      <c r="Q234" s="26"/>
      <c r="R234" s="27"/>
      <c r="V234" s="22"/>
      <c r="W234" s="20"/>
      <c r="X234" s="24"/>
      <c r="AE234" s="38"/>
    </row>
  </sheetData>
  <sortState ref="A1:AF90">
    <sortCondition ref="T1:T9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362"/>
  <sheetViews>
    <sheetView topLeftCell="B1" workbookViewId="0">
      <selection activeCell="B1" sqref="A1:XFD1048576"/>
    </sheetView>
  </sheetViews>
  <sheetFormatPr defaultRowHeight="15"/>
  <cols>
    <col min="1" max="3" width="9.140625" customWidth="1"/>
    <col min="4" max="4" width="9.7109375" customWidth="1"/>
    <col min="5" max="5" width="9.140625" customWidth="1"/>
    <col min="6" max="6" width="9.140625" style="198" customWidth="1"/>
    <col min="7" max="9" width="9.140625" style="182" customWidth="1"/>
    <col min="10" max="10" width="9.140625" style="199" customWidth="1"/>
    <col min="11" max="11" width="9.140625" style="198"/>
    <col min="12" max="14" width="9.140625" style="182"/>
    <col min="15" max="15" width="9.140625" style="199"/>
    <col min="16" max="20" width="9.140625" customWidth="1"/>
    <col min="21" max="21" width="11.7109375" customWidth="1"/>
    <col min="22" max="25" width="12.85546875" customWidth="1"/>
    <col min="26" max="26" width="12" bestFit="1" customWidth="1"/>
    <col min="27" max="29" width="12" customWidth="1"/>
    <col min="31" max="32" width="9.140625" style="13" customWidth="1"/>
    <col min="33" max="33" width="23.7109375" bestFit="1" customWidth="1"/>
    <col min="34" max="34" width="33" bestFit="1" customWidth="1"/>
    <col min="35" max="35" width="26.85546875" bestFit="1" customWidth="1"/>
    <col min="36" max="36" width="18" bestFit="1" customWidth="1"/>
    <col min="37" max="37" width="31.7109375" bestFit="1" customWidth="1"/>
  </cols>
  <sheetData>
    <row r="1" spans="1:58" ht="21">
      <c r="B1" s="14" t="s">
        <v>116</v>
      </c>
      <c r="C1" s="14"/>
      <c r="D1" s="14"/>
      <c r="E1" s="14"/>
      <c r="F1" s="192"/>
      <c r="G1" s="193"/>
      <c r="H1" s="193"/>
      <c r="I1" s="193"/>
      <c r="J1" s="194"/>
      <c r="K1" s="192"/>
      <c r="L1" s="193"/>
      <c r="M1" s="193"/>
      <c r="N1" s="193"/>
      <c r="O1" s="194"/>
      <c r="P1" s="14"/>
      <c r="Q1" s="14"/>
      <c r="R1" s="14"/>
      <c r="S1" s="14"/>
      <c r="T1" s="14"/>
      <c r="U1" s="14"/>
      <c r="V1" s="14"/>
      <c r="W1" s="14"/>
      <c r="X1" s="14"/>
      <c r="Y1" s="14"/>
      <c r="AE1" s="207"/>
      <c r="AF1" s="207"/>
      <c r="AG1" s="208"/>
      <c r="AH1" s="208"/>
      <c r="AI1" s="208"/>
      <c r="AJ1" s="208"/>
      <c r="AK1" s="177"/>
    </row>
    <row r="2" spans="1:58" ht="45">
      <c r="A2" s="6" t="s">
        <v>158</v>
      </c>
      <c r="B2" s="6" t="s">
        <v>4</v>
      </c>
      <c r="C2" s="6" t="s">
        <v>29</v>
      </c>
      <c r="D2" s="6" t="s">
        <v>32</v>
      </c>
      <c r="E2" s="6" t="s">
        <v>34</v>
      </c>
      <c r="F2" s="195" t="s">
        <v>41</v>
      </c>
      <c r="G2" s="196" t="s">
        <v>348</v>
      </c>
      <c r="H2" s="196" t="s">
        <v>337</v>
      </c>
      <c r="I2" s="196" t="s">
        <v>338</v>
      </c>
      <c r="J2" s="197" t="s">
        <v>339</v>
      </c>
      <c r="K2" s="195" t="s">
        <v>44</v>
      </c>
      <c r="L2" s="196" t="s">
        <v>347</v>
      </c>
      <c r="M2" s="196" t="s">
        <v>337</v>
      </c>
      <c r="N2" s="196" t="s">
        <v>338</v>
      </c>
      <c r="O2" s="197" t="s">
        <v>339</v>
      </c>
      <c r="P2" s="6" t="s">
        <v>83</v>
      </c>
      <c r="Q2" s="6" t="s">
        <v>340</v>
      </c>
      <c r="R2" s="6" t="s">
        <v>341</v>
      </c>
      <c r="S2" s="6" t="s">
        <v>342</v>
      </c>
      <c r="T2" s="6" t="s">
        <v>336</v>
      </c>
      <c r="U2" s="6" t="s">
        <v>344</v>
      </c>
      <c r="V2" s="6" t="s">
        <v>337</v>
      </c>
      <c r="W2" s="6" t="s">
        <v>338</v>
      </c>
      <c r="X2" s="6" t="s">
        <v>346</v>
      </c>
      <c r="Y2" s="6" t="s">
        <v>345</v>
      </c>
      <c r="Z2" s="6" t="s">
        <v>343</v>
      </c>
      <c r="AA2" s="6" t="s">
        <v>337</v>
      </c>
      <c r="AB2" s="6" t="s">
        <v>338</v>
      </c>
      <c r="AC2" s="6" t="s">
        <v>339</v>
      </c>
      <c r="AD2" s="209" t="s">
        <v>89</v>
      </c>
      <c r="AE2" s="210"/>
      <c r="AF2" s="211"/>
      <c r="AG2" s="183" t="s">
        <v>167</v>
      </c>
      <c r="AH2" s="183" t="s">
        <v>168</v>
      </c>
      <c r="AI2" s="183" t="s">
        <v>169</v>
      </c>
      <c r="AJ2" s="184" t="s">
        <v>170</v>
      </c>
      <c r="AK2" s="185" t="s">
        <v>325</v>
      </c>
    </row>
    <row r="3" spans="1:58">
      <c r="A3">
        <v>1</v>
      </c>
      <c r="B3">
        <v>1</v>
      </c>
      <c r="C3" t="s">
        <v>84</v>
      </c>
      <c r="D3" s="10">
        <v>41950</v>
      </c>
      <c r="E3" s="9">
        <v>0.27708333333333335</v>
      </c>
      <c r="F3" s="198">
        <v>60</v>
      </c>
      <c r="G3" s="182">
        <f>RADIANS(F3)</f>
        <v>1.0471975511965976</v>
      </c>
      <c r="H3" s="182">
        <f>_xlfn.STDEV.P(G3:G64)</f>
        <v>0.2600987821992603</v>
      </c>
      <c r="I3" s="182">
        <f>H3/SQRT(62)</f>
        <v>3.3032578371900947E-2</v>
      </c>
      <c r="J3" s="199">
        <f>I3/57*100</f>
        <v>5.7951891880527982E-2</v>
      </c>
      <c r="K3" s="198">
        <v>5.3</v>
      </c>
      <c r="L3" s="182">
        <f>K3/1000</f>
        <v>5.3E-3</v>
      </c>
      <c r="M3" s="182">
        <f>_xlfn.STDEV.P(L3:L65)</f>
        <v>2.369220950294139E-3</v>
      </c>
      <c r="N3" s="182">
        <f>M3/SQRT(65)</f>
        <v>2.9386569175292581E-4</v>
      </c>
      <c r="O3" s="199">
        <f>N3/57*100</f>
        <v>5.1555384518057166E-4</v>
      </c>
      <c r="P3">
        <v>2.5</v>
      </c>
      <c r="Q3">
        <v>8.5999999999999993E-2</v>
      </c>
      <c r="R3" s="179">
        <f>Q3*60*60/1000</f>
        <v>0.30959999999999999</v>
      </c>
      <c r="S3" s="179">
        <f>(R3*24)</f>
        <v>7.4303999999999997</v>
      </c>
      <c r="T3" s="205">
        <f>LOG(S3)</f>
        <v>0.87101219372246097</v>
      </c>
      <c r="U3" s="205">
        <f>AVERAGE(T3:T59)</f>
        <v>1.3182500912755479</v>
      </c>
      <c r="V3" s="205">
        <f>_xlfn.STDEV.P(T3:T59)</f>
        <v>0.39540939615970677</v>
      </c>
      <c r="W3" s="205">
        <f>V3/SQRT(59)</f>
        <v>5.1477918677617383E-2</v>
      </c>
      <c r="X3" s="205">
        <f>U3-(2*W3)</f>
        <v>1.2152942539203131</v>
      </c>
      <c r="Y3" s="205">
        <f>U3+(2*W3)</f>
        <v>1.4212059286307828</v>
      </c>
      <c r="Z3" s="204">
        <f>GEOMEAN(S3:S59)</f>
        <v>20.808946387313547</v>
      </c>
      <c r="AA3" s="204">
        <f>_xlfn.STDEV.P(S3:S59)</f>
        <v>28.063473312560184</v>
      </c>
      <c r="AB3" s="204">
        <f>AA3/SQRT(57)</f>
        <v>3.7170978454117294</v>
      </c>
      <c r="AC3" s="204">
        <f>AB3/57*100</f>
        <v>6.5212242901960167</v>
      </c>
      <c r="AD3" s="183" t="s">
        <v>165</v>
      </c>
      <c r="AE3" s="186" t="s">
        <v>166</v>
      </c>
      <c r="AF3" s="186" t="s">
        <v>197</v>
      </c>
      <c r="AG3" s="15"/>
      <c r="AH3" s="15"/>
      <c r="AI3" s="15"/>
      <c r="AJ3" s="16"/>
      <c r="AK3" s="15" t="s">
        <v>326</v>
      </c>
    </row>
    <row r="4" spans="1:58">
      <c r="A4">
        <v>1</v>
      </c>
      <c r="B4">
        <v>2</v>
      </c>
      <c r="C4" t="s">
        <v>99</v>
      </c>
      <c r="D4" s="10">
        <v>41947</v>
      </c>
      <c r="E4" s="9">
        <v>0.15694444444444444</v>
      </c>
      <c r="F4" s="198">
        <v>10</v>
      </c>
      <c r="G4" s="182">
        <f t="shared" ref="G4:G64" si="0">RADIANS(F4)</f>
        <v>0.17453292519943295</v>
      </c>
      <c r="K4" s="198">
        <v>10.5</v>
      </c>
      <c r="L4" s="182">
        <f t="shared" ref="L4:L65" si="1">K4/1000</f>
        <v>1.0500000000000001E-2</v>
      </c>
      <c r="P4">
        <v>1.5</v>
      </c>
      <c r="Q4">
        <v>0.11</v>
      </c>
      <c r="R4" s="179">
        <f t="shared" ref="R4:R59" si="2">Q4*60*60/1000</f>
        <v>0.39600000000000002</v>
      </c>
      <c r="S4" s="179">
        <f t="shared" ref="S4:S61" si="3">(R4*24)</f>
        <v>9.5040000000000013</v>
      </c>
      <c r="T4" s="205">
        <f t="shared" ref="T4:T59" si="4">LOG(S4)</f>
        <v>0.97790642763711844</v>
      </c>
      <c r="U4" s="205">
        <f>10^U3</f>
        <v>20.80894638731354</v>
      </c>
      <c r="V4" s="205"/>
      <c r="W4" s="205"/>
      <c r="X4" s="205">
        <f>10^X3</f>
        <v>16.417017227448241</v>
      </c>
      <c r="Y4" s="205">
        <f>10^Y3</f>
        <v>26.375817467384962</v>
      </c>
      <c r="AD4" s="187">
        <f>AVERAGE((Q3:Q59))</f>
        <v>0.34994073700998912</v>
      </c>
      <c r="AE4" s="179">
        <f>AD4*60*60/1000</f>
        <v>1.2597866532359607</v>
      </c>
      <c r="AF4" s="179">
        <f>(AE4*24)*0.1</f>
        <v>3.023487967766306</v>
      </c>
      <c r="AG4" s="178">
        <v>11.23</v>
      </c>
      <c r="AH4" s="178">
        <f>RADIANS(11.23)</f>
        <v>0.19600047499896323</v>
      </c>
      <c r="AI4" s="178">
        <v>3.9</v>
      </c>
      <c r="AJ4" s="17"/>
      <c r="AK4" s="16">
        <f>(92/16071.48)*24</f>
        <v>0.13738622703074016</v>
      </c>
    </row>
    <row r="5" spans="1:58">
      <c r="A5">
        <v>1</v>
      </c>
      <c r="B5">
        <v>11</v>
      </c>
      <c r="C5" t="s">
        <v>100</v>
      </c>
      <c r="D5" s="10">
        <v>41951</v>
      </c>
      <c r="E5" s="9">
        <v>0.25833333333333336</v>
      </c>
      <c r="F5" s="198">
        <v>20</v>
      </c>
      <c r="G5" s="182">
        <f t="shared" si="0"/>
        <v>0.3490658503988659</v>
      </c>
      <c r="K5" s="198">
        <v>2.2999999999999998</v>
      </c>
      <c r="L5" s="182">
        <f t="shared" si="1"/>
        <v>2.3E-3</v>
      </c>
      <c r="P5">
        <v>4</v>
      </c>
      <c r="Q5">
        <v>0.25</v>
      </c>
      <c r="R5" s="179">
        <f t="shared" si="2"/>
        <v>0.9</v>
      </c>
      <c r="S5" s="179">
        <f t="shared" si="3"/>
        <v>21.6</v>
      </c>
      <c r="T5" s="205">
        <f t="shared" si="4"/>
        <v>1.3344537511509309</v>
      </c>
      <c r="U5" s="205"/>
      <c r="V5" s="205"/>
      <c r="W5" s="205"/>
      <c r="X5" s="205"/>
      <c r="Y5" s="205"/>
      <c r="AD5" s="175" t="s">
        <v>327</v>
      </c>
      <c r="AE5" s="179" t="e">
        <f t="shared" ref="AE5:AE6" si="5">AD5*60*60/1000</f>
        <v>#VALUE!</v>
      </c>
      <c r="AF5" s="179" t="e">
        <f t="shared" ref="AF5" si="6">(AE5*24)*0.1</f>
        <v>#VALUE!</v>
      </c>
      <c r="AG5" s="176" t="s">
        <v>324</v>
      </c>
      <c r="AH5" s="176"/>
      <c r="AI5" s="177"/>
      <c r="AJ5" s="181" t="s">
        <v>322</v>
      </c>
      <c r="AK5" s="180" t="s">
        <v>323</v>
      </c>
    </row>
    <row r="6" spans="1:58">
      <c r="A6">
        <v>1</v>
      </c>
      <c r="B6">
        <v>12</v>
      </c>
      <c r="C6" t="s">
        <v>84</v>
      </c>
      <c r="D6" s="10">
        <v>41952</v>
      </c>
      <c r="E6" s="9">
        <v>0.9868055555555556</v>
      </c>
      <c r="F6" s="198">
        <v>5</v>
      </c>
      <c r="G6" s="182">
        <f t="shared" si="0"/>
        <v>8.7266462599716474E-2</v>
      </c>
      <c r="K6" s="198">
        <v>6.4</v>
      </c>
      <c r="L6" s="182">
        <f t="shared" si="1"/>
        <v>6.4000000000000003E-3</v>
      </c>
      <c r="P6">
        <v>2.2000000000000002</v>
      </c>
      <c r="Q6">
        <v>0.44</v>
      </c>
      <c r="R6" s="179">
        <f t="shared" si="2"/>
        <v>1.5840000000000001</v>
      </c>
      <c r="S6" s="179">
        <f t="shared" si="3"/>
        <v>38.016000000000005</v>
      </c>
      <c r="T6" s="205">
        <f t="shared" si="4"/>
        <v>1.5799664189650808</v>
      </c>
      <c r="U6" s="205"/>
      <c r="V6" s="205"/>
      <c r="W6" s="205"/>
      <c r="X6" s="205"/>
      <c r="Y6" s="205"/>
      <c r="AD6">
        <f>GEOMEAN(Q3:Q59)</f>
        <v>0.24084428689020312</v>
      </c>
      <c r="AE6" s="179">
        <f t="shared" si="5"/>
        <v>0.86703943280473117</v>
      </c>
      <c r="AF6" s="179">
        <f>(AE6*24)</f>
        <v>20.808946387313547</v>
      </c>
    </row>
    <row r="7" spans="1:58">
      <c r="A7">
        <v>1</v>
      </c>
      <c r="B7">
        <v>13</v>
      </c>
      <c r="C7" t="s">
        <v>84</v>
      </c>
      <c r="D7" s="10">
        <v>41951</v>
      </c>
      <c r="E7" s="9">
        <v>0.21249999999999999</v>
      </c>
      <c r="F7" s="198">
        <v>40</v>
      </c>
      <c r="G7" s="182">
        <f t="shared" si="0"/>
        <v>0.69813170079773179</v>
      </c>
      <c r="K7" s="198">
        <v>3.43</v>
      </c>
      <c r="L7" s="182">
        <f t="shared" si="1"/>
        <v>3.4300000000000003E-3</v>
      </c>
      <c r="P7">
        <v>3.6</v>
      </c>
      <c r="Q7">
        <v>0.12</v>
      </c>
      <c r="R7" s="179">
        <f t="shared" si="2"/>
        <v>0.43199999999999994</v>
      </c>
      <c r="S7" s="179">
        <f t="shared" si="3"/>
        <v>10.367999999999999</v>
      </c>
      <c r="T7" s="205">
        <f t="shared" si="4"/>
        <v>1.0156949885265181</v>
      </c>
      <c r="U7" s="205"/>
      <c r="V7" s="205"/>
      <c r="W7" s="205"/>
      <c r="X7" s="205"/>
      <c r="Y7" s="205"/>
      <c r="BF7" t="e">
        <f>'Camera detection data BWP'!#REF!=VALUE(BF4/BG4)</f>
        <v>#REF!</v>
      </c>
    </row>
    <row r="8" spans="1:58">
      <c r="A8">
        <v>1</v>
      </c>
      <c r="B8">
        <v>13</v>
      </c>
      <c r="C8" t="s">
        <v>107</v>
      </c>
      <c r="D8" s="10">
        <v>41954</v>
      </c>
      <c r="E8" s="9">
        <v>0.1388888888888889</v>
      </c>
      <c r="F8" s="198">
        <v>20</v>
      </c>
      <c r="G8" s="182">
        <f t="shared" si="0"/>
        <v>0.3490658503988659</v>
      </c>
      <c r="K8" s="198">
        <v>4.9000000000000004</v>
      </c>
      <c r="L8" s="182">
        <f t="shared" si="1"/>
        <v>4.9000000000000007E-3</v>
      </c>
      <c r="P8">
        <v>3.5</v>
      </c>
      <c r="Q8">
        <v>0.11600000000000001</v>
      </c>
      <c r="R8" s="179">
        <f t="shared" si="2"/>
        <v>0.41760000000000003</v>
      </c>
      <c r="S8" s="179">
        <f t="shared" si="3"/>
        <v>10.022400000000001</v>
      </c>
      <c r="T8" s="205">
        <f t="shared" si="4"/>
        <v>1.0009717317058118</v>
      </c>
      <c r="U8" s="205"/>
      <c r="V8" s="205"/>
      <c r="W8" s="205"/>
      <c r="X8" s="205"/>
      <c r="Y8" s="205"/>
    </row>
    <row r="9" spans="1:58">
      <c r="A9">
        <v>1</v>
      </c>
      <c r="B9">
        <v>13</v>
      </c>
      <c r="C9" t="s">
        <v>92</v>
      </c>
      <c r="D9" s="10">
        <v>41954</v>
      </c>
      <c r="E9" s="9">
        <v>0.13958333333333334</v>
      </c>
      <c r="F9" s="198">
        <v>30</v>
      </c>
      <c r="G9" s="182">
        <f t="shared" si="0"/>
        <v>0.52359877559829882</v>
      </c>
      <c r="K9" s="198">
        <v>5.25</v>
      </c>
      <c r="L9" s="182">
        <f t="shared" si="1"/>
        <v>5.2500000000000003E-3</v>
      </c>
      <c r="P9">
        <v>2</v>
      </c>
      <c r="Q9">
        <v>6.7000000000000004E-2</v>
      </c>
      <c r="R9" s="179">
        <f t="shared" si="2"/>
        <v>0.24120000000000003</v>
      </c>
      <c r="S9" s="179">
        <f t="shared" si="3"/>
        <v>5.7888000000000002</v>
      </c>
      <c r="T9" s="205">
        <f t="shared" si="4"/>
        <v>0.76258854517971975</v>
      </c>
      <c r="U9" s="205"/>
      <c r="V9" s="205"/>
      <c r="W9" s="205"/>
      <c r="X9" s="205"/>
      <c r="Y9" s="205"/>
    </row>
    <row r="10" spans="1:58">
      <c r="A10">
        <v>1</v>
      </c>
      <c r="B10">
        <v>22</v>
      </c>
      <c r="C10" t="s">
        <v>110</v>
      </c>
      <c r="D10" s="10">
        <v>41952</v>
      </c>
      <c r="E10" s="9">
        <v>0.80763888888888891</v>
      </c>
      <c r="F10" s="198">
        <v>60</v>
      </c>
      <c r="G10" s="182">
        <f t="shared" si="0"/>
        <v>1.0471975511965976</v>
      </c>
      <c r="K10" s="198">
        <v>3.59</v>
      </c>
      <c r="L10" s="182">
        <f t="shared" si="1"/>
        <v>3.5899999999999999E-3</v>
      </c>
      <c r="P10">
        <v>5.6</v>
      </c>
      <c r="Q10">
        <v>0.187</v>
      </c>
      <c r="R10" s="179">
        <f t="shared" si="2"/>
        <v>0.67320000000000002</v>
      </c>
      <c r="S10" s="179">
        <f t="shared" si="3"/>
        <v>16.1568</v>
      </c>
      <c r="T10" s="205">
        <f t="shared" si="4"/>
        <v>1.2083553490153922</v>
      </c>
      <c r="U10" s="205"/>
      <c r="V10" s="205"/>
      <c r="W10" s="205"/>
      <c r="X10" s="205"/>
      <c r="Y10" s="205"/>
    </row>
    <row r="11" spans="1:58">
      <c r="A11">
        <v>1</v>
      </c>
      <c r="B11">
        <v>22</v>
      </c>
      <c r="C11" t="s">
        <v>114</v>
      </c>
      <c r="D11" s="10">
        <v>41952</v>
      </c>
      <c r="E11" s="9">
        <v>0.80833333333333324</v>
      </c>
      <c r="F11" s="198">
        <v>10</v>
      </c>
      <c r="G11" s="182">
        <f t="shared" si="0"/>
        <v>0.17453292519943295</v>
      </c>
      <c r="K11" s="198">
        <v>5.99</v>
      </c>
      <c r="L11" s="182">
        <f t="shared" si="1"/>
        <v>5.9900000000000005E-3</v>
      </c>
      <c r="P11">
        <v>1.3</v>
      </c>
      <c r="Q11">
        <v>0.26</v>
      </c>
      <c r="R11" s="179">
        <f t="shared" si="2"/>
        <v>0.93600000000000017</v>
      </c>
      <c r="S11" s="179">
        <f t="shared" si="3"/>
        <v>22.464000000000006</v>
      </c>
      <c r="T11" s="205">
        <f t="shared" si="4"/>
        <v>1.3514870904497114</v>
      </c>
      <c r="U11" s="205"/>
      <c r="V11" s="205"/>
      <c r="W11" s="205"/>
      <c r="X11" s="205"/>
      <c r="Y11" s="205"/>
    </row>
    <row r="12" spans="1:58">
      <c r="A12">
        <v>1</v>
      </c>
      <c r="B12">
        <v>22</v>
      </c>
      <c r="C12" t="s">
        <v>111</v>
      </c>
      <c r="D12" s="10">
        <v>41953</v>
      </c>
      <c r="E12" s="9">
        <v>0.85069444444444453</v>
      </c>
      <c r="F12" s="198">
        <v>20</v>
      </c>
      <c r="G12" s="182">
        <f t="shared" si="0"/>
        <v>0.3490658503988659</v>
      </c>
      <c r="K12" s="198">
        <v>5.8</v>
      </c>
      <c r="L12" s="182">
        <f t="shared" si="1"/>
        <v>5.7999999999999996E-3</v>
      </c>
      <c r="P12">
        <v>6</v>
      </c>
      <c r="Q12">
        <v>0.2</v>
      </c>
      <c r="R12" s="179">
        <f t="shared" si="2"/>
        <v>0.72</v>
      </c>
      <c r="S12" s="179">
        <f t="shared" si="3"/>
        <v>17.28</v>
      </c>
      <c r="T12" s="205">
        <f t="shared" si="4"/>
        <v>1.2375437381428744</v>
      </c>
      <c r="U12" s="205"/>
      <c r="V12" s="205"/>
      <c r="W12" s="205"/>
      <c r="X12" s="205"/>
      <c r="Y12" s="205"/>
    </row>
    <row r="13" spans="1:58">
      <c r="A13">
        <v>1</v>
      </c>
      <c r="B13">
        <v>16</v>
      </c>
      <c r="C13" t="s">
        <v>99</v>
      </c>
      <c r="D13" s="10">
        <v>41952</v>
      </c>
      <c r="E13" s="9">
        <v>0.63680555555555551</v>
      </c>
      <c r="F13" s="198">
        <v>40</v>
      </c>
      <c r="G13" s="182">
        <f t="shared" si="0"/>
        <v>0.69813170079773179</v>
      </c>
      <c r="K13" s="198">
        <v>0.8</v>
      </c>
      <c r="L13" s="182">
        <f t="shared" si="1"/>
        <v>8.0000000000000004E-4</v>
      </c>
      <c r="P13">
        <v>10.3</v>
      </c>
      <c r="Q13">
        <v>1.47</v>
      </c>
      <c r="R13" s="179">
        <f t="shared" si="2"/>
        <v>5.2919999999999998</v>
      </c>
      <c r="S13" s="179">
        <f t="shared" si="3"/>
        <v>127.008</v>
      </c>
      <c r="T13" s="205">
        <f t="shared" si="4"/>
        <v>2.1038310772270692</v>
      </c>
      <c r="U13" s="205"/>
      <c r="V13" s="205"/>
      <c r="W13" s="205"/>
      <c r="X13" s="205"/>
      <c r="Y13" s="205"/>
    </row>
    <row r="14" spans="1:58">
      <c r="A14">
        <v>1</v>
      </c>
      <c r="B14">
        <v>16</v>
      </c>
      <c r="C14" t="s">
        <v>100</v>
      </c>
      <c r="D14" s="10">
        <v>41953</v>
      </c>
      <c r="E14" s="9">
        <v>0.15902777777777777</v>
      </c>
      <c r="F14" s="198">
        <v>40</v>
      </c>
      <c r="G14" s="182">
        <f t="shared" si="0"/>
        <v>0.69813170079773179</v>
      </c>
      <c r="K14" s="198">
        <v>0.8</v>
      </c>
      <c r="L14" s="182">
        <f t="shared" si="1"/>
        <v>8.0000000000000004E-4</v>
      </c>
      <c r="P14">
        <v>9.1</v>
      </c>
      <c r="Q14">
        <v>1.82</v>
      </c>
      <c r="R14" s="179">
        <f t="shared" si="2"/>
        <v>6.5519999999999996</v>
      </c>
      <c r="S14" s="179">
        <f t="shared" si="3"/>
        <v>157.24799999999999</v>
      </c>
      <c r="T14" s="205">
        <f t="shared" si="4"/>
        <v>2.1965851304639679</v>
      </c>
      <c r="U14" s="205"/>
      <c r="V14" s="205"/>
      <c r="W14" s="205"/>
      <c r="X14" s="205"/>
      <c r="Y14" s="205"/>
    </row>
    <row r="15" spans="1:58">
      <c r="A15">
        <v>1</v>
      </c>
      <c r="B15">
        <v>18</v>
      </c>
      <c r="C15" t="s">
        <v>92</v>
      </c>
      <c r="D15" s="10">
        <v>41958</v>
      </c>
      <c r="E15" s="9">
        <v>0.10208333333333335</v>
      </c>
      <c r="F15" s="198">
        <v>20</v>
      </c>
      <c r="G15" s="182">
        <f t="shared" si="0"/>
        <v>0.3490658503988659</v>
      </c>
      <c r="K15" s="198">
        <v>5.3</v>
      </c>
      <c r="L15" s="182">
        <f t="shared" si="1"/>
        <v>5.3E-3</v>
      </c>
      <c r="P15">
        <v>1.6</v>
      </c>
      <c r="Q15">
        <v>0.2</v>
      </c>
      <c r="R15" s="179">
        <f t="shared" si="2"/>
        <v>0.72</v>
      </c>
      <c r="S15" s="179">
        <f t="shared" si="3"/>
        <v>17.28</v>
      </c>
      <c r="T15" s="205">
        <f t="shared" si="4"/>
        <v>1.2375437381428744</v>
      </c>
      <c r="U15" s="205"/>
      <c r="V15" s="205"/>
      <c r="W15" s="205"/>
      <c r="X15" s="205"/>
      <c r="Y15" s="205"/>
    </row>
    <row r="16" spans="1:58">
      <c r="A16">
        <v>1</v>
      </c>
      <c r="B16">
        <v>18</v>
      </c>
      <c r="C16" t="s">
        <v>119</v>
      </c>
      <c r="D16" s="10">
        <v>41958</v>
      </c>
      <c r="E16" s="9">
        <v>0.10277777777777779</v>
      </c>
      <c r="F16" s="198">
        <v>30</v>
      </c>
      <c r="G16" s="182">
        <f t="shared" si="0"/>
        <v>0.52359877559829882</v>
      </c>
      <c r="K16" s="198">
        <v>4.9000000000000004</v>
      </c>
      <c r="L16" s="182">
        <f t="shared" si="1"/>
        <v>4.9000000000000007E-3</v>
      </c>
      <c r="P16">
        <v>2.8</v>
      </c>
      <c r="Q16">
        <v>0.2</v>
      </c>
      <c r="R16" s="179">
        <f t="shared" si="2"/>
        <v>0.72</v>
      </c>
      <c r="S16" s="179">
        <f t="shared" si="3"/>
        <v>17.28</v>
      </c>
      <c r="T16" s="205">
        <f t="shared" si="4"/>
        <v>1.2375437381428744</v>
      </c>
      <c r="U16" s="205"/>
      <c r="V16" s="205"/>
      <c r="W16" s="205"/>
      <c r="X16" s="205"/>
      <c r="Y16" s="205"/>
    </row>
    <row r="17" spans="1:32">
      <c r="A17">
        <v>1</v>
      </c>
      <c r="B17">
        <v>19</v>
      </c>
      <c r="C17" t="s">
        <v>101</v>
      </c>
      <c r="D17" s="10">
        <v>41952</v>
      </c>
      <c r="E17" s="9">
        <v>0.8340277777777777</v>
      </c>
      <c r="F17" s="198">
        <v>15</v>
      </c>
      <c r="G17" s="182">
        <f t="shared" si="0"/>
        <v>0.26179938779914941</v>
      </c>
      <c r="K17" s="198">
        <v>3.7</v>
      </c>
      <c r="L17" s="182">
        <f t="shared" si="1"/>
        <v>3.7000000000000002E-3</v>
      </c>
      <c r="P17">
        <v>6.4</v>
      </c>
      <c r="Q17">
        <v>0.57999999999999996</v>
      </c>
      <c r="R17" s="179">
        <f t="shared" si="2"/>
        <v>2.0880000000000001</v>
      </c>
      <c r="S17" s="179">
        <f t="shared" si="3"/>
        <v>50.112000000000002</v>
      </c>
      <c r="T17" s="205">
        <f t="shared" si="4"/>
        <v>1.6999417360418305</v>
      </c>
      <c r="U17" s="205"/>
      <c r="V17" s="205"/>
      <c r="W17" s="205"/>
      <c r="X17" s="205"/>
      <c r="Y17" s="205"/>
    </row>
    <row r="18" spans="1:32">
      <c r="A18">
        <v>1</v>
      </c>
      <c r="B18">
        <v>19</v>
      </c>
      <c r="C18" t="s">
        <v>104</v>
      </c>
      <c r="D18" s="10">
        <v>41958</v>
      </c>
      <c r="E18" s="9">
        <v>0.27013888888888887</v>
      </c>
      <c r="F18" s="198">
        <v>10</v>
      </c>
      <c r="G18" s="182">
        <f t="shared" si="0"/>
        <v>0.17453292519943295</v>
      </c>
      <c r="K18" s="198">
        <v>2</v>
      </c>
      <c r="L18" s="182">
        <f t="shared" si="1"/>
        <v>2E-3</v>
      </c>
      <c r="P18">
        <v>5.3</v>
      </c>
      <c r="Q18">
        <v>0.53</v>
      </c>
      <c r="R18" s="179">
        <f t="shared" si="2"/>
        <v>1.9079999999999999</v>
      </c>
      <c r="S18" s="179">
        <f t="shared" si="3"/>
        <v>45.792000000000002</v>
      </c>
      <c r="T18" s="205">
        <f t="shared" si="4"/>
        <v>1.6607896120796823</v>
      </c>
      <c r="U18" s="205"/>
      <c r="V18" s="205"/>
      <c r="W18" s="205"/>
      <c r="X18" s="205"/>
      <c r="Y18" s="205"/>
    </row>
    <row r="19" spans="1:32">
      <c r="A19">
        <v>1</v>
      </c>
      <c r="B19">
        <v>20</v>
      </c>
      <c r="C19" t="s">
        <v>99</v>
      </c>
      <c r="D19" s="10">
        <v>41952</v>
      </c>
      <c r="E19" s="9">
        <v>0.82916666666666661</v>
      </c>
      <c r="F19" s="198">
        <v>45</v>
      </c>
      <c r="G19" s="182">
        <f t="shared" si="0"/>
        <v>0.78539816339744828</v>
      </c>
      <c r="K19" s="198">
        <v>2.5</v>
      </c>
      <c r="L19" s="182">
        <f t="shared" si="1"/>
        <v>2.5000000000000001E-3</v>
      </c>
      <c r="P19">
        <v>3.7</v>
      </c>
      <c r="Q19">
        <v>0.46</v>
      </c>
      <c r="R19" s="179">
        <f t="shared" si="2"/>
        <v>1.6559999999999999</v>
      </c>
      <c r="S19" s="179">
        <f t="shared" si="3"/>
        <v>39.744</v>
      </c>
      <c r="T19" s="205">
        <f t="shared" si="4"/>
        <v>1.5992715741604673</v>
      </c>
      <c r="U19" s="205"/>
      <c r="V19" s="205"/>
      <c r="W19" s="205"/>
      <c r="X19" s="205"/>
      <c r="Y19" s="205"/>
    </row>
    <row r="20" spans="1:32">
      <c r="A20">
        <v>1</v>
      </c>
      <c r="B20">
        <v>20</v>
      </c>
      <c r="C20" t="s">
        <v>100</v>
      </c>
      <c r="D20" s="10">
        <v>41952</v>
      </c>
      <c r="E20" s="9">
        <v>0.96875</v>
      </c>
      <c r="F20" s="198">
        <v>40</v>
      </c>
      <c r="G20" s="182">
        <f t="shared" si="0"/>
        <v>0.69813170079773179</v>
      </c>
      <c r="K20" s="198">
        <v>1.6</v>
      </c>
      <c r="L20" s="182">
        <f t="shared" si="1"/>
        <v>1.6000000000000001E-3</v>
      </c>
      <c r="P20">
        <v>4.4000000000000004</v>
      </c>
      <c r="Q20">
        <v>0.49</v>
      </c>
      <c r="R20" s="179">
        <f t="shared" si="2"/>
        <v>1.764</v>
      </c>
      <c r="S20" s="179">
        <f t="shared" si="3"/>
        <v>42.335999999999999</v>
      </c>
      <c r="T20" s="205">
        <f t="shared" si="4"/>
        <v>1.626709822507407</v>
      </c>
      <c r="U20" s="205"/>
      <c r="V20" s="205"/>
      <c r="W20" s="205"/>
      <c r="X20" s="205"/>
      <c r="Y20" s="205"/>
    </row>
    <row r="21" spans="1:32">
      <c r="A21">
        <v>1</v>
      </c>
      <c r="B21">
        <v>20</v>
      </c>
      <c r="C21" t="s">
        <v>104</v>
      </c>
      <c r="D21" s="10">
        <v>41953</v>
      </c>
      <c r="E21" s="9">
        <v>0.68888888888888899</v>
      </c>
      <c r="F21" s="198">
        <v>10</v>
      </c>
      <c r="G21" s="182">
        <f t="shared" si="0"/>
        <v>0.17453292519943295</v>
      </c>
      <c r="K21" s="198">
        <v>2.2999999999999998</v>
      </c>
      <c r="L21" s="182">
        <f t="shared" si="1"/>
        <v>2.3E-3</v>
      </c>
      <c r="P21">
        <v>2.4</v>
      </c>
      <c r="Q21">
        <v>0.8</v>
      </c>
      <c r="R21" s="179">
        <f t="shared" si="2"/>
        <v>2.88</v>
      </c>
      <c r="S21" s="179">
        <f t="shared" si="3"/>
        <v>69.12</v>
      </c>
      <c r="T21" s="205">
        <f t="shared" si="4"/>
        <v>1.8396037294708369</v>
      </c>
      <c r="U21" s="205"/>
      <c r="V21" s="205"/>
      <c r="W21" s="205"/>
      <c r="X21" s="205"/>
      <c r="Y21" s="205"/>
    </row>
    <row r="22" spans="1:32">
      <c r="A22">
        <v>2</v>
      </c>
      <c r="B22">
        <v>2</v>
      </c>
      <c r="C22" t="s">
        <v>101</v>
      </c>
      <c r="D22" s="10">
        <v>41964</v>
      </c>
      <c r="E22" s="9">
        <v>0.86388888888888893</v>
      </c>
      <c r="F22" s="198">
        <v>5</v>
      </c>
      <c r="G22" s="182">
        <f t="shared" si="0"/>
        <v>8.7266462599716474E-2</v>
      </c>
      <c r="K22" s="198">
        <v>4</v>
      </c>
      <c r="L22" s="182">
        <f t="shared" si="1"/>
        <v>4.0000000000000001E-3</v>
      </c>
      <c r="P22">
        <v>2.7</v>
      </c>
      <c r="Q22">
        <v>0.09</v>
      </c>
      <c r="R22" s="179">
        <f t="shared" si="2"/>
        <v>0.32399999999999995</v>
      </c>
      <c r="S22" s="179">
        <f t="shared" si="3"/>
        <v>7.7759999999999989</v>
      </c>
      <c r="T22" s="205">
        <f t="shared" si="4"/>
        <v>0.89075625191821806</v>
      </c>
      <c r="U22" s="205"/>
      <c r="V22" s="205"/>
      <c r="W22" s="205"/>
      <c r="X22" s="205"/>
      <c r="Y22" s="205"/>
    </row>
    <row r="23" spans="1:32">
      <c r="A23">
        <v>2</v>
      </c>
      <c r="B23">
        <v>2</v>
      </c>
      <c r="C23" t="s">
        <v>107</v>
      </c>
      <c r="D23" s="10">
        <v>41965</v>
      </c>
      <c r="E23" s="9">
        <v>3.4027777777777775E-2</v>
      </c>
      <c r="F23" s="198">
        <v>10</v>
      </c>
      <c r="G23" s="182">
        <f t="shared" si="0"/>
        <v>0.17453292519943295</v>
      </c>
      <c r="K23" s="198">
        <v>4.5</v>
      </c>
      <c r="L23" s="182">
        <f t="shared" si="1"/>
        <v>4.4999999999999997E-3</v>
      </c>
      <c r="P23">
        <v>3.73</v>
      </c>
      <c r="Q23">
        <v>0.46</v>
      </c>
      <c r="R23" s="179">
        <f t="shared" si="2"/>
        <v>1.6559999999999999</v>
      </c>
      <c r="S23" s="179">
        <f t="shared" si="3"/>
        <v>39.744</v>
      </c>
      <c r="T23" s="205">
        <f t="shared" si="4"/>
        <v>1.5992715741604673</v>
      </c>
      <c r="U23" s="205"/>
      <c r="V23" s="205"/>
      <c r="W23" s="205"/>
      <c r="X23" s="205"/>
      <c r="Y23" s="205"/>
    </row>
    <row r="24" spans="1:32">
      <c r="A24">
        <v>2</v>
      </c>
      <c r="B24">
        <v>8</v>
      </c>
      <c r="C24" t="s">
        <v>84</v>
      </c>
      <c r="D24" s="10">
        <v>41968</v>
      </c>
      <c r="E24" s="9">
        <v>0.5708333333333333</v>
      </c>
      <c r="F24" s="198">
        <v>5</v>
      </c>
      <c r="G24" s="182">
        <f t="shared" si="0"/>
        <v>8.7266462599716474E-2</v>
      </c>
      <c r="K24" s="198">
        <v>5.72</v>
      </c>
      <c r="L24" s="182">
        <f t="shared" si="1"/>
        <v>5.7199999999999994E-3</v>
      </c>
      <c r="P24">
        <v>4.5599999999999996</v>
      </c>
      <c r="Q24">
        <v>0.18</v>
      </c>
      <c r="R24" s="179">
        <f t="shared" si="2"/>
        <v>0.64799999999999991</v>
      </c>
      <c r="S24" s="179">
        <f t="shared" si="3"/>
        <v>15.551999999999998</v>
      </c>
      <c r="T24" s="205">
        <f t="shared" si="4"/>
        <v>1.1917862475821992</v>
      </c>
      <c r="U24" s="205"/>
      <c r="V24" s="205"/>
      <c r="W24" s="205"/>
      <c r="X24" s="205"/>
      <c r="Y24" s="205"/>
    </row>
    <row r="25" spans="1:32">
      <c r="A25">
        <v>2</v>
      </c>
      <c r="B25">
        <v>14</v>
      </c>
      <c r="C25" t="s">
        <v>139</v>
      </c>
      <c r="D25" s="10">
        <v>41969</v>
      </c>
      <c r="E25" s="9">
        <v>0.98263888888888884</v>
      </c>
      <c r="F25" s="198">
        <v>10</v>
      </c>
      <c r="G25" s="182">
        <f t="shared" si="0"/>
        <v>0.17453292519943295</v>
      </c>
      <c r="K25" s="198">
        <v>1.1000000000000001</v>
      </c>
      <c r="L25" s="182">
        <f t="shared" si="1"/>
        <v>1.1000000000000001E-3</v>
      </c>
      <c r="P25">
        <v>0.9</v>
      </c>
      <c r="Q25">
        <v>0.23</v>
      </c>
      <c r="R25" s="179">
        <f t="shared" si="2"/>
        <v>0.82799999999999996</v>
      </c>
      <c r="S25" s="179">
        <f t="shared" si="3"/>
        <v>19.872</v>
      </c>
      <c r="T25" s="205">
        <f t="shared" si="4"/>
        <v>1.2982415784964862</v>
      </c>
      <c r="U25" s="205"/>
      <c r="V25" s="205"/>
      <c r="W25" s="205"/>
      <c r="X25" s="205"/>
      <c r="Y25" s="205"/>
    </row>
    <row r="26" spans="1:32">
      <c r="A26">
        <v>2</v>
      </c>
      <c r="B26">
        <v>14</v>
      </c>
      <c r="C26" t="s">
        <v>108</v>
      </c>
      <c r="D26" s="10">
        <v>41969</v>
      </c>
      <c r="E26" s="9">
        <v>0.98958333333333337</v>
      </c>
      <c r="F26" s="198">
        <v>30</v>
      </c>
      <c r="G26" s="182">
        <f t="shared" si="0"/>
        <v>0.52359877559829882</v>
      </c>
      <c r="K26" s="198">
        <v>1.7</v>
      </c>
      <c r="L26" s="182">
        <f t="shared" si="1"/>
        <v>1.6999999999999999E-3</v>
      </c>
      <c r="P26">
        <v>2.2999999999999998</v>
      </c>
      <c r="Q26">
        <v>0.38</v>
      </c>
      <c r="R26" s="179">
        <f t="shared" si="2"/>
        <v>1.3680000000000001</v>
      </c>
      <c r="S26" s="179">
        <f t="shared" si="3"/>
        <v>32.832000000000001</v>
      </c>
      <c r="T26" s="205">
        <f t="shared" si="4"/>
        <v>1.5162973390957035</v>
      </c>
      <c r="U26" s="205"/>
      <c r="V26" s="205"/>
      <c r="W26" s="205"/>
      <c r="X26" s="205"/>
      <c r="Y26" s="205"/>
    </row>
    <row r="27" spans="1:32">
      <c r="A27">
        <v>2</v>
      </c>
      <c r="B27">
        <v>18</v>
      </c>
      <c r="C27" t="s">
        <v>148</v>
      </c>
      <c r="D27" s="10">
        <v>41965</v>
      </c>
      <c r="E27" s="9">
        <v>0.40347222222222223</v>
      </c>
      <c r="F27" s="198">
        <v>5</v>
      </c>
      <c r="G27" s="182">
        <f t="shared" si="0"/>
        <v>8.7266462599716474E-2</v>
      </c>
      <c r="K27" s="198">
        <v>9.6</v>
      </c>
      <c r="L27" s="182">
        <f t="shared" si="1"/>
        <v>9.5999999999999992E-3</v>
      </c>
      <c r="P27">
        <v>3.8</v>
      </c>
      <c r="Q27">
        <v>0.42</v>
      </c>
      <c r="R27" s="179">
        <f t="shared" si="2"/>
        <v>1.512</v>
      </c>
      <c r="S27" s="179">
        <f t="shared" si="3"/>
        <v>36.287999999999997</v>
      </c>
      <c r="T27" s="205">
        <f t="shared" si="4"/>
        <v>1.5597630328767937</v>
      </c>
      <c r="U27" s="205"/>
      <c r="V27" s="205"/>
      <c r="W27" s="205"/>
      <c r="X27" s="205"/>
      <c r="Y27" s="205"/>
    </row>
    <row r="28" spans="1:32">
      <c r="A28">
        <v>2</v>
      </c>
      <c r="B28">
        <v>18</v>
      </c>
      <c r="C28" t="s">
        <v>150</v>
      </c>
      <c r="D28" s="10">
        <v>41968</v>
      </c>
      <c r="E28" s="9">
        <v>0.87916666666666676</v>
      </c>
      <c r="F28" s="198">
        <v>30</v>
      </c>
      <c r="G28" s="182">
        <f t="shared" si="0"/>
        <v>0.52359877559829882</v>
      </c>
      <c r="K28" s="198">
        <v>5.7</v>
      </c>
      <c r="L28" s="182">
        <f t="shared" si="1"/>
        <v>5.7000000000000002E-3</v>
      </c>
      <c r="P28">
        <v>1.8</v>
      </c>
      <c r="Q28">
        <v>0.36</v>
      </c>
      <c r="R28" s="179">
        <f t="shared" si="2"/>
        <v>1.2959999999999998</v>
      </c>
      <c r="S28" s="179">
        <f t="shared" si="3"/>
        <v>31.103999999999996</v>
      </c>
      <c r="T28" s="205">
        <f t="shared" si="4"/>
        <v>1.4928162432461805</v>
      </c>
      <c r="U28" s="205"/>
      <c r="V28" s="205"/>
      <c r="W28" s="205"/>
      <c r="X28" s="205"/>
      <c r="Y28" s="205"/>
    </row>
    <row r="29" spans="1:32">
      <c r="A29">
        <v>2</v>
      </c>
      <c r="B29">
        <v>18</v>
      </c>
      <c r="C29" t="s">
        <v>152</v>
      </c>
      <c r="D29" s="10">
        <v>41970</v>
      </c>
      <c r="E29" s="9">
        <v>0.74513888888888891</v>
      </c>
      <c r="F29" s="198">
        <v>15</v>
      </c>
      <c r="G29" s="182">
        <f t="shared" si="0"/>
        <v>0.26179938779914941</v>
      </c>
      <c r="K29" s="198">
        <v>3.4</v>
      </c>
      <c r="L29" s="182">
        <f t="shared" si="1"/>
        <v>3.3999999999999998E-3</v>
      </c>
      <c r="P29">
        <v>0.3</v>
      </c>
      <c r="Q29">
        <v>0.03</v>
      </c>
      <c r="R29" s="179">
        <f t="shared" si="2"/>
        <v>0.10799999999999998</v>
      </c>
      <c r="S29" s="179">
        <f t="shared" si="3"/>
        <v>2.5919999999999996</v>
      </c>
      <c r="T29" s="205">
        <f t="shared" si="4"/>
        <v>0.41363499719855568</v>
      </c>
      <c r="U29" s="205"/>
      <c r="V29" s="205"/>
      <c r="W29" s="205"/>
      <c r="X29" s="205"/>
      <c r="Y29" s="205"/>
    </row>
    <row r="30" spans="1:32">
      <c r="A30">
        <v>2</v>
      </c>
      <c r="B30">
        <v>19</v>
      </c>
      <c r="C30" t="s">
        <v>154</v>
      </c>
      <c r="D30" s="10">
        <v>41966</v>
      </c>
      <c r="E30" s="9">
        <v>0.79236111111111107</v>
      </c>
      <c r="F30" s="198">
        <v>0</v>
      </c>
      <c r="G30" s="182">
        <f t="shared" si="0"/>
        <v>0</v>
      </c>
      <c r="K30" s="198">
        <v>2.5</v>
      </c>
      <c r="L30" s="182">
        <f t="shared" si="1"/>
        <v>2.5000000000000001E-3</v>
      </c>
      <c r="P30">
        <v>0.9</v>
      </c>
      <c r="Q30">
        <v>0.9</v>
      </c>
      <c r="R30" s="179">
        <f t="shared" si="2"/>
        <v>3.24</v>
      </c>
      <c r="S30" s="179">
        <f t="shared" si="3"/>
        <v>77.760000000000005</v>
      </c>
      <c r="T30" s="205">
        <f t="shared" si="4"/>
        <v>1.8907562519182182</v>
      </c>
      <c r="U30" s="205"/>
      <c r="V30" s="205"/>
      <c r="W30" s="205"/>
      <c r="X30" s="205"/>
      <c r="Y30" s="205"/>
    </row>
    <row r="31" spans="1:32">
      <c r="A31">
        <v>3</v>
      </c>
      <c r="B31">
        <v>3</v>
      </c>
      <c r="C31" s="18" t="s">
        <v>192</v>
      </c>
      <c r="D31" s="26">
        <v>41979</v>
      </c>
      <c r="E31" s="27">
        <v>0.73402777777777783</v>
      </c>
      <c r="F31" s="198">
        <v>0</v>
      </c>
      <c r="G31" s="182">
        <f t="shared" si="0"/>
        <v>0</v>
      </c>
      <c r="H31" s="25"/>
      <c r="I31" s="25"/>
      <c r="J31" s="201"/>
      <c r="K31" s="198">
        <v>1.8</v>
      </c>
      <c r="L31" s="182">
        <f t="shared" si="1"/>
        <v>1.8E-3</v>
      </c>
      <c r="M31" s="25"/>
      <c r="N31" s="25"/>
      <c r="O31" s="201"/>
      <c r="P31" s="18">
        <v>4.0999999999999996</v>
      </c>
      <c r="Q31" s="18">
        <v>0.34</v>
      </c>
      <c r="R31" s="179">
        <f t="shared" si="2"/>
        <v>1.2240000000000002</v>
      </c>
      <c r="S31" s="179">
        <f t="shared" si="3"/>
        <v>29.376000000000005</v>
      </c>
      <c r="T31" s="205">
        <f t="shared" si="4"/>
        <v>1.4679926595211485</v>
      </c>
      <c r="U31" s="205"/>
      <c r="V31" s="205"/>
      <c r="W31" s="205"/>
      <c r="X31" s="205"/>
      <c r="Y31" s="205"/>
      <c r="AE31"/>
      <c r="AF31"/>
    </row>
    <row r="32" spans="1:32">
      <c r="A32">
        <v>3</v>
      </c>
      <c r="B32">
        <v>3</v>
      </c>
      <c r="C32" s="18" t="s">
        <v>194</v>
      </c>
      <c r="D32" s="26">
        <v>41979</v>
      </c>
      <c r="E32" s="27">
        <v>0.85416666666666663</v>
      </c>
      <c r="F32" s="200">
        <v>30</v>
      </c>
      <c r="G32" s="182">
        <f t="shared" si="0"/>
        <v>0.52359877559829882</v>
      </c>
      <c r="H32" s="25"/>
      <c r="I32" s="25"/>
      <c r="J32" s="201"/>
      <c r="K32" s="200">
        <v>3.4</v>
      </c>
      <c r="L32" s="182">
        <f t="shared" si="1"/>
        <v>3.3999999999999998E-3</v>
      </c>
      <c r="M32" s="25"/>
      <c r="N32" s="25"/>
      <c r="O32" s="201"/>
      <c r="P32" s="18">
        <v>5.6</v>
      </c>
      <c r="Q32" s="18">
        <v>0.51</v>
      </c>
      <c r="R32" s="179">
        <f t="shared" si="2"/>
        <v>1.8360000000000001</v>
      </c>
      <c r="S32" s="179">
        <f t="shared" si="3"/>
        <v>44.064</v>
      </c>
      <c r="T32" s="205">
        <f t="shared" si="4"/>
        <v>1.6440839185768297</v>
      </c>
      <c r="U32" s="205"/>
      <c r="V32" s="205"/>
      <c r="W32" s="205"/>
      <c r="X32" s="205"/>
      <c r="Y32" s="205"/>
      <c r="AE32"/>
      <c r="AF32"/>
    </row>
    <row r="33" spans="1:32">
      <c r="A33">
        <v>3</v>
      </c>
      <c r="B33">
        <v>3</v>
      </c>
      <c r="C33" s="18" t="s">
        <v>196</v>
      </c>
      <c r="D33" s="26">
        <v>41980</v>
      </c>
      <c r="E33" s="27">
        <v>0.80555555555555547</v>
      </c>
      <c r="F33" s="200">
        <v>35</v>
      </c>
      <c r="G33" s="182">
        <f t="shared" si="0"/>
        <v>0.6108652381980153</v>
      </c>
      <c r="H33" s="25"/>
      <c r="I33" s="25"/>
      <c r="J33" s="201"/>
      <c r="K33" s="200">
        <v>1</v>
      </c>
      <c r="L33" s="182">
        <f t="shared" si="1"/>
        <v>1E-3</v>
      </c>
      <c r="M33" s="25"/>
      <c r="N33" s="25"/>
      <c r="O33" s="201"/>
      <c r="P33" s="25">
        <v>4.5999999999999996</v>
      </c>
      <c r="Q33" s="25">
        <v>0.26</v>
      </c>
      <c r="R33" s="179">
        <f t="shared" si="2"/>
        <v>0.93600000000000017</v>
      </c>
      <c r="S33" s="179">
        <f t="shared" si="3"/>
        <v>22.464000000000006</v>
      </c>
      <c r="T33" s="205">
        <f t="shared" si="4"/>
        <v>1.3514870904497114</v>
      </c>
      <c r="U33" s="205"/>
      <c r="V33" s="205"/>
      <c r="W33" s="205"/>
      <c r="X33" s="205"/>
      <c r="Y33" s="205"/>
      <c r="AE33"/>
      <c r="AF33"/>
    </row>
    <row r="34" spans="1:32">
      <c r="A34">
        <v>3</v>
      </c>
      <c r="B34">
        <v>4</v>
      </c>
      <c r="C34" s="18" t="s">
        <v>195</v>
      </c>
      <c r="D34" s="26">
        <v>41977</v>
      </c>
      <c r="E34" s="27">
        <v>0.76388888888888884</v>
      </c>
      <c r="F34" s="200">
        <v>10</v>
      </c>
      <c r="G34" s="182">
        <f t="shared" si="0"/>
        <v>0.17453292519943295</v>
      </c>
      <c r="H34" s="25"/>
      <c r="I34" s="25"/>
      <c r="J34" s="201"/>
      <c r="K34" s="200">
        <v>4.5999999999999996</v>
      </c>
      <c r="L34" s="182">
        <f t="shared" si="1"/>
        <v>4.5999999999999999E-3</v>
      </c>
      <c r="M34" s="25"/>
      <c r="N34" s="25"/>
      <c r="O34" s="201"/>
      <c r="P34" s="25">
        <v>5.4</v>
      </c>
      <c r="Q34" s="25">
        <v>0.22</v>
      </c>
      <c r="R34" s="179">
        <f t="shared" si="2"/>
        <v>0.79200000000000004</v>
      </c>
      <c r="S34" s="179">
        <f t="shared" si="3"/>
        <v>19.008000000000003</v>
      </c>
      <c r="T34" s="205">
        <f t="shared" si="4"/>
        <v>1.2789364233010996</v>
      </c>
      <c r="U34" s="205"/>
      <c r="V34" s="205"/>
      <c r="W34" s="205"/>
      <c r="X34" s="205"/>
      <c r="Y34" s="205"/>
    </row>
    <row r="35" spans="1:32">
      <c r="A35">
        <v>3</v>
      </c>
      <c r="B35">
        <v>4</v>
      </c>
      <c r="C35" s="18" t="s">
        <v>193</v>
      </c>
      <c r="D35" s="26">
        <v>41978</v>
      </c>
      <c r="E35" s="27">
        <v>0.18124999999999999</v>
      </c>
      <c r="F35" s="200">
        <v>5</v>
      </c>
      <c r="G35" s="182">
        <f t="shared" si="0"/>
        <v>8.7266462599716474E-2</v>
      </c>
      <c r="H35" s="25"/>
      <c r="I35" s="25"/>
      <c r="J35" s="201"/>
      <c r="K35" s="200">
        <v>2.23</v>
      </c>
      <c r="L35" s="182">
        <f t="shared" si="1"/>
        <v>2.2299999999999998E-3</v>
      </c>
      <c r="M35" s="25"/>
      <c r="N35" s="25"/>
      <c r="O35" s="201"/>
      <c r="P35" s="25">
        <v>4.5</v>
      </c>
      <c r="Q35" s="25">
        <v>0.38</v>
      </c>
      <c r="R35" s="179">
        <f t="shared" si="2"/>
        <v>1.3680000000000001</v>
      </c>
      <c r="S35" s="179">
        <f t="shared" si="3"/>
        <v>32.832000000000001</v>
      </c>
      <c r="T35" s="205">
        <f t="shared" si="4"/>
        <v>1.5162973390957035</v>
      </c>
      <c r="U35" s="205"/>
      <c r="V35" s="205"/>
      <c r="W35" s="205"/>
      <c r="X35" s="205"/>
      <c r="Y35" s="205"/>
    </row>
    <row r="36" spans="1:32">
      <c r="A36">
        <v>3</v>
      </c>
      <c r="B36">
        <v>6</v>
      </c>
      <c r="C36" s="18" t="s">
        <v>193</v>
      </c>
      <c r="D36" s="26">
        <v>41979</v>
      </c>
      <c r="E36" s="9">
        <v>0.21666666666666667</v>
      </c>
      <c r="F36" s="200">
        <v>35</v>
      </c>
      <c r="G36" s="182">
        <f t="shared" si="0"/>
        <v>0.6108652381980153</v>
      </c>
      <c r="H36" s="25"/>
      <c r="I36" s="25"/>
      <c r="J36" s="201"/>
      <c r="K36" s="200">
        <v>4.66</v>
      </c>
      <c r="L36" s="182">
        <f t="shared" si="1"/>
        <v>4.6600000000000001E-3</v>
      </c>
      <c r="M36" s="25"/>
      <c r="N36" s="25"/>
      <c r="O36" s="201"/>
      <c r="P36" s="25">
        <v>5</v>
      </c>
      <c r="Q36" s="25">
        <v>0.06</v>
      </c>
      <c r="R36" s="179">
        <f t="shared" si="2"/>
        <v>0.21599999999999997</v>
      </c>
      <c r="S36" s="179">
        <f t="shared" si="3"/>
        <v>5.1839999999999993</v>
      </c>
      <c r="T36" s="205">
        <f t="shared" si="4"/>
        <v>0.71466499286253682</v>
      </c>
      <c r="U36" s="205"/>
      <c r="V36" s="205"/>
      <c r="W36" s="205"/>
      <c r="X36" s="205"/>
      <c r="Y36" s="205"/>
    </row>
    <row r="37" spans="1:32">
      <c r="A37">
        <v>3</v>
      </c>
      <c r="B37">
        <v>10</v>
      </c>
      <c r="C37" s="25" t="s">
        <v>195</v>
      </c>
      <c r="D37" s="26">
        <v>41985</v>
      </c>
      <c r="E37" s="27">
        <v>0.17500000000000002</v>
      </c>
      <c r="F37" s="200">
        <v>30</v>
      </c>
      <c r="G37" s="182">
        <f t="shared" si="0"/>
        <v>0.52359877559829882</v>
      </c>
      <c r="H37" s="25"/>
      <c r="I37" s="25"/>
      <c r="J37" s="201"/>
      <c r="K37" s="200">
        <v>1.9</v>
      </c>
      <c r="L37" s="182">
        <f t="shared" si="1"/>
        <v>1.9E-3</v>
      </c>
      <c r="M37" s="25"/>
      <c r="N37" s="25"/>
      <c r="O37" s="201"/>
      <c r="P37" s="25">
        <v>3.6</v>
      </c>
      <c r="Q37" s="25">
        <v>0.17</v>
      </c>
      <c r="R37" s="179">
        <f t="shared" si="2"/>
        <v>0.6120000000000001</v>
      </c>
      <c r="S37" s="179">
        <f t="shared" si="3"/>
        <v>14.688000000000002</v>
      </c>
      <c r="T37" s="205">
        <f t="shared" si="4"/>
        <v>1.1669626638571673</v>
      </c>
      <c r="U37" s="205"/>
      <c r="V37" s="205"/>
      <c r="W37" s="205"/>
      <c r="X37" s="205"/>
      <c r="Y37" s="205"/>
    </row>
    <row r="38" spans="1:32">
      <c r="A38">
        <v>3</v>
      </c>
      <c r="B38">
        <v>19</v>
      </c>
      <c r="C38" s="18" t="s">
        <v>191</v>
      </c>
      <c r="D38" s="26">
        <v>41982</v>
      </c>
      <c r="E38" s="27">
        <v>0.93958333333333333</v>
      </c>
      <c r="F38" s="200">
        <v>30</v>
      </c>
      <c r="G38" s="182">
        <f t="shared" si="0"/>
        <v>0.52359877559829882</v>
      </c>
      <c r="H38" s="25"/>
      <c r="I38" s="25"/>
      <c r="J38" s="201"/>
      <c r="K38" s="200">
        <v>1.9</v>
      </c>
      <c r="L38" s="182">
        <f t="shared" si="1"/>
        <v>1.9E-3</v>
      </c>
      <c r="M38" s="25"/>
      <c r="N38" s="25"/>
      <c r="O38" s="201"/>
      <c r="P38" s="25">
        <v>6.37</v>
      </c>
      <c r="Q38" s="25">
        <v>0.64</v>
      </c>
      <c r="R38" s="179">
        <f t="shared" si="2"/>
        <v>2.3039999999999998</v>
      </c>
      <c r="S38" s="179">
        <f t="shared" si="3"/>
        <v>55.295999999999992</v>
      </c>
      <c r="T38" s="205">
        <f t="shared" si="4"/>
        <v>1.7426937164627805</v>
      </c>
      <c r="U38" s="205"/>
      <c r="V38" s="205"/>
      <c r="W38" s="205"/>
      <c r="X38" s="205"/>
      <c r="Y38" s="205"/>
    </row>
    <row r="39" spans="1:32">
      <c r="A39">
        <v>3</v>
      </c>
      <c r="B39">
        <v>19</v>
      </c>
      <c r="C39" s="18" t="s">
        <v>192</v>
      </c>
      <c r="D39" s="26">
        <v>41985</v>
      </c>
      <c r="E39" s="27">
        <v>3.472222222222222E-3</v>
      </c>
      <c r="F39" s="200">
        <v>20</v>
      </c>
      <c r="G39" s="182">
        <f t="shared" si="0"/>
        <v>0.3490658503988659</v>
      </c>
      <c r="H39" s="25"/>
      <c r="I39" s="25"/>
      <c r="J39" s="201"/>
      <c r="K39" s="200">
        <v>3.6</v>
      </c>
      <c r="L39" s="182">
        <f t="shared" si="1"/>
        <v>3.5999999999999999E-3</v>
      </c>
      <c r="M39" s="25"/>
      <c r="N39" s="25"/>
      <c r="O39" s="201"/>
      <c r="P39" s="25">
        <v>3.1</v>
      </c>
      <c r="Q39" s="25">
        <v>0.52</v>
      </c>
      <c r="R39" s="179">
        <f t="shared" si="2"/>
        <v>1.8720000000000003</v>
      </c>
      <c r="S39" s="179">
        <f t="shared" si="3"/>
        <v>44.928000000000011</v>
      </c>
      <c r="T39" s="205">
        <f t="shared" si="4"/>
        <v>1.6525170861136926</v>
      </c>
      <c r="U39" s="205"/>
      <c r="V39" s="205"/>
      <c r="W39" s="205"/>
      <c r="X39" s="205"/>
      <c r="Y39" s="205"/>
    </row>
    <row r="40" spans="1:32">
      <c r="A40">
        <v>4</v>
      </c>
      <c r="B40">
        <v>3</v>
      </c>
      <c r="C40" s="140" t="s">
        <v>298</v>
      </c>
      <c r="D40" s="147">
        <v>41994</v>
      </c>
      <c r="E40" s="148">
        <v>0.35555555555555557</v>
      </c>
      <c r="F40" s="200">
        <v>10</v>
      </c>
      <c r="G40" s="182">
        <f t="shared" si="0"/>
        <v>0.17453292519943295</v>
      </c>
      <c r="H40" s="141"/>
      <c r="I40" s="141"/>
      <c r="J40" s="203"/>
      <c r="K40" s="200">
        <v>4.24</v>
      </c>
      <c r="L40" s="182">
        <f t="shared" si="1"/>
        <v>4.2399999999999998E-3</v>
      </c>
      <c r="M40" s="141"/>
      <c r="N40" s="141"/>
      <c r="O40" s="203"/>
      <c r="P40" s="141">
        <v>6</v>
      </c>
      <c r="Q40" s="151">
        <v>0.4</v>
      </c>
      <c r="R40" s="179">
        <f t="shared" si="2"/>
        <v>1.44</v>
      </c>
      <c r="S40" s="179">
        <f t="shared" si="3"/>
        <v>34.56</v>
      </c>
      <c r="T40" s="205">
        <f t="shared" si="4"/>
        <v>1.5385737338068557</v>
      </c>
      <c r="U40" s="205"/>
      <c r="V40" s="205"/>
      <c r="W40" s="205"/>
      <c r="X40" s="205"/>
      <c r="Y40" s="205"/>
    </row>
    <row r="41" spans="1:32">
      <c r="A41">
        <v>4</v>
      </c>
      <c r="B41">
        <v>4</v>
      </c>
      <c r="C41" s="140" t="s">
        <v>119</v>
      </c>
      <c r="D41" s="147">
        <v>41990</v>
      </c>
      <c r="E41" s="148">
        <v>0.59513888888888888</v>
      </c>
      <c r="F41" s="200">
        <v>40</v>
      </c>
      <c r="G41" s="182">
        <f t="shared" si="0"/>
        <v>0.69813170079773179</v>
      </c>
      <c r="H41" s="141"/>
      <c r="I41" s="141"/>
      <c r="J41" s="203"/>
      <c r="K41" s="200">
        <v>5.2</v>
      </c>
      <c r="L41" s="182">
        <f t="shared" si="1"/>
        <v>5.1999999999999998E-3</v>
      </c>
      <c r="M41" s="141"/>
      <c r="N41" s="141"/>
      <c r="O41" s="203"/>
      <c r="P41" s="141">
        <v>2.5</v>
      </c>
      <c r="Q41" s="151">
        <v>0.12</v>
      </c>
      <c r="R41" s="179">
        <f t="shared" si="2"/>
        <v>0.43199999999999994</v>
      </c>
      <c r="S41" s="179">
        <f t="shared" si="3"/>
        <v>10.367999999999999</v>
      </c>
      <c r="T41" s="205">
        <f t="shared" si="4"/>
        <v>1.0156949885265181</v>
      </c>
      <c r="U41" s="205"/>
      <c r="V41" s="205"/>
      <c r="W41" s="205"/>
      <c r="X41" s="205"/>
      <c r="Y41" s="205"/>
    </row>
    <row r="42" spans="1:32">
      <c r="A42">
        <v>4</v>
      </c>
      <c r="B42">
        <v>4</v>
      </c>
      <c r="C42" s="140" t="s">
        <v>297</v>
      </c>
      <c r="D42" s="147">
        <v>41991</v>
      </c>
      <c r="E42" s="148">
        <v>0.39513888888888887</v>
      </c>
      <c r="F42" s="200">
        <v>5</v>
      </c>
      <c r="G42" s="182">
        <f t="shared" si="0"/>
        <v>8.7266462599716474E-2</v>
      </c>
      <c r="H42" s="141"/>
      <c r="I42" s="141"/>
      <c r="J42" s="203"/>
      <c r="K42" s="200">
        <v>5.7</v>
      </c>
      <c r="L42" s="182">
        <f t="shared" si="1"/>
        <v>5.7000000000000002E-3</v>
      </c>
      <c r="M42" s="141"/>
      <c r="N42" s="141"/>
      <c r="O42" s="203"/>
      <c r="P42" s="141">
        <v>3</v>
      </c>
      <c r="Q42" s="151">
        <v>0.2</v>
      </c>
      <c r="R42" s="179">
        <f t="shared" si="2"/>
        <v>0.72</v>
      </c>
      <c r="S42" s="179">
        <f t="shared" si="3"/>
        <v>17.28</v>
      </c>
      <c r="T42" s="205">
        <f t="shared" si="4"/>
        <v>1.2375437381428744</v>
      </c>
      <c r="U42" s="205"/>
      <c r="V42" s="205"/>
      <c r="W42" s="205"/>
      <c r="X42" s="205"/>
      <c r="Y42" s="205"/>
    </row>
    <row r="43" spans="1:32">
      <c r="A43">
        <v>4</v>
      </c>
      <c r="B43">
        <v>8</v>
      </c>
      <c r="C43" s="140" t="s">
        <v>118</v>
      </c>
      <c r="D43" s="147">
        <v>41991</v>
      </c>
      <c r="E43" s="148">
        <v>0.86111111111111116</v>
      </c>
      <c r="F43" s="202">
        <v>15</v>
      </c>
      <c r="G43" s="182">
        <f t="shared" si="0"/>
        <v>0.26179938779914941</v>
      </c>
      <c r="H43" s="141"/>
      <c r="I43" s="141"/>
      <c r="J43" s="203"/>
      <c r="K43" s="202">
        <v>14.2</v>
      </c>
      <c r="L43" s="182">
        <f t="shared" si="1"/>
        <v>1.4199999999999999E-2</v>
      </c>
      <c r="M43" s="141"/>
      <c r="N43" s="141"/>
      <c r="O43" s="203"/>
      <c r="P43" s="141">
        <v>0.7</v>
      </c>
      <c r="Q43" s="146">
        <v>2.3333333333333331E-2</v>
      </c>
      <c r="R43" s="179">
        <f t="shared" si="2"/>
        <v>8.4000000000000005E-2</v>
      </c>
      <c r="S43" s="179">
        <f t="shared" si="3"/>
        <v>2.016</v>
      </c>
      <c r="T43" s="205">
        <f t="shared" si="4"/>
        <v>0.30449052777348767</v>
      </c>
      <c r="U43" s="205"/>
      <c r="V43" s="205"/>
      <c r="W43" s="205"/>
      <c r="X43" s="205"/>
      <c r="Y43" s="205"/>
    </row>
    <row r="44" spans="1:32">
      <c r="A44">
        <v>4</v>
      </c>
      <c r="B44">
        <v>8</v>
      </c>
      <c r="C44" s="140" t="s">
        <v>139</v>
      </c>
      <c r="D44" s="147">
        <v>41993</v>
      </c>
      <c r="E44" s="148">
        <v>0.70486111111111116</v>
      </c>
      <c r="F44" s="202">
        <v>5</v>
      </c>
      <c r="G44" s="182">
        <f t="shared" si="0"/>
        <v>8.7266462599716474E-2</v>
      </c>
      <c r="H44" s="141"/>
      <c r="I44" s="141"/>
      <c r="J44" s="203"/>
      <c r="K44" s="202">
        <v>3.3</v>
      </c>
      <c r="L44" s="182">
        <f t="shared" si="1"/>
        <v>3.3E-3</v>
      </c>
      <c r="M44" s="141"/>
      <c r="N44" s="141"/>
      <c r="O44" s="203"/>
      <c r="P44" s="141">
        <v>3.2</v>
      </c>
      <c r="Q44" s="146">
        <v>0.10666666666666667</v>
      </c>
      <c r="R44" s="179">
        <f t="shared" si="2"/>
        <v>0.38400000000000001</v>
      </c>
      <c r="S44" s="179">
        <f t="shared" si="3"/>
        <v>9.2160000000000011</v>
      </c>
      <c r="T44" s="205">
        <f t="shared" si="4"/>
        <v>0.96454246607913685</v>
      </c>
      <c r="U44" s="205"/>
      <c r="V44" s="205"/>
      <c r="W44" s="205"/>
      <c r="X44" s="205"/>
      <c r="Y44" s="205"/>
    </row>
    <row r="45" spans="1:32">
      <c r="A45">
        <v>4</v>
      </c>
      <c r="B45">
        <v>10</v>
      </c>
      <c r="C45" s="140" t="s">
        <v>101</v>
      </c>
      <c r="D45" s="147">
        <v>41991</v>
      </c>
      <c r="E45" s="148">
        <v>0.26944444444444443</v>
      </c>
      <c r="F45" s="202">
        <v>10</v>
      </c>
      <c r="G45" s="182">
        <f t="shared" si="0"/>
        <v>0.17453292519943295</v>
      </c>
      <c r="H45" s="141"/>
      <c r="I45" s="141"/>
      <c r="J45" s="203"/>
      <c r="K45" s="202">
        <v>2.6</v>
      </c>
      <c r="L45" s="182">
        <f t="shared" si="1"/>
        <v>2.5999999999999999E-3</v>
      </c>
      <c r="M45" s="141"/>
      <c r="N45" s="141"/>
      <c r="O45" s="203"/>
      <c r="P45" s="141">
        <v>5.5</v>
      </c>
      <c r="Q45" s="146">
        <v>0.18</v>
      </c>
      <c r="R45" s="179">
        <f t="shared" si="2"/>
        <v>0.64799999999999991</v>
      </c>
      <c r="S45" s="179">
        <f t="shared" si="3"/>
        <v>15.551999999999998</v>
      </c>
      <c r="T45" s="205">
        <f t="shared" si="4"/>
        <v>1.1917862475821992</v>
      </c>
      <c r="U45" s="205"/>
      <c r="V45" s="205"/>
      <c r="W45" s="205"/>
      <c r="X45" s="205"/>
      <c r="Y45" s="205"/>
    </row>
    <row r="46" spans="1:32">
      <c r="A46">
        <v>4</v>
      </c>
      <c r="B46">
        <v>15</v>
      </c>
      <c r="C46" s="140" t="s">
        <v>100</v>
      </c>
      <c r="D46" s="147">
        <v>41992</v>
      </c>
      <c r="E46" s="148">
        <v>0.76180555555555562</v>
      </c>
      <c r="F46" s="202">
        <v>5</v>
      </c>
      <c r="G46" s="182">
        <f t="shared" si="0"/>
        <v>8.7266462599716474E-2</v>
      </c>
      <c r="H46" s="141"/>
      <c r="I46" s="141"/>
      <c r="J46" s="203"/>
      <c r="K46" s="202">
        <v>4.3</v>
      </c>
      <c r="L46" s="182">
        <f t="shared" si="1"/>
        <v>4.3E-3</v>
      </c>
      <c r="M46" s="141"/>
      <c r="N46" s="141"/>
      <c r="O46" s="203"/>
      <c r="P46" s="141">
        <v>2.1</v>
      </c>
      <c r="Q46" s="146">
        <v>0.15</v>
      </c>
      <c r="R46" s="179">
        <f t="shared" si="2"/>
        <v>0.54</v>
      </c>
      <c r="S46" s="179">
        <f t="shared" si="3"/>
        <v>12.96</v>
      </c>
      <c r="T46" s="205">
        <f t="shared" si="4"/>
        <v>1.1126050015345745</v>
      </c>
      <c r="U46" s="205"/>
      <c r="V46" s="205"/>
      <c r="W46" s="205"/>
      <c r="X46" s="205"/>
      <c r="Y46" s="205"/>
    </row>
    <row r="47" spans="1:32">
      <c r="A47">
        <v>4</v>
      </c>
      <c r="B47">
        <v>15</v>
      </c>
      <c r="C47" s="140" t="s">
        <v>101</v>
      </c>
      <c r="D47" s="147">
        <v>41993</v>
      </c>
      <c r="E47" s="148">
        <v>4.5833333333333337E-2</v>
      </c>
      <c r="F47" s="202">
        <v>5</v>
      </c>
      <c r="G47" s="182">
        <f t="shared" si="0"/>
        <v>8.7266462599716474E-2</v>
      </c>
      <c r="H47" s="141"/>
      <c r="I47" s="141"/>
      <c r="J47" s="203"/>
      <c r="K47" s="202">
        <v>2.2999999999999998</v>
      </c>
      <c r="L47" s="182">
        <f t="shared" si="1"/>
        <v>2.3E-3</v>
      </c>
      <c r="M47" s="141"/>
      <c r="N47" s="141"/>
      <c r="O47" s="203"/>
      <c r="P47" s="141">
        <v>5.2</v>
      </c>
      <c r="Q47" s="146">
        <v>0.47272727272727272</v>
      </c>
      <c r="R47" s="179">
        <f t="shared" si="2"/>
        <v>1.7018181818181817</v>
      </c>
      <c r="S47" s="179">
        <f t="shared" si="3"/>
        <v>40.843636363636364</v>
      </c>
      <c r="T47" s="205">
        <f t="shared" si="4"/>
        <v>1.6111244009554675</v>
      </c>
      <c r="U47" s="205"/>
      <c r="V47" s="205"/>
      <c r="W47" s="205"/>
      <c r="X47" s="205"/>
      <c r="Y47" s="205"/>
    </row>
    <row r="48" spans="1:32">
      <c r="A48">
        <v>4</v>
      </c>
      <c r="B48">
        <v>16</v>
      </c>
      <c r="C48" s="140" t="s">
        <v>100</v>
      </c>
      <c r="D48" s="147">
        <v>41994</v>
      </c>
      <c r="E48" s="148">
        <v>0.10555555555555556</v>
      </c>
      <c r="F48" s="202">
        <v>0</v>
      </c>
      <c r="G48" s="182">
        <f t="shared" si="0"/>
        <v>0</v>
      </c>
      <c r="H48" s="141"/>
      <c r="I48" s="141"/>
      <c r="J48" s="203"/>
      <c r="K48" s="202">
        <v>3.1</v>
      </c>
      <c r="L48" s="182">
        <f t="shared" si="1"/>
        <v>3.0999999999999999E-3</v>
      </c>
      <c r="M48" s="141"/>
      <c r="N48" s="141"/>
      <c r="O48" s="203"/>
      <c r="P48" s="141">
        <v>2</v>
      </c>
      <c r="Q48" s="146">
        <v>0.66666666666666663</v>
      </c>
      <c r="R48" s="179">
        <f t="shared" si="2"/>
        <v>2.4</v>
      </c>
      <c r="S48" s="179">
        <f t="shared" si="3"/>
        <v>57.599999999999994</v>
      </c>
      <c r="T48" s="205">
        <f t="shared" si="4"/>
        <v>1.7604224834232121</v>
      </c>
      <c r="U48" s="205"/>
      <c r="V48" s="205"/>
      <c r="W48" s="205"/>
      <c r="X48" s="205"/>
      <c r="Y48" s="205"/>
    </row>
    <row r="49" spans="1:25">
      <c r="A49">
        <v>4</v>
      </c>
      <c r="B49">
        <v>17</v>
      </c>
      <c r="C49" s="140" t="s">
        <v>100</v>
      </c>
      <c r="D49" s="147">
        <v>41994</v>
      </c>
      <c r="E49" s="148">
        <v>0.4375</v>
      </c>
      <c r="F49" s="202">
        <v>15</v>
      </c>
      <c r="G49" s="182">
        <f t="shared" si="0"/>
        <v>0.26179938779914941</v>
      </c>
      <c r="H49" s="141"/>
      <c r="I49" s="141"/>
      <c r="J49" s="203"/>
      <c r="K49" s="202">
        <v>1.98</v>
      </c>
      <c r="L49" s="182">
        <f t="shared" si="1"/>
        <v>1.98E-3</v>
      </c>
      <c r="M49" s="141"/>
      <c r="N49" s="141"/>
      <c r="O49" s="203"/>
      <c r="P49" s="141">
        <v>2</v>
      </c>
      <c r="Q49" s="146">
        <v>0.66666666666666663</v>
      </c>
      <c r="R49" s="179">
        <f t="shared" si="2"/>
        <v>2.4</v>
      </c>
      <c r="S49" s="179">
        <f t="shared" si="3"/>
        <v>57.599999999999994</v>
      </c>
      <c r="T49" s="205">
        <f t="shared" si="4"/>
        <v>1.7604224834232121</v>
      </c>
      <c r="U49" s="205"/>
      <c r="V49" s="205"/>
      <c r="W49" s="205"/>
      <c r="X49" s="205"/>
      <c r="Y49" s="205"/>
    </row>
    <row r="50" spans="1:25">
      <c r="A50">
        <v>4</v>
      </c>
      <c r="B50">
        <v>17</v>
      </c>
      <c r="C50" s="140" t="s">
        <v>100</v>
      </c>
      <c r="D50" s="147">
        <v>41995</v>
      </c>
      <c r="E50" s="148">
        <v>3.125E-2</v>
      </c>
      <c r="F50" s="202">
        <v>5</v>
      </c>
      <c r="G50" s="182">
        <f t="shared" si="0"/>
        <v>8.7266462599716474E-2</v>
      </c>
      <c r="H50" s="141"/>
      <c r="I50" s="141"/>
      <c r="J50" s="203"/>
      <c r="K50" s="202">
        <v>3.3</v>
      </c>
      <c r="L50" s="182">
        <f t="shared" si="1"/>
        <v>3.3E-3</v>
      </c>
      <c r="M50" s="141"/>
      <c r="N50" s="141"/>
      <c r="O50" s="203"/>
      <c r="P50" s="141">
        <v>0.3</v>
      </c>
      <c r="Q50" s="146">
        <v>0.15</v>
      </c>
      <c r="R50" s="179">
        <f t="shared" si="2"/>
        <v>0.54</v>
      </c>
      <c r="S50" s="179">
        <f t="shared" si="3"/>
        <v>12.96</v>
      </c>
      <c r="T50" s="205">
        <f t="shared" si="4"/>
        <v>1.1126050015345745</v>
      </c>
      <c r="U50" s="205"/>
      <c r="V50" s="205"/>
      <c r="W50" s="205"/>
      <c r="X50" s="205"/>
      <c r="Y50" s="205"/>
    </row>
    <row r="51" spans="1:25">
      <c r="A51">
        <v>4</v>
      </c>
      <c r="B51">
        <v>17</v>
      </c>
      <c r="C51" s="140" t="s">
        <v>100</v>
      </c>
      <c r="D51" s="147">
        <v>41996</v>
      </c>
      <c r="E51" s="148">
        <v>0.33333333333333331</v>
      </c>
      <c r="F51" s="202">
        <v>35</v>
      </c>
      <c r="G51" s="182">
        <f t="shared" si="0"/>
        <v>0.6108652381980153</v>
      </c>
      <c r="H51" s="141"/>
      <c r="I51" s="141"/>
      <c r="J51" s="203"/>
      <c r="K51" s="202">
        <v>3.45</v>
      </c>
      <c r="L51" s="182">
        <f t="shared" si="1"/>
        <v>3.4500000000000004E-3</v>
      </c>
      <c r="M51" s="141"/>
      <c r="N51" s="141"/>
      <c r="O51" s="203"/>
      <c r="P51" s="141">
        <v>0.7</v>
      </c>
      <c r="Q51" s="146">
        <v>0.23333333333333331</v>
      </c>
      <c r="R51" s="179">
        <f t="shared" si="2"/>
        <v>0.83999999999999986</v>
      </c>
      <c r="S51" s="179">
        <f t="shared" si="3"/>
        <v>20.159999999999997</v>
      </c>
      <c r="T51" s="205">
        <f t="shared" si="4"/>
        <v>1.3044905277734875</v>
      </c>
      <c r="U51" s="205"/>
      <c r="V51" s="205"/>
      <c r="W51" s="205"/>
      <c r="X51" s="205"/>
      <c r="Y51" s="205"/>
    </row>
    <row r="52" spans="1:25">
      <c r="A52">
        <v>4</v>
      </c>
      <c r="B52">
        <v>17</v>
      </c>
      <c r="C52" s="140" t="s">
        <v>100</v>
      </c>
      <c r="D52" s="147">
        <v>41997</v>
      </c>
      <c r="E52" s="148">
        <v>0.21319444444444444</v>
      </c>
      <c r="F52" s="202">
        <v>5</v>
      </c>
      <c r="G52" s="182">
        <f t="shared" si="0"/>
        <v>8.7266462599716474E-2</v>
      </c>
      <c r="H52" s="141"/>
      <c r="I52" s="141"/>
      <c r="J52" s="203"/>
      <c r="K52" s="202">
        <v>1.8</v>
      </c>
      <c r="L52" s="182">
        <f t="shared" si="1"/>
        <v>1.8E-3</v>
      </c>
      <c r="M52" s="141"/>
      <c r="N52" s="141"/>
      <c r="O52" s="203"/>
      <c r="P52" s="141">
        <v>0.7</v>
      </c>
      <c r="Q52" s="146">
        <v>0.7</v>
      </c>
      <c r="R52" s="179">
        <f t="shared" si="2"/>
        <v>2.52</v>
      </c>
      <c r="S52" s="179">
        <f t="shared" si="3"/>
        <v>60.480000000000004</v>
      </c>
      <c r="T52" s="205">
        <f t="shared" si="4"/>
        <v>1.7816117824931501</v>
      </c>
      <c r="U52" s="205"/>
      <c r="V52" s="205"/>
      <c r="W52" s="205"/>
      <c r="X52" s="205"/>
      <c r="Y52" s="205"/>
    </row>
    <row r="53" spans="1:25">
      <c r="A53">
        <v>4</v>
      </c>
      <c r="B53">
        <v>18</v>
      </c>
      <c r="C53" s="140" t="s">
        <v>100</v>
      </c>
      <c r="D53" s="147">
        <v>41994</v>
      </c>
      <c r="E53" s="148">
        <v>0.27569444444444446</v>
      </c>
      <c r="F53" s="202">
        <v>5</v>
      </c>
      <c r="G53" s="182">
        <f t="shared" si="0"/>
        <v>8.7266462599716474E-2</v>
      </c>
      <c r="H53" s="141"/>
      <c r="I53" s="141"/>
      <c r="J53" s="203"/>
      <c r="K53" s="202">
        <v>2</v>
      </c>
      <c r="L53" s="182">
        <f t="shared" si="1"/>
        <v>2E-3</v>
      </c>
      <c r="M53" s="141"/>
      <c r="N53" s="141"/>
      <c r="O53" s="203"/>
      <c r="P53" s="141">
        <v>5.5</v>
      </c>
      <c r="Q53" s="146">
        <v>0.28947368421052633</v>
      </c>
      <c r="R53" s="179">
        <f t="shared" si="2"/>
        <v>1.0421052631578949</v>
      </c>
      <c r="S53" s="179">
        <f t="shared" si="3"/>
        <v>25.010526315789477</v>
      </c>
      <c r="T53" s="205">
        <f t="shared" si="4"/>
        <v>1.3981228310203082</v>
      </c>
      <c r="U53" s="205"/>
      <c r="V53" s="205"/>
      <c r="W53" s="205"/>
      <c r="X53" s="205"/>
      <c r="Y53" s="205"/>
    </row>
    <row r="54" spans="1:25">
      <c r="A54">
        <v>4</v>
      </c>
      <c r="B54">
        <v>19</v>
      </c>
      <c r="C54" s="140" t="s">
        <v>101</v>
      </c>
      <c r="D54" s="147">
        <v>41994</v>
      </c>
      <c r="E54" s="148">
        <v>6.3888888888888884E-2</v>
      </c>
      <c r="F54" s="202">
        <v>10</v>
      </c>
      <c r="G54" s="182">
        <f t="shared" si="0"/>
        <v>0.17453292519943295</v>
      </c>
      <c r="H54" s="141"/>
      <c r="I54" s="141"/>
      <c r="J54" s="203"/>
      <c r="K54" s="202">
        <v>2.48</v>
      </c>
      <c r="L54" s="182">
        <f t="shared" si="1"/>
        <v>2.48E-3</v>
      </c>
      <c r="M54" s="141"/>
      <c r="N54" s="141"/>
      <c r="O54" s="203"/>
      <c r="P54" s="141">
        <v>3.5</v>
      </c>
      <c r="Q54" s="146">
        <v>0.11666666666666667</v>
      </c>
      <c r="R54" s="179">
        <f t="shared" si="2"/>
        <v>0.42</v>
      </c>
      <c r="S54" s="179">
        <f t="shared" si="3"/>
        <v>10.08</v>
      </c>
      <c r="T54" s="205">
        <f t="shared" si="4"/>
        <v>1.0034605321095065</v>
      </c>
      <c r="U54" s="205"/>
      <c r="V54" s="205"/>
      <c r="W54" s="205"/>
      <c r="X54" s="205"/>
      <c r="Y54" s="205"/>
    </row>
    <row r="55" spans="1:25">
      <c r="A55">
        <v>4</v>
      </c>
      <c r="B55">
        <v>20</v>
      </c>
      <c r="C55" s="140" t="s">
        <v>84</v>
      </c>
      <c r="D55" s="147">
        <v>41994</v>
      </c>
      <c r="E55" s="148">
        <v>0.76041666666666663</v>
      </c>
      <c r="F55" s="202">
        <v>20</v>
      </c>
      <c r="G55" s="182">
        <f t="shared" si="0"/>
        <v>0.3490658503988659</v>
      </c>
      <c r="H55" s="141"/>
      <c r="I55" s="141"/>
      <c r="J55" s="203"/>
      <c r="K55" s="202">
        <v>7</v>
      </c>
      <c r="L55" s="182">
        <f t="shared" si="1"/>
        <v>7.0000000000000001E-3</v>
      </c>
      <c r="M55" s="141"/>
      <c r="N55" s="141"/>
      <c r="O55" s="203"/>
      <c r="P55" s="141">
        <v>0.3</v>
      </c>
      <c r="Q55" s="146">
        <v>0.1</v>
      </c>
      <c r="R55" s="179">
        <f t="shared" si="2"/>
        <v>0.36</v>
      </c>
      <c r="S55" s="179">
        <f t="shared" si="3"/>
        <v>8.64</v>
      </c>
      <c r="T55" s="205">
        <f t="shared" si="4"/>
        <v>0.9365137424788933</v>
      </c>
      <c r="U55" s="205"/>
      <c r="V55" s="205"/>
      <c r="W55" s="205"/>
      <c r="X55" s="205"/>
      <c r="Y55" s="205"/>
    </row>
    <row r="56" spans="1:25">
      <c r="A56">
        <v>6</v>
      </c>
      <c r="B56">
        <v>9</v>
      </c>
      <c r="C56" s="140" t="s">
        <v>104</v>
      </c>
      <c r="D56" s="147">
        <v>42006</v>
      </c>
      <c r="E56" s="148">
        <v>5.8333333333333327E-2</v>
      </c>
      <c r="F56" s="202">
        <v>15</v>
      </c>
      <c r="G56" s="182">
        <f t="shared" si="0"/>
        <v>0.26179938779914941</v>
      </c>
      <c r="H56" s="141"/>
      <c r="I56" s="141"/>
      <c r="J56" s="203"/>
      <c r="K56" s="202">
        <v>1.25</v>
      </c>
      <c r="L56" s="182">
        <f t="shared" si="1"/>
        <v>1.25E-3</v>
      </c>
      <c r="M56" s="141"/>
      <c r="N56" s="141"/>
      <c r="O56" s="203"/>
      <c r="P56" s="141">
        <v>1.88</v>
      </c>
      <c r="Q56" s="146">
        <v>0.47</v>
      </c>
      <c r="R56" s="179">
        <f t="shared" si="2"/>
        <v>1.6919999999999999</v>
      </c>
      <c r="S56" s="179">
        <f t="shared" si="3"/>
        <v>40.607999999999997</v>
      </c>
      <c r="T56" s="205">
        <f t="shared" si="4"/>
        <v>1.6086116004146107</v>
      </c>
      <c r="U56" s="205"/>
      <c r="V56" s="205"/>
      <c r="W56" s="205"/>
      <c r="X56" s="205"/>
      <c r="Y56" s="205"/>
    </row>
    <row r="57" spans="1:25">
      <c r="A57">
        <v>7</v>
      </c>
      <c r="B57">
        <v>18</v>
      </c>
      <c r="C57" s="140" t="s">
        <v>100</v>
      </c>
      <c r="D57" s="147">
        <v>42012</v>
      </c>
      <c r="E57" s="148">
        <v>3.5416666666666666E-2</v>
      </c>
      <c r="F57" s="202">
        <v>0</v>
      </c>
      <c r="G57" s="182">
        <f t="shared" si="0"/>
        <v>0</v>
      </c>
      <c r="H57" s="141"/>
      <c r="I57" s="141"/>
      <c r="J57" s="203"/>
      <c r="K57" s="202">
        <v>2.35</v>
      </c>
      <c r="L57" s="182">
        <f t="shared" si="1"/>
        <v>2.3500000000000001E-3</v>
      </c>
      <c r="M57" s="141"/>
      <c r="N57" s="141"/>
      <c r="O57" s="203"/>
      <c r="P57" s="141">
        <v>1.88</v>
      </c>
      <c r="Q57" s="146">
        <v>6.2666666666666662E-2</v>
      </c>
      <c r="R57" s="179">
        <f t="shared" si="2"/>
        <v>0.22559999999999999</v>
      </c>
      <c r="S57" s="179">
        <f t="shared" si="3"/>
        <v>5.4143999999999997</v>
      </c>
      <c r="T57" s="205">
        <f t="shared" si="4"/>
        <v>0.73355033702291073</v>
      </c>
      <c r="U57" s="205"/>
      <c r="V57" s="205"/>
      <c r="W57" s="205"/>
      <c r="X57" s="205"/>
      <c r="Y57" s="205"/>
    </row>
    <row r="58" spans="1:25">
      <c r="A58">
        <v>7</v>
      </c>
      <c r="B58">
        <v>18</v>
      </c>
      <c r="C58" s="140" t="s">
        <v>104</v>
      </c>
      <c r="D58" s="147">
        <v>42012</v>
      </c>
      <c r="E58" s="148">
        <v>0.17013888888888887</v>
      </c>
      <c r="F58" s="202">
        <v>40</v>
      </c>
      <c r="G58" s="182">
        <f t="shared" si="0"/>
        <v>0.69813170079773179</v>
      </c>
      <c r="H58" s="141"/>
      <c r="I58" s="141"/>
      <c r="J58" s="203"/>
      <c r="K58" s="202">
        <v>1.25</v>
      </c>
      <c r="L58" s="182">
        <f t="shared" si="1"/>
        <v>1.25E-3</v>
      </c>
      <c r="M58" s="141"/>
      <c r="N58" s="141"/>
      <c r="O58" s="203"/>
      <c r="P58" s="141">
        <v>5.0999999999999996</v>
      </c>
      <c r="Q58" s="146">
        <v>0.26842105263157895</v>
      </c>
      <c r="R58" s="179">
        <f t="shared" si="2"/>
        <v>0.96631578947368413</v>
      </c>
      <c r="S58" s="179">
        <f t="shared" si="3"/>
        <v>23.19157894736842</v>
      </c>
      <c r="T58" s="205">
        <f t="shared" si="4"/>
        <v>1.3653303176240006</v>
      </c>
      <c r="U58" s="205"/>
      <c r="V58" s="205"/>
      <c r="W58" s="205"/>
      <c r="X58" s="205"/>
      <c r="Y58" s="205"/>
    </row>
    <row r="59" spans="1:25">
      <c r="A59">
        <v>7</v>
      </c>
      <c r="B59">
        <v>19</v>
      </c>
      <c r="C59" s="140" t="s">
        <v>317</v>
      </c>
      <c r="D59" s="147">
        <v>42008</v>
      </c>
      <c r="E59" s="148">
        <v>0.36180555555555555</v>
      </c>
      <c r="F59" s="202">
        <v>25</v>
      </c>
      <c r="G59" s="182">
        <f t="shared" si="0"/>
        <v>0.43633231299858238</v>
      </c>
      <c r="H59" s="141"/>
      <c r="I59" s="141"/>
      <c r="J59" s="203"/>
      <c r="K59" s="202">
        <v>3</v>
      </c>
      <c r="L59" s="182">
        <f t="shared" si="1"/>
        <v>3.0000000000000001E-3</v>
      </c>
      <c r="M59" s="141"/>
      <c r="N59" s="141"/>
      <c r="O59" s="203"/>
      <c r="P59" s="141">
        <v>0.68</v>
      </c>
      <c r="Q59" s="146">
        <v>3.4000000000000002E-2</v>
      </c>
      <c r="R59" s="179">
        <f t="shared" si="2"/>
        <v>0.12240000000000001</v>
      </c>
      <c r="S59" s="179">
        <f t="shared" si="3"/>
        <v>2.9376000000000002</v>
      </c>
      <c r="T59" s="205">
        <f t="shared" si="4"/>
        <v>0.46799265952114844</v>
      </c>
      <c r="U59" s="205"/>
      <c r="V59" s="205"/>
      <c r="W59" s="205"/>
      <c r="X59" s="205"/>
      <c r="Y59" s="205"/>
    </row>
    <row r="60" spans="1:25">
      <c r="F60" s="202">
        <v>25</v>
      </c>
      <c r="G60" s="182">
        <f t="shared" si="0"/>
        <v>0.43633231299858238</v>
      </c>
      <c r="K60" s="202">
        <v>6.7</v>
      </c>
      <c r="L60" s="182">
        <f t="shared" si="1"/>
        <v>6.7000000000000002E-3</v>
      </c>
      <c r="S60" s="179">
        <f t="shared" si="3"/>
        <v>0</v>
      </c>
      <c r="T60" s="205"/>
    </row>
    <row r="61" spans="1:25">
      <c r="F61" s="202">
        <v>10</v>
      </c>
      <c r="G61" s="182">
        <f t="shared" si="0"/>
        <v>0.17453292519943295</v>
      </c>
      <c r="K61" s="202">
        <v>4.2</v>
      </c>
      <c r="L61" s="182">
        <f t="shared" si="1"/>
        <v>4.2000000000000006E-3</v>
      </c>
      <c r="S61" s="179">
        <f t="shared" si="3"/>
        <v>0</v>
      </c>
      <c r="T61" s="205"/>
    </row>
    <row r="62" spans="1:25">
      <c r="F62" s="202">
        <v>10</v>
      </c>
      <c r="G62" s="182">
        <f t="shared" si="0"/>
        <v>0.17453292519943295</v>
      </c>
      <c r="K62" s="202">
        <v>4.4800000000000004</v>
      </c>
      <c r="L62" s="182">
        <f t="shared" si="1"/>
        <v>4.4800000000000005E-3</v>
      </c>
    </row>
    <row r="63" spans="1:25">
      <c r="F63" s="198">
        <v>5</v>
      </c>
      <c r="G63" s="182">
        <f t="shared" si="0"/>
        <v>8.7266462599716474E-2</v>
      </c>
      <c r="K63" s="202">
        <v>4.4800000000000004</v>
      </c>
      <c r="L63" s="182">
        <f t="shared" si="1"/>
        <v>4.4800000000000005E-3</v>
      </c>
      <c r="T63" s="206"/>
    </row>
    <row r="64" spans="1:25">
      <c r="F64" s="198">
        <v>0</v>
      </c>
      <c r="G64" s="182">
        <f t="shared" si="0"/>
        <v>0</v>
      </c>
      <c r="K64" s="202">
        <v>5.08</v>
      </c>
      <c r="L64" s="182">
        <f t="shared" si="1"/>
        <v>5.0800000000000003E-3</v>
      </c>
    </row>
    <row r="65" spans="7:32" customFormat="1">
      <c r="G65" s="182"/>
      <c r="H65" s="182"/>
      <c r="I65" s="182"/>
      <c r="J65" s="199"/>
      <c r="K65" s="202">
        <v>1.5</v>
      </c>
      <c r="L65" s="182">
        <f t="shared" si="1"/>
        <v>1.5E-3</v>
      </c>
      <c r="M65" s="182"/>
      <c r="N65" s="182"/>
      <c r="O65" s="199"/>
      <c r="AE65" s="13"/>
      <c r="AF65" s="13"/>
    </row>
    <row r="66" spans="7:32" customFormat="1">
      <c r="G66" s="182"/>
      <c r="H66" s="182"/>
      <c r="I66" s="182"/>
      <c r="J66" s="199"/>
      <c r="K66" s="198"/>
      <c r="L66" s="182"/>
      <c r="M66" s="182"/>
      <c r="N66" s="182"/>
      <c r="O66" s="199"/>
      <c r="AE66" s="13"/>
      <c r="AF66" s="13"/>
    </row>
    <row r="67" spans="7:32" customFormat="1">
      <c r="G67" s="182"/>
      <c r="H67" s="182"/>
      <c r="I67" s="182"/>
      <c r="J67" s="199"/>
      <c r="K67" s="198"/>
      <c r="L67" s="182"/>
      <c r="M67" s="182"/>
      <c r="N67" s="182"/>
      <c r="O67" s="199"/>
      <c r="AE67" s="13"/>
      <c r="AF67" s="13"/>
    </row>
    <row r="68" spans="7:32" customFormat="1">
      <c r="G68" s="182"/>
      <c r="H68" s="182"/>
      <c r="I68" s="182"/>
      <c r="J68" s="199"/>
      <c r="K68" s="198"/>
      <c r="L68" s="182"/>
      <c r="M68" s="182"/>
      <c r="N68" s="182"/>
      <c r="O68" s="199"/>
      <c r="AE68" s="13"/>
      <c r="AF68" s="13"/>
    </row>
    <row r="69" spans="7:32" customFormat="1">
      <c r="G69" s="182"/>
      <c r="H69" s="182"/>
      <c r="I69" s="182"/>
      <c r="J69" s="199"/>
      <c r="K69" s="198"/>
      <c r="L69" s="182"/>
      <c r="M69" s="182"/>
      <c r="N69" s="182"/>
      <c r="O69" s="199"/>
      <c r="AE69" s="13"/>
      <c r="AF69" s="13"/>
    </row>
    <row r="70" spans="7:32" customFormat="1">
      <c r="G70" s="182"/>
      <c r="H70" s="182"/>
      <c r="I70" s="182"/>
      <c r="J70" s="199"/>
      <c r="K70" s="198"/>
      <c r="L70" s="182"/>
      <c r="M70" s="182"/>
      <c r="N70" s="182"/>
      <c r="O70" s="199"/>
      <c r="AE70" s="13"/>
      <c r="AF70" s="13"/>
    </row>
    <row r="71" spans="7:32" customFormat="1">
      <c r="G71" s="182"/>
      <c r="H71" s="182"/>
      <c r="I71" s="182"/>
      <c r="J71" s="199"/>
      <c r="K71" s="198"/>
      <c r="L71" s="182"/>
      <c r="M71" s="182"/>
      <c r="N71" s="182"/>
      <c r="O71" s="199"/>
      <c r="AE71" s="13"/>
      <c r="AF71" s="13"/>
    </row>
    <row r="72" spans="7:32" customFormat="1">
      <c r="G72" s="182"/>
      <c r="H72" s="182"/>
      <c r="I72" s="182"/>
      <c r="J72" s="199"/>
      <c r="K72" s="198"/>
      <c r="L72" s="182"/>
      <c r="M72" s="182"/>
      <c r="N72" s="182"/>
      <c r="O72" s="199"/>
      <c r="AE72" s="13"/>
      <c r="AF72" s="13"/>
    </row>
    <row r="73" spans="7:32" customFormat="1">
      <c r="G73" s="182"/>
      <c r="H73" s="182"/>
      <c r="I73" s="182"/>
      <c r="J73" s="199"/>
      <c r="K73" s="198"/>
      <c r="L73" s="182"/>
      <c r="M73" s="182"/>
      <c r="N73" s="182"/>
      <c r="O73" s="199"/>
      <c r="AE73" s="13"/>
      <c r="AF73" s="13"/>
    </row>
    <row r="74" spans="7:32" customFormat="1">
      <c r="G74" s="182"/>
      <c r="H74" s="182"/>
      <c r="I74" s="182"/>
      <c r="J74" s="199"/>
      <c r="K74" s="198"/>
      <c r="L74" s="182"/>
      <c r="M74" s="182"/>
      <c r="N74" s="182"/>
      <c r="O74" s="199"/>
      <c r="AE74" s="13"/>
      <c r="AF74" s="13"/>
    </row>
    <row r="75" spans="7:32" customFormat="1">
      <c r="G75" s="182"/>
      <c r="H75" s="182"/>
      <c r="I75" s="182"/>
      <c r="J75" s="199"/>
      <c r="K75" s="198"/>
      <c r="L75" s="182"/>
      <c r="M75" s="182"/>
      <c r="N75" s="182"/>
      <c r="O75" s="199"/>
      <c r="AE75" s="13"/>
      <c r="AF75" s="13"/>
    </row>
    <row r="76" spans="7:32" customFormat="1">
      <c r="G76" s="182"/>
      <c r="H76" s="182"/>
      <c r="I76" s="182"/>
      <c r="J76" s="199"/>
      <c r="K76" s="198"/>
      <c r="L76" s="182"/>
      <c r="M76" s="182"/>
      <c r="N76" s="182"/>
      <c r="O76" s="199"/>
      <c r="AE76" s="13"/>
      <c r="AF76" s="13"/>
    </row>
    <row r="77" spans="7:32" customFormat="1">
      <c r="G77" s="182"/>
      <c r="H77" s="182"/>
      <c r="I77" s="182"/>
      <c r="J77" s="199"/>
      <c r="K77" s="198"/>
      <c r="L77" s="182"/>
      <c r="M77" s="182"/>
      <c r="N77" s="182"/>
      <c r="O77" s="199"/>
      <c r="AE77" s="13"/>
      <c r="AF77" s="13"/>
    </row>
    <row r="78" spans="7:32" customFormat="1">
      <c r="G78" s="182"/>
      <c r="H78" s="182"/>
      <c r="I78" s="182"/>
      <c r="J78" s="199"/>
      <c r="K78" s="198"/>
      <c r="L78" s="182"/>
      <c r="M78" s="182"/>
      <c r="N78" s="182"/>
      <c r="O78" s="199"/>
      <c r="AE78" s="13"/>
      <c r="AF78" s="13"/>
    </row>
    <row r="79" spans="7:32" customFormat="1">
      <c r="G79" s="182"/>
      <c r="H79" s="182"/>
      <c r="I79" s="182"/>
      <c r="J79" s="199"/>
      <c r="K79" s="198"/>
      <c r="L79" s="182"/>
      <c r="M79" s="182"/>
      <c r="N79" s="182"/>
      <c r="O79" s="199"/>
      <c r="AE79" s="13"/>
      <c r="AF79" s="13"/>
    </row>
    <row r="80" spans="7:32" customFormat="1">
      <c r="G80" s="182"/>
      <c r="H80" s="182"/>
      <c r="I80" s="182"/>
      <c r="J80" s="199"/>
      <c r="K80" s="198"/>
      <c r="L80" s="182"/>
      <c r="M80" s="182"/>
      <c r="N80" s="182"/>
      <c r="O80" s="199"/>
      <c r="AE80" s="13"/>
      <c r="AF80" s="13"/>
    </row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</sheetData>
  <mergeCells count="2">
    <mergeCell ref="AE1:AJ1"/>
    <mergeCell ref="AD2:AF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10" workbookViewId="0">
      <selection activeCell="F15" sqref="F15"/>
    </sheetView>
  </sheetViews>
  <sheetFormatPr defaultRowHeight="15"/>
  <cols>
    <col min="1" max="1" width="15" customWidth="1"/>
    <col min="2" max="2" width="33.28515625" customWidth="1"/>
    <col min="3" max="3" width="25.7109375" bestFit="1" customWidth="1"/>
  </cols>
  <sheetData>
    <row r="1" spans="1:3" ht="30.75" thickBot="1">
      <c r="A1" s="1" t="s">
        <v>0</v>
      </c>
      <c r="B1" s="2" t="s">
        <v>1</v>
      </c>
      <c r="C1" s="2" t="s">
        <v>2</v>
      </c>
    </row>
    <row r="2" spans="1:3" ht="30" customHeight="1" thickBot="1">
      <c r="A2" s="216" t="s">
        <v>3</v>
      </c>
      <c r="B2" s="217"/>
      <c r="C2" s="218"/>
    </row>
    <row r="3" spans="1:3" ht="15.75" thickBot="1">
      <c r="A3" s="3" t="s">
        <v>4</v>
      </c>
      <c r="B3" s="4" t="s">
        <v>5</v>
      </c>
      <c r="C3" s="4" t="s">
        <v>6</v>
      </c>
    </row>
    <row r="4" spans="1:3" ht="15.75" thickBot="1">
      <c r="A4" s="3" t="s">
        <v>7</v>
      </c>
      <c r="B4" s="4" t="s">
        <v>8</v>
      </c>
      <c r="C4" s="4" t="s">
        <v>9</v>
      </c>
    </row>
    <row r="5" spans="1:3" ht="15.75" thickBot="1">
      <c r="A5" s="3" t="s">
        <v>10</v>
      </c>
      <c r="B5" s="4" t="s">
        <v>11</v>
      </c>
      <c r="C5" s="4" t="s">
        <v>12</v>
      </c>
    </row>
    <row r="6" spans="1:3" ht="15.75" thickBot="1">
      <c r="A6" s="3" t="s">
        <v>13</v>
      </c>
      <c r="B6" s="4" t="s">
        <v>14</v>
      </c>
      <c r="C6" s="4" t="s">
        <v>15</v>
      </c>
    </row>
    <row r="7" spans="1:3" ht="26.25" thickBot="1">
      <c r="A7" s="3" t="s">
        <v>16</v>
      </c>
      <c r="B7" s="4" t="s">
        <v>17</v>
      </c>
      <c r="C7" s="4" t="s">
        <v>18</v>
      </c>
    </row>
    <row r="8" spans="1:3" ht="15.75" thickBot="1">
      <c r="A8" s="3" t="s">
        <v>19</v>
      </c>
      <c r="B8" s="4" t="s">
        <v>20</v>
      </c>
      <c r="C8" s="4" t="s">
        <v>21</v>
      </c>
    </row>
    <row r="9" spans="1:3" ht="15.75" thickBot="1">
      <c r="A9" s="3" t="s">
        <v>22</v>
      </c>
      <c r="B9" s="4" t="s">
        <v>23</v>
      </c>
      <c r="C9" s="4" t="s">
        <v>24</v>
      </c>
    </row>
    <row r="10" spans="1:3">
      <c r="A10" s="212" t="s">
        <v>25</v>
      </c>
      <c r="B10" s="212" t="s">
        <v>26</v>
      </c>
      <c r="C10" s="212" t="s">
        <v>27</v>
      </c>
    </row>
    <row r="11" spans="1:3">
      <c r="A11" s="213"/>
      <c r="B11" s="213"/>
      <c r="C11" s="213"/>
    </row>
    <row r="12" spans="1:3" ht="51">
      <c r="A12" s="12" t="s">
        <v>82</v>
      </c>
      <c r="B12" s="12" t="s">
        <v>122</v>
      </c>
      <c r="C12" s="12" t="s">
        <v>117</v>
      </c>
    </row>
    <row r="13" spans="1:3" ht="15.75" thickBot="1">
      <c r="A13" s="219" t="s">
        <v>28</v>
      </c>
      <c r="B13" s="220"/>
      <c r="C13" s="221"/>
    </row>
    <row r="14" spans="1:3" ht="15.75" thickBot="1">
      <c r="A14" s="3" t="s">
        <v>29</v>
      </c>
      <c r="B14" s="4" t="s">
        <v>30</v>
      </c>
      <c r="C14" s="4" t="s">
        <v>31</v>
      </c>
    </row>
    <row r="15" spans="1:3" ht="15.75" thickBot="1">
      <c r="A15" s="3" t="s">
        <v>32</v>
      </c>
      <c r="B15" s="4" t="s">
        <v>33</v>
      </c>
      <c r="C15" s="4" t="s">
        <v>24</v>
      </c>
    </row>
    <row r="16" spans="1:3" ht="15.75" thickBot="1">
      <c r="A16" s="59" t="s">
        <v>34</v>
      </c>
      <c r="B16" s="5" t="s">
        <v>35</v>
      </c>
      <c r="C16" s="5" t="s">
        <v>36</v>
      </c>
    </row>
    <row r="17" spans="1:3">
      <c r="A17" s="212" t="s">
        <v>37</v>
      </c>
      <c r="B17" s="214" t="s">
        <v>38</v>
      </c>
      <c r="C17" s="116" t="s">
        <v>39</v>
      </c>
    </row>
    <row r="18" spans="1:3">
      <c r="A18" s="213"/>
      <c r="B18" s="215"/>
      <c r="C18" s="117" t="s">
        <v>40</v>
      </c>
    </row>
    <row r="19" spans="1:3">
      <c r="A19" s="213"/>
      <c r="B19" s="215"/>
      <c r="C19" s="117" t="s">
        <v>94</v>
      </c>
    </row>
    <row r="20" spans="1:3">
      <c r="A20" s="213"/>
      <c r="B20" s="215"/>
      <c r="C20" s="63" t="s">
        <v>212</v>
      </c>
    </row>
    <row r="21" spans="1:3">
      <c r="A21" s="59"/>
      <c r="B21" s="62"/>
      <c r="C21" s="63" t="s">
        <v>213</v>
      </c>
    </row>
    <row r="22" spans="1:3">
      <c r="A22" s="59"/>
      <c r="B22" s="62"/>
      <c r="C22" s="80" t="s">
        <v>219</v>
      </c>
    </row>
    <row r="23" spans="1:3">
      <c r="A23" s="81"/>
      <c r="B23" s="82"/>
      <c r="C23" s="63" t="s">
        <v>218</v>
      </c>
    </row>
    <row r="24" spans="1:3">
      <c r="A24" s="83"/>
      <c r="B24" s="84"/>
      <c r="C24" s="63" t="s">
        <v>224</v>
      </c>
    </row>
    <row r="25" spans="1:3">
      <c r="A25" s="117"/>
      <c r="B25" s="118"/>
      <c r="C25" s="138" t="s">
        <v>236</v>
      </c>
    </row>
    <row r="26" spans="1:3" ht="15.75" thickBot="1">
      <c r="A26" s="60"/>
      <c r="B26" s="61"/>
      <c r="C26" s="114" t="s">
        <v>265</v>
      </c>
    </row>
    <row r="27" spans="1:3" ht="26.25" thickBot="1">
      <c r="A27" s="3" t="s">
        <v>41</v>
      </c>
      <c r="B27" s="4" t="s">
        <v>42</v>
      </c>
      <c r="C27" s="4" t="s">
        <v>43</v>
      </c>
    </row>
    <row r="28" spans="1:3" ht="26.25" thickBot="1">
      <c r="A28" s="3" t="s">
        <v>44</v>
      </c>
      <c r="B28" s="4" t="s">
        <v>45</v>
      </c>
      <c r="C28" s="4" t="s">
        <v>46</v>
      </c>
    </row>
    <row r="29" spans="1:3" ht="26.25" thickBot="1">
      <c r="A29" s="3" t="s">
        <v>83</v>
      </c>
      <c r="B29" s="4" t="s">
        <v>87</v>
      </c>
      <c r="C29" s="4" t="s">
        <v>88</v>
      </c>
    </row>
    <row r="30" spans="1:3" ht="26.25" thickBot="1">
      <c r="A30" s="7" t="s">
        <v>86</v>
      </c>
      <c r="B30" s="4" t="s">
        <v>89</v>
      </c>
      <c r="C30" s="4" t="s">
        <v>47</v>
      </c>
    </row>
    <row r="31" spans="1:3" ht="15.75" thickBot="1">
      <c r="A31" s="3" t="s">
        <v>48</v>
      </c>
      <c r="B31" s="4" t="s">
        <v>49</v>
      </c>
      <c r="C31" s="4" t="s">
        <v>50</v>
      </c>
    </row>
    <row r="32" spans="1:3" ht="15.75" thickBot="1">
      <c r="A32" s="7" t="s">
        <v>102</v>
      </c>
      <c r="B32" s="4" t="s">
        <v>103</v>
      </c>
      <c r="C32" s="4" t="s">
        <v>97</v>
      </c>
    </row>
    <row r="33" spans="1:3" ht="15.75" thickBot="1">
      <c r="A33" s="3" t="s">
        <v>51</v>
      </c>
      <c r="B33" s="4" t="s">
        <v>52</v>
      </c>
      <c r="C33" s="4" t="s">
        <v>50</v>
      </c>
    </row>
    <row r="34" spans="1:3" ht="15.75" thickBot="1">
      <c r="A34" s="3" t="s">
        <v>53</v>
      </c>
      <c r="B34" s="4" t="s">
        <v>54</v>
      </c>
      <c r="C34" s="4" t="s">
        <v>50</v>
      </c>
    </row>
    <row r="35" spans="1:3">
      <c r="A35" s="8" t="s">
        <v>55</v>
      </c>
      <c r="B35" s="5" t="s">
        <v>56</v>
      </c>
      <c r="C35" s="5" t="s">
        <v>50</v>
      </c>
    </row>
    <row r="36" spans="1:3">
      <c r="A36" s="12" t="s">
        <v>57</v>
      </c>
      <c r="B36" s="12" t="s">
        <v>58</v>
      </c>
      <c r="C36" s="12" t="s">
        <v>50</v>
      </c>
    </row>
    <row r="37" spans="1:3">
      <c r="A37" s="12" t="s">
        <v>95</v>
      </c>
      <c r="B37" s="12" t="s">
        <v>96</v>
      </c>
      <c r="C37" s="12" t="s">
        <v>97</v>
      </c>
    </row>
    <row r="38" spans="1:3">
      <c r="A38" s="11" t="s">
        <v>90</v>
      </c>
      <c r="B38" s="11" t="s">
        <v>91</v>
      </c>
      <c r="C38" s="12" t="s">
        <v>50</v>
      </c>
    </row>
  </sheetData>
  <mergeCells count="7">
    <mergeCell ref="A17:A20"/>
    <mergeCell ref="B17:B20"/>
    <mergeCell ref="A2:C2"/>
    <mergeCell ref="A10:A11"/>
    <mergeCell ref="B10:B11"/>
    <mergeCell ref="C10:C11"/>
    <mergeCell ref="A13:C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91" zoomScaleNormal="91" workbookViewId="0">
      <selection activeCell="R44" sqref="R44"/>
    </sheetView>
  </sheetViews>
  <sheetFormatPr defaultRowHeight="15"/>
  <cols>
    <col min="12" max="12" width="9.5703125" bestFit="1" customWidth="1"/>
  </cols>
  <sheetData>
    <row r="1" spans="1:2">
      <c r="A1" s="9">
        <v>0</v>
      </c>
      <c r="B1">
        <v>6</v>
      </c>
    </row>
    <row r="2" spans="1:2">
      <c r="A2" s="9">
        <v>4.1666666666666699E-2</v>
      </c>
      <c r="B2">
        <v>11</v>
      </c>
    </row>
    <row r="3" spans="1:2">
      <c r="A3" s="9">
        <v>8.3333333333333301E-2</v>
      </c>
      <c r="B3">
        <v>9</v>
      </c>
    </row>
    <row r="4" spans="1:2">
      <c r="A4" s="9">
        <v>0.125</v>
      </c>
      <c r="B4">
        <v>8</v>
      </c>
    </row>
    <row r="5" spans="1:2">
      <c r="A5" s="9">
        <v>0.16666666666666699</v>
      </c>
      <c r="B5">
        <v>8</v>
      </c>
    </row>
    <row r="6" spans="1:2">
      <c r="A6" s="9">
        <v>0.20833333333333301</v>
      </c>
      <c r="B6">
        <v>10</v>
      </c>
    </row>
    <row r="7" spans="1:2">
      <c r="A7" s="9">
        <v>0.25</v>
      </c>
      <c r="B7">
        <v>10</v>
      </c>
    </row>
    <row r="8" spans="1:2">
      <c r="A8" s="9">
        <v>0.29166666666666702</v>
      </c>
      <c r="B8">
        <v>0</v>
      </c>
    </row>
    <row r="9" spans="1:2">
      <c r="A9" s="9">
        <v>0.33333333333333398</v>
      </c>
      <c r="B9">
        <v>4</v>
      </c>
    </row>
    <row r="10" spans="1:2">
      <c r="A10" s="9">
        <v>0.375</v>
      </c>
      <c r="B10">
        <v>8</v>
      </c>
    </row>
    <row r="11" spans="1:2">
      <c r="A11" s="9">
        <v>0.41666666666666702</v>
      </c>
      <c r="B11">
        <v>1</v>
      </c>
    </row>
    <row r="12" spans="1:2">
      <c r="A12" s="9">
        <v>0.45833333333333398</v>
      </c>
      <c r="B12">
        <v>1</v>
      </c>
    </row>
    <row r="13" spans="1:2">
      <c r="A13" s="9">
        <v>0.5</v>
      </c>
      <c r="B13">
        <v>0</v>
      </c>
    </row>
    <row r="14" spans="1:2">
      <c r="A14" s="9">
        <v>0.54166666666666696</v>
      </c>
      <c r="B14">
        <v>1</v>
      </c>
    </row>
    <row r="15" spans="1:2">
      <c r="A15" s="9">
        <v>0.58333333333333404</v>
      </c>
      <c r="B15">
        <v>3</v>
      </c>
    </row>
    <row r="16" spans="1:2">
      <c r="A16" s="9">
        <v>0.625</v>
      </c>
      <c r="B16">
        <v>1</v>
      </c>
    </row>
    <row r="17" spans="1:14">
      <c r="A17" s="9">
        <v>0.66666666666666696</v>
      </c>
      <c r="B17">
        <v>3</v>
      </c>
    </row>
    <row r="18" spans="1:14">
      <c r="A18" s="9">
        <v>0.70833333333333404</v>
      </c>
      <c r="B18">
        <v>8</v>
      </c>
    </row>
    <row r="19" spans="1:14">
      <c r="A19" s="9">
        <v>0.750000000000001</v>
      </c>
      <c r="B19">
        <v>7</v>
      </c>
    </row>
    <row r="20" spans="1:14">
      <c r="A20" s="9">
        <v>0.79166666666666696</v>
      </c>
      <c r="B20">
        <v>9</v>
      </c>
    </row>
    <row r="21" spans="1:14" ht="15.75" thickBot="1">
      <c r="A21" s="9">
        <v>0.83333333333333404</v>
      </c>
      <c r="B21">
        <v>6</v>
      </c>
      <c r="G21" s="222" t="s">
        <v>243</v>
      </c>
      <c r="H21" s="222"/>
      <c r="I21" s="222"/>
      <c r="J21" s="222"/>
      <c r="K21" s="155"/>
      <c r="L21" s="222" t="s">
        <v>250</v>
      </c>
      <c r="M21" s="222"/>
      <c r="N21" s="155"/>
    </row>
    <row r="22" spans="1:14" ht="26.25" thickTop="1" thickBot="1">
      <c r="A22" s="9">
        <v>0.875000000000001</v>
      </c>
      <c r="B22">
        <v>3</v>
      </c>
      <c r="G22" s="223"/>
      <c r="H22" s="156" t="s">
        <v>244</v>
      </c>
      <c r="I22" s="157" t="s">
        <v>245</v>
      </c>
      <c r="J22" s="158" t="s">
        <v>246</v>
      </c>
      <c r="K22" s="155"/>
      <c r="L22" s="223"/>
      <c r="M22" s="171" t="s">
        <v>243</v>
      </c>
      <c r="N22" s="155"/>
    </row>
    <row r="23" spans="1:14" ht="24.75" thickTop="1">
      <c r="A23" s="9">
        <v>0.91666666666666696</v>
      </c>
      <c r="B23">
        <v>4</v>
      </c>
      <c r="G23" s="159" t="s">
        <v>247</v>
      </c>
      <c r="H23" s="160">
        <v>34</v>
      </c>
      <c r="I23" s="161">
        <v>63.5</v>
      </c>
      <c r="J23" s="162">
        <v>-29.5</v>
      </c>
      <c r="K23" s="155"/>
      <c r="L23" s="159" t="s">
        <v>251</v>
      </c>
      <c r="M23" s="172" t="s">
        <v>321</v>
      </c>
      <c r="N23" s="155"/>
    </row>
    <row r="24" spans="1:14" ht="24">
      <c r="A24" s="9">
        <v>0.95833333333333404</v>
      </c>
      <c r="B24">
        <v>5</v>
      </c>
      <c r="G24" s="163" t="s">
        <v>248</v>
      </c>
      <c r="H24" s="164">
        <v>93</v>
      </c>
      <c r="I24" s="165">
        <v>63.5</v>
      </c>
      <c r="J24" s="166">
        <v>29.5</v>
      </c>
      <c r="K24" s="155"/>
      <c r="L24" s="163" t="s">
        <v>252</v>
      </c>
      <c r="M24" s="173">
        <v>1</v>
      </c>
      <c r="N24" s="155"/>
    </row>
    <row r="25" spans="1:14" ht="24.75" thickBot="1">
      <c r="B25">
        <f>SUM(B1:B24)</f>
        <v>126</v>
      </c>
      <c r="G25" s="167" t="s">
        <v>249</v>
      </c>
      <c r="H25" s="168">
        <v>127</v>
      </c>
      <c r="I25" s="169"/>
      <c r="J25" s="170"/>
      <c r="K25" s="155"/>
      <c r="L25" s="167" t="s">
        <v>253</v>
      </c>
      <c r="M25" s="174">
        <v>1.6462490356123807E-7</v>
      </c>
      <c r="N25" s="155"/>
    </row>
    <row r="26" spans="1:14" ht="26.25" customHeight="1" thickTop="1">
      <c r="G26" s="115"/>
      <c r="H26" s="115"/>
      <c r="I26" s="115"/>
      <c r="J26" s="115"/>
      <c r="K26" s="115"/>
      <c r="L26" s="224" t="s">
        <v>320</v>
      </c>
      <c r="M26" s="224"/>
      <c r="N26" s="155"/>
    </row>
    <row r="27" spans="1:14">
      <c r="I27" s="115"/>
      <c r="J27" s="115"/>
      <c r="K27" s="115"/>
    </row>
    <row r="28" spans="1:14">
      <c r="I28" s="115"/>
      <c r="J28" s="115"/>
      <c r="K28" s="115"/>
    </row>
    <row r="29" spans="1:14">
      <c r="A29" s="9">
        <v>0.5</v>
      </c>
      <c r="B29">
        <v>0</v>
      </c>
      <c r="I29" s="115"/>
      <c r="J29" s="115"/>
      <c r="K29" s="115"/>
    </row>
    <row r="30" spans="1:14">
      <c r="A30" s="9">
        <v>0.54166666666666696</v>
      </c>
      <c r="B30">
        <v>1</v>
      </c>
      <c r="I30" s="115"/>
      <c r="J30" s="115"/>
      <c r="K30" s="115"/>
    </row>
    <row r="31" spans="1:14">
      <c r="A31" s="9">
        <v>0.58333333333333404</v>
      </c>
      <c r="B31">
        <v>2</v>
      </c>
      <c r="I31" s="115"/>
      <c r="J31" s="115"/>
      <c r="K31" s="115"/>
    </row>
    <row r="32" spans="1:14">
      <c r="A32" s="9">
        <v>0.625</v>
      </c>
      <c r="B32">
        <v>1</v>
      </c>
      <c r="I32" s="115"/>
      <c r="J32" s="115"/>
      <c r="K32" s="115"/>
    </row>
    <row r="33" spans="1:2">
      <c r="A33" s="9">
        <v>0.66666666666666696</v>
      </c>
      <c r="B33">
        <v>3</v>
      </c>
    </row>
    <row r="34" spans="1:2">
      <c r="A34" s="9">
        <v>0.70833333333333404</v>
      </c>
      <c r="B34">
        <v>7</v>
      </c>
    </row>
    <row r="35" spans="1:2">
      <c r="A35" s="9">
        <v>0.750000000000001</v>
      </c>
      <c r="B35">
        <v>7</v>
      </c>
    </row>
    <row r="36" spans="1:2">
      <c r="A36" s="9">
        <v>0.79166666666666696</v>
      </c>
      <c r="B36">
        <v>9</v>
      </c>
    </row>
    <row r="37" spans="1:2">
      <c r="A37" s="9">
        <v>0.83333333333333404</v>
      </c>
      <c r="B37">
        <v>6</v>
      </c>
    </row>
    <row r="38" spans="1:2">
      <c r="A38" s="9">
        <v>0.875000000000001</v>
      </c>
      <c r="B38">
        <v>3</v>
      </c>
    </row>
    <row r="39" spans="1:2">
      <c r="A39" s="9">
        <v>0.91666666666666696</v>
      </c>
      <c r="B39">
        <v>4</v>
      </c>
    </row>
    <row r="40" spans="1:2">
      <c r="A40" s="9">
        <v>0.95833333333333404</v>
      </c>
      <c r="B40">
        <v>4</v>
      </c>
    </row>
    <row r="41" spans="1:2">
      <c r="A41" s="9">
        <v>0</v>
      </c>
      <c r="B41">
        <v>5</v>
      </c>
    </row>
    <row r="42" spans="1:2">
      <c r="A42" s="9">
        <v>4.1666666666666699E-2</v>
      </c>
      <c r="B42">
        <v>8</v>
      </c>
    </row>
    <row r="43" spans="1:2">
      <c r="A43" s="9">
        <v>8.3333333333333301E-2</v>
      </c>
      <c r="B43">
        <v>9</v>
      </c>
    </row>
    <row r="44" spans="1:2">
      <c r="A44" s="9">
        <v>0.125</v>
      </c>
      <c r="B44">
        <v>8</v>
      </c>
    </row>
    <row r="45" spans="1:2">
      <c r="A45" s="9">
        <v>0.16666666666666699</v>
      </c>
      <c r="B45">
        <v>7</v>
      </c>
    </row>
    <row r="46" spans="1:2">
      <c r="A46" s="9">
        <v>0.20833333333333301</v>
      </c>
      <c r="B46">
        <v>10</v>
      </c>
    </row>
    <row r="47" spans="1:2">
      <c r="A47" s="9">
        <v>0.25</v>
      </c>
      <c r="B47">
        <v>9</v>
      </c>
    </row>
    <row r="48" spans="1:2">
      <c r="A48" s="9">
        <v>0.29166666666666702</v>
      </c>
      <c r="B48">
        <v>0</v>
      </c>
    </row>
    <row r="49" spans="1:2">
      <c r="A49" s="9">
        <v>0.33333333333333398</v>
      </c>
      <c r="B49">
        <v>1</v>
      </c>
    </row>
    <row r="50" spans="1:2">
      <c r="A50" s="9">
        <v>0.375</v>
      </c>
      <c r="B50">
        <v>8</v>
      </c>
    </row>
    <row r="51" spans="1:2">
      <c r="A51" s="9">
        <v>0.41666666666666702</v>
      </c>
      <c r="B51">
        <v>1</v>
      </c>
    </row>
    <row r="52" spans="1:2">
      <c r="A52" s="9">
        <v>0.45833333333333398</v>
      </c>
      <c r="B52">
        <v>1</v>
      </c>
    </row>
  </sheetData>
  <mergeCells count="5">
    <mergeCell ref="G21:J21"/>
    <mergeCell ref="G22"/>
    <mergeCell ref="L21:M21"/>
    <mergeCell ref="L22"/>
    <mergeCell ref="L26:M2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C19" sqref="C19"/>
    </sheetView>
  </sheetViews>
  <sheetFormatPr defaultRowHeight="15"/>
  <cols>
    <col min="4" max="4" width="9.7109375" bestFit="1" customWidth="1"/>
  </cols>
  <sheetData>
    <row r="1" spans="1:20" ht="21">
      <c r="B1" s="225" t="s">
        <v>115</v>
      </c>
      <c r="C1" s="225"/>
      <c r="D1" s="225"/>
      <c r="E1" s="225"/>
      <c r="F1" s="225"/>
      <c r="G1" s="225"/>
      <c r="H1" s="225"/>
      <c r="I1" s="225"/>
      <c r="K1" s="226" t="s">
        <v>113</v>
      </c>
      <c r="L1" s="226"/>
      <c r="M1" s="226"/>
      <c r="N1" s="226"/>
      <c r="O1" s="226"/>
      <c r="P1" s="226"/>
      <c r="Q1" s="226"/>
      <c r="R1" s="226"/>
      <c r="S1" s="226"/>
      <c r="T1" s="226"/>
    </row>
    <row r="2" spans="1:20">
      <c r="A2" s="6" t="s">
        <v>158</v>
      </c>
      <c r="B2" s="6" t="s">
        <v>4</v>
      </c>
      <c r="C2" s="6" t="s">
        <v>29</v>
      </c>
      <c r="D2" s="6" t="s">
        <v>32</v>
      </c>
      <c r="E2" s="6" t="s">
        <v>34</v>
      </c>
      <c r="F2" s="6" t="s">
        <v>41</v>
      </c>
      <c r="G2" s="6" t="s">
        <v>44</v>
      </c>
      <c r="H2" s="6" t="s">
        <v>83</v>
      </c>
      <c r="I2" s="6" t="s">
        <v>86</v>
      </c>
    </row>
    <row r="3" spans="1:20">
      <c r="A3">
        <v>1</v>
      </c>
      <c r="B3">
        <v>1</v>
      </c>
      <c r="C3" t="s">
        <v>92</v>
      </c>
      <c r="D3" s="10">
        <v>41953</v>
      </c>
      <c r="E3" s="9">
        <v>0.3034722222222222</v>
      </c>
      <c r="F3">
        <v>20</v>
      </c>
      <c r="G3">
        <v>3.5</v>
      </c>
      <c r="H3">
        <v>2.2999999999999998</v>
      </c>
      <c r="I3">
        <v>1.1499999999999999</v>
      </c>
    </row>
    <row r="4" spans="1:20">
      <c r="A4">
        <v>1</v>
      </c>
      <c r="B4">
        <v>2</v>
      </c>
      <c r="C4" t="s">
        <v>100</v>
      </c>
      <c r="D4" s="10">
        <v>41950</v>
      </c>
      <c r="E4" s="9">
        <v>0.34722222222222227</v>
      </c>
      <c r="F4">
        <v>10</v>
      </c>
      <c r="G4">
        <v>6.25</v>
      </c>
      <c r="H4">
        <v>3</v>
      </c>
      <c r="I4">
        <v>0.1</v>
      </c>
    </row>
    <row r="5" spans="1:20">
      <c r="A5">
        <v>1</v>
      </c>
      <c r="B5">
        <v>2</v>
      </c>
      <c r="C5" t="s">
        <v>101</v>
      </c>
      <c r="D5" s="10">
        <v>41951</v>
      </c>
      <c r="E5" s="9">
        <v>0.21944444444444444</v>
      </c>
      <c r="F5">
        <v>20</v>
      </c>
      <c r="G5">
        <v>4.5</v>
      </c>
      <c r="H5">
        <v>1.5</v>
      </c>
      <c r="I5">
        <v>0.75</v>
      </c>
    </row>
    <row r="6" spans="1:20">
      <c r="A6">
        <v>1</v>
      </c>
      <c r="B6">
        <v>2</v>
      </c>
      <c r="C6" t="s">
        <v>104</v>
      </c>
      <c r="D6" s="10">
        <v>41951</v>
      </c>
      <c r="E6" s="9">
        <v>0.22222222222222221</v>
      </c>
      <c r="F6">
        <v>40</v>
      </c>
      <c r="G6">
        <v>3.9</v>
      </c>
      <c r="H6">
        <v>2.5299999999999998</v>
      </c>
      <c r="I6">
        <v>0.15</v>
      </c>
    </row>
    <row r="7" spans="1:20">
      <c r="A7">
        <v>1</v>
      </c>
      <c r="B7">
        <v>10</v>
      </c>
      <c r="C7" t="s">
        <v>101</v>
      </c>
      <c r="D7" s="10">
        <v>41952</v>
      </c>
      <c r="E7" s="9">
        <v>0.22500000000000001</v>
      </c>
      <c r="F7">
        <v>10</v>
      </c>
      <c r="G7">
        <v>2</v>
      </c>
      <c r="H7">
        <v>1.5</v>
      </c>
      <c r="I7">
        <v>5.8000000000000003E-2</v>
      </c>
    </row>
    <row r="8" spans="1:20">
      <c r="A8">
        <v>1</v>
      </c>
      <c r="B8">
        <v>10</v>
      </c>
      <c r="C8" t="s">
        <v>104</v>
      </c>
      <c r="D8" s="10">
        <v>41952</v>
      </c>
      <c r="E8" s="9">
        <v>0.22500000000000001</v>
      </c>
      <c r="F8">
        <v>10</v>
      </c>
      <c r="G8">
        <v>2</v>
      </c>
      <c r="H8">
        <v>1.5</v>
      </c>
      <c r="I8">
        <v>0.17</v>
      </c>
    </row>
    <row r="9" spans="1:20">
      <c r="A9">
        <v>1</v>
      </c>
      <c r="B9">
        <v>10</v>
      </c>
      <c r="C9" t="s">
        <v>84</v>
      </c>
      <c r="D9" s="10">
        <v>41952</v>
      </c>
      <c r="E9" s="9">
        <v>0.22500000000000001</v>
      </c>
      <c r="F9">
        <v>10</v>
      </c>
      <c r="G9">
        <v>2</v>
      </c>
      <c r="H9">
        <v>1.5</v>
      </c>
      <c r="I9">
        <v>5.0000000000000001E-3</v>
      </c>
    </row>
    <row r="10" spans="1:20">
      <c r="A10">
        <v>1</v>
      </c>
      <c r="B10">
        <v>11</v>
      </c>
      <c r="C10" t="s">
        <v>101</v>
      </c>
      <c r="D10" s="10">
        <v>41951</v>
      </c>
      <c r="E10" s="9">
        <v>0.51736111111111105</v>
      </c>
      <c r="F10">
        <v>25</v>
      </c>
      <c r="G10">
        <v>3.6</v>
      </c>
      <c r="H10">
        <v>1.1499999999999999</v>
      </c>
      <c r="I10">
        <v>3.7999999999999999E-2</v>
      </c>
    </row>
    <row r="11" spans="1:20">
      <c r="A11">
        <v>1</v>
      </c>
      <c r="B11">
        <v>11</v>
      </c>
      <c r="C11" t="s">
        <v>84</v>
      </c>
      <c r="D11" s="10">
        <v>41952</v>
      </c>
      <c r="E11" s="9">
        <v>0.6333333333333333</v>
      </c>
      <c r="F11">
        <v>50</v>
      </c>
      <c r="G11">
        <v>2.4500000000000002</v>
      </c>
      <c r="H11">
        <v>1.3</v>
      </c>
      <c r="I11">
        <v>0.33</v>
      </c>
    </row>
    <row r="12" spans="1:20">
      <c r="A12">
        <v>1</v>
      </c>
      <c r="B12">
        <v>11</v>
      </c>
      <c r="C12" t="s">
        <v>92</v>
      </c>
      <c r="D12" s="10">
        <v>41953</v>
      </c>
      <c r="E12" s="9">
        <v>0.37986111111111115</v>
      </c>
      <c r="F12">
        <v>0</v>
      </c>
      <c r="G12">
        <v>0</v>
      </c>
      <c r="H12">
        <v>0</v>
      </c>
      <c r="I12">
        <v>0</v>
      </c>
    </row>
    <row r="13" spans="1:20">
      <c r="A13">
        <v>1</v>
      </c>
      <c r="B13">
        <v>12</v>
      </c>
      <c r="C13" t="s">
        <v>101</v>
      </c>
      <c r="D13" s="10">
        <v>41951</v>
      </c>
      <c r="E13" s="9">
        <v>0.65416666666666667</v>
      </c>
      <c r="F13">
        <v>5</v>
      </c>
      <c r="G13">
        <v>4.5</v>
      </c>
      <c r="H13">
        <v>150</v>
      </c>
      <c r="I13">
        <v>0.5</v>
      </c>
    </row>
    <row r="14" spans="1:20">
      <c r="A14">
        <v>1</v>
      </c>
      <c r="B14">
        <v>12</v>
      </c>
      <c r="C14" t="s">
        <v>104</v>
      </c>
      <c r="D14" s="10">
        <v>41952</v>
      </c>
      <c r="E14" s="9">
        <v>0.63541666666666663</v>
      </c>
      <c r="F14">
        <v>20</v>
      </c>
      <c r="G14">
        <v>4.9000000000000004</v>
      </c>
      <c r="H14">
        <v>0</v>
      </c>
      <c r="I14">
        <v>0.44</v>
      </c>
    </row>
    <row r="15" spans="1:20">
      <c r="A15">
        <v>1</v>
      </c>
      <c r="B15">
        <v>12</v>
      </c>
      <c r="C15" t="s">
        <v>107</v>
      </c>
      <c r="D15" s="10">
        <v>41954</v>
      </c>
      <c r="E15" s="9">
        <v>0.30902777777777779</v>
      </c>
      <c r="F15">
        <v>30</v>
      </c>
      <c r="G15">
        <v>5.7</v>
      </c>
      <c r="H15">
        <v>0</v>
      </c>
      <c r="I15">
        <v>0</v>
      </c>
    </row>
    <row r="16" spans="1:20">
      <c r="A16">
        <v>1</v>
      </c>
      <c r="B16">
        <v>16</v>
      </c>
      <c r="C16" t="s">
        <v>101</v>
      </c>
      <c r="D16" s="10">
        <v>41954</v>
      </c>
      <c r="E16" s="9">
        <v>0.36388888888888887</v>
      </c>
      <c r="F16">
        <v>20</v>
      </c>
      <c r="G16">
        <v>2.08</v>
      </c>
      <c r="H16">
        <v>2.2999999999999998</v>
      </c>
      <c r="I16">
        <v>0.12</v>
      </c>
    </row>
    <row r="17" spans="1:9">
      <c r="A17">
        <v>1</v>
      </c>
      <c r="B17">
        <v>17</v>
      </c>
      <c r="C17" t="s">
        <v>84</v>
      </c>
      <c r="D17" s="10">
        <v>41953</v>
      </c>
      <c r="E17" s="9">
        <v>0.67152777777777783</v>
      </c>
      <c r="F17">
        <v>20</v>
      </c>
      <c r="G17">
        <v>4.4000000000000004</v>
      </c>
      <c r="H17">
        <v>2.7</v>
      </c>
      <c r="I17">
        <v>0.09</v>
      </c>
    </row>
    <row r="18" spans="1:9">
      <c r="A18">
        <v>1</v>
      </c>
      <c r="B18">
        <v>18</v>
      </c>
      <c r="C18" t="s">
        <v>104</v>
      </c>
      <c r="D18" s="10">
        <v>41953</v>
      </c>
      <c r="E18" s="9">
        <v>0.55555555555555558</v>
      </c>
      <c r="F18">
        <v>10</v>
      </c>
      <c r="G18">
        <v>4.3</v>
      </c>
      <c r="H18">
        <v>1.5</v>
      </c>
      <c r="I18">
        <v>0.21</v>
      </c>
    </row>
    <row r="19" spans="1:9">
      <c r="A19">
        <v>2</v>
      </c>
      <c r="B19">
        <v>2</v>
      </c>
    </row>
    <row r="20" spans="1:9">
      <c r="B20">
        <v>2</v>
      </c>
    </row>
  </sheetData>
  <mergeCells count="2">
    <mergeCell ref="B1:I1"/>
    <mergeCell ref="K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Datasheet Independent videos</vt:lpstr>
      <vt:lpstr>Average Gsize Wallow</vt:lpstr>
      <vt:lpstr>Average Gsize non Wallow</vt:lpstr>
      <vt:lpstr>Camera detection data BWP</vt:lpstr>
      <vt:lpstr>Encoding</vt:lpstr>
      <vt:lpstr>Activity pattern</vt:lpstr>
      <vt:lpstr>Camera detection data LTmacaque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rademaker</dc:creator>
  <cp:lastModifiedBy>mark rademaker</cp:lastModifiedBy>
  <dcterms:created xsi:type="dcterms:W3CDTF">2014-10-27T15:11:10Z</dcterms:created>
  <dcterms:modified xsi:type="dcterms:W3CDTF">2015-03-14T11:09:17Z</dcterms:modified>
</cp:coreProperties>
</file>