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nvanveldhuize\surfdrive\0. PHD (surfdrive)\06 Nautilus project\WP7 Technology analysis\T7.1 Future fuels\2 Fuel analysis\0 Thermodynamic analysis\2022-11-11 Publication of data\"/>
    </mc:Choice>
  </mc:AlternateContent>
  <bookViews>
    <workbookView xWindow="0" yWindow="0" windowWidth="28800" windowHeight="12000"/>
  </bookViews>
  <sheets>
    <sheet name="Models" sheetId="1" r:id="rId1"/>
  </sheets>
  <externalReferences>
    <externalReference r:id="rId2"/>
  </externalReferenc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9" i="1" l="1"/>
  <c r="I99" i="1"/>
  <c r="N99" i="1" s="1"/>
  <c r="H99" i="1"/>
  <c r="F99" i="1"/>
  <c r="E99" i="1"/>
  <c r="D99" i="1"/>
  <c r="C99" i="1"/>
  <c r="J99" i="1" s="1"/>
  <c r="O99" i="1" s="1"/>
  <c r="K98" i="1"/>
  <c r="H98" i="1"/>
  <c r="F98" i="1"/>
  <c r="J98" i="1" s="1"/>
  <c r="E98" i="1"/>
  <c r="I98" i="1" s="1"/>
  <c r="D98" i="1"/>
  <c r="C98" i="1"/>
  <c r="H97" i="1"/>
  <c r="K97" i="1" s="1"/>
  <c r="F97" i="1"/>
  <c r="J97" i="1" s="1"/>
  <c r="O97" i="1" s="1"/>
  <c r="E97" i="1"/>
  <c r="I97" i="1" s="1"/>
  <c r="N97" i="1" s="1"/>
  <c r="D97" i="1"/>
  <c r="C97" i="1"/>
  <c r="I96" i="1"/>
  <c r="N96" i="1" s="1"/>
  <c r="H96" i="1"/>
  <c r="K96" i="1" s="1"/>
  <c r="F96" i="1"/>
  <c r="J96" i="1" s="1"/>
  <c r="O96" i="1" s="1"/>
  <c r="E96" i="1"/>
  <c r="D96" i="1"/>
  <c r="C96" i="1"/>
  <c r="K95" i="1"/>
  <c r="I95" i="1"/>
  <c r="H95" i="1"/>
  <c r="F95" i="1"/>
  <c r="E95" i="1"/>
  <c r="D95" i="1"/>
  <c r="C95" i="1"/>
  <c r="J95" i="1" s="1"/>
  <c r="I90" i="1"/>
  <c r="E90" i="1"/>
  <c r="D90" i="1"/>
  <c r="C90" i="1"/>
  <c r="E89" i="1"/>
  <c r="C89" i="1"/>
  <c r="D89" i="1" s="1"/>
  <c r="I88" i="1"/>
  <c r="E88" i="1"/>
  <c r="D88" i="1"/>
  <c r="C88" i="1"/>
  <c r="AE87" i="1"/>
  <c r="AC87" i="1"/>
  <c r="I87" i="1"/>
  <c r="E87" i="1"/>
  <c r="D87" i="1"/>
  <c r="C87" i="1"/>
  <c r="AE86" i="1"/>
  <c r="AC86" i="1"/>
  <c r="E86" i="1"/>
  <c r="C86" i="1"/>
  <c r="D86" i="1" s="1"/>
  <c r="AG85" i="1"/>
  <c r="AE85" i="1"/>
  <c r="AC85" i="1"/>
  <c r="AE84" i="1"/>
  <c r="AC84" i="1"/>
  <c r="AE83" i="1"/>
  <c r="AC83" i="1"/>
  <c r="AC77" i="1"/>
  <c r="AB77" i="1"/>
  <c r="AB87" i="1" s="1"/>
  <c r="AE76" i="1"/>
  <c r="AC76" i="1"/>
  <c r="AB76" i="1"/>
  <c r="AB86" i="1" s="1"/>
  <c r="AE75" i="1"/>
  <c r="AC75" i="1"/>
  <c r="AB75" i="1"/>
  <c r="AB85" i="1" s="1"/>
  <c r="AC74" i="1"/>
  <c r="AB74" i="1"/>
  <c r="AB84" i="1" s="1"/>
  <c r="AC73" i="1"/>
  <c r="AB73" i="1"/>
  <c r="AB83" i="1" s="1"/>
  <c r="AG72" i="1"/>
  <c r="AF72" i="1"/>
  <c r="AE72" i="1"/>
  <c r="AD72" i="1"/>
  <c r="AE69" i="1"/>
  <c r="AD69" i="1"/>
  <c r="AE68" i="1"/>
  <c r="AD68" i="1"/>
  <c r="AB68" i="1"/>
  <c r="AE67" i="1"/>
  <c r="AD67" i="1"/>
  <c r="AE66" i="1"/>
  <c r="AD66" i="1"/>
  <c r="AB66" i="1"/>
  <c r="AE65" i="1"/>
  <c r="AD65" i="1"/>
  <c r="AE64" i="1"/>
  <c r="AD64" i="1"/>
  <c r="AB64" i="1"/>
  <c r="AE63" i="1"/>
  <c r="AD63" i="1"/>
  <c r="AC63" i="1"/>
  <c r="AC65" i="1" s="1"/>
  <c r="AC67" i="1" s="1"/>
  <c r="AC69" i="1" s="1"/>
  <c r="AE62" i="1"/>
  <c r="AD62" i="1"/>
  <c r="AC62" i="1"/>
  <c r="AC64" i="1" s="1"/>
  <c r="AC66" i="1" s="1"/>
  <c r="AC68" i="1" s="1"/>
  <c r="AB62" i="1"/>
  <c r="AE61" i="1"/>
  <c r="AD61" i="1"/>
  <c r="AE60" i="1"/>
  <c r="AD60" i="1"/>
  <c r="AB60" i="1"/>
  <c r="Y57" i="1"/>
  <c r="AG87" i="1" s="1"/>
  <c r="U57" i="1"/>
  <c r="T57" i="1"/>
  <c r="AF87" i="1" s="1"/>
  <c r="Q57" i="1"/>
  <c r="P57" i="1"/>
  <c r="O57" i="1"/>
  <c r="N57" i="1"/>
  <c r="L57" i="1"/>
  <c r="K57" i="1"/>
  <c r="J57" i="1"/>
  <c r="I57" i="1"/>
  <c r="H57" i="1"/>
  <c r="AD77" i="1" s="1"/>
  <c r="E57" i="1"/>
  <c r="AF77" i="1" s="1"/>
  <c r="D57" i="1"/>
  <c r="AE77" i="1" s="1"/>
  <c r="C57" i="1"/>
  <c r="Y56" i="1"/>
  <c r="AG86" i="1" s="1"/>
  <c r="U56" i="1"/>
  <c r="T56" i="1"/>
  <c r="AF86" i="1" s="1"/>
  <c r="Q56" i="1"/>
  <c r="P56" i="1"/>
  <c r="O56" i="1"/>
  <c r="N56" i="1"/>
  <c r="L56" i="1"/>
  <c r="K56" i="1"/>
  <c r="J56" i="1"/>
  <c r="I56" i="1"/>
  <c r="H56" i="1"/>
  <c r="AD76" i="1" s="1"/>
  <c r="E56" i="1"/>
  <c r="AF76" i="1" s="1"/>
  <c r="D56" i="1"/>
  <c r="C56" i="1"/>
  <c r="AB55" i="1"/>
  <c r="Y55" i="1"/>
  <c r="U55" i="1"/>
  <c r="T55" i="1"/>
  <c r="AF85" i="1" s="1"/>
  <c r="Q55" i="1"/>
  <c r="P55" i="1"/>
  <c r="O55" i="1"/>
  <c r="N55" i="1"/>
  <c r="L55" i="1"/>
  <c r="K55" i="1"/>
  <c r="J55" i="1"/>
  <c r="I55" i="1"/>
  <c r="H55" i="1"/>
  <c r="AD75" i="1" s="1"/>
  <c r="E55" i="1"/>
  <c r="AF75" i="1" s="1"/>
  <c r="D55" i="1"/>
  <c r="C55" i="1"/>
  <c r="Y54" i="1"/>
  <c r="AG84" i="1" s="1"/>
  <c r="U54" i="1"/>
  <c r="T54" i="1"/>
  <c r="AF84" i="1" s="1"/>
  <c r="Q54" i="1"/>
  <c r="P54" i="1"/>
  <c r="O54" i="1"/>
  <c r="N54" i="1"/>
  <c r="L54" i="1"/>
  <c r="K54" i="1"/>
  <c r="J54" i="1"/>
  <c r="I54" i="1"/>
  <c r="H54" i="1"/>
  <c r="AD74" i="1" s="1"/>
  <c r="E54" i="1"/>
  <c r="AF74" i="1" s="1"/>
  <c r="D54" i="1"/>
  <c r="AE74" i="1" s="1"/>
  <c r="C54" i="1"/>
  <c r="Y53" i="1"/>
  <c r="AG83" i="1" s="1"/>
  <c r="U53" i="1"/>
  <c r="T53" i="1"/>
  <c r="AF83" i="1" s="1"/>
  <c r="Q53" i="1"/>
  <c r="P53" i="1"/>
  <c r="O53" i="1"/>
  <c r="N53" i="1"/>
  <c r="L53" i="1"/>
  <c r="K53" i="1"/>
  <c r="J53" i="1"/>
  <c r="I53" i="1"/>
  <c r="H53" i="1"/>
  <c r="AD73" i="1" s="1"/>
  <c r="E53" i="1"/>
  <c r="AF73" i="1" s="1"/>
  <c r="D53" i="1"/>
  <c r="AE73" i="1" s="1"/>
  <c r="C53" i="1"/>
  <c r="AB48" i="1"/>
  <c r="AB57" i="1" s="1"/>
  <c r="W48" i="1"/>
  <c r="AD87" i="1" s="1"/>
  <c r="AC47" i="1"/>
  <c r="AB47" i="1"/>
  <c r="W47" i="1"/>
  <c r="AD86" i="1" s="1"/>
  <c r="AB46" i="1"/>
  <c r="AC46" i="1" s="1"/>
  <c r="AC55" i="1" s="1"/>
  <c r="W46" i="1"/>
  <c r="AD85" i="1" s="1"/>
  <c r="AC45" i="1"/>
  <c r="AC54" i="1" s="1"/>
  <c r="AB45" i="1"/>
  <c r="W45" i="1"/>
  <c r="AD84" i="1" s="1"/>
  <c r="AB44" i="1"/>
  <c r="AB53" i="1" s="1"/>
  <c r="W44" i="1"/>
  <c r="AD83" i="1" s="1"/>
  <c r="AC15" i="1"/>
  <c r="AB15" i="1"/>
  <c r="F15" i="1"/>
  <c r="F57" i="1" s="1"/>
  <c r="AG77" i="1" s="1"/>
  <c r="AB14" i="1"/>
  <c r="AB56" i="1" s="1"/>
  <c r="F14" i="1"/>
  <c r="F56" i="1" s="1"/>
  <c r="AG76" i="1" s="1"/>
  <c r="AC13" i="1"/>
  <c r="AB13" i="1"/>
  <c r="F13" i="1"/>
  <c r="F55" i="1" s="1"/>
  <c r="AG75" i="1" s="1"/>
  <c r="AB12" i="1"/>
  <c r="AC12" i="1" s="1"/>
  <c r="F12" i="1"/>
  <c r="F54" i="1" s="1"/>
  <c r="AG74" i="1" s="1"/>
  <c r="AC11" i="1"/>
  <c r="AB11" i="1"/>
  <c r="F11" i="1"/>
  <c r="F53" i="1" s="1"/>
  <c r="AG73" i="1" s="1"/>
  <c r="N95" i="1" l="1"/>
  <c r="O95" i="1"/>
  <c r="O98" i="1"/>
  <c r="N98" i="1"/>
  <c r="I86" i="1"/>
  <c r="I89" i="1"/>
  <c r="AB54" i="1"/>
  <c r="AC44" i="1"/>
  <c r="AC53" i="1" s="1"/>
  <c r="AC14" i="1"/>
  <c r="AC56" i="1" s="1"/>
  <c r="AC48" i="1"/>
  <c r="AC57" i="1" s="1"/>
</calcChain>
</file>

<file path=xl/comments1.xml><?xml version="1.0" encoding="utf-8"?>
<comments xmlns="http://schemas.openxmlformats.org/spreadsheetml/2006/main">
  <authors>
    <author>Berend van Veldhuizen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Primary airflow</t>
        </r>
      </text>
    </comment>
    <comment ref="U9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outflow from cathode</t>
        </r>
      </text>
    </comment>
    <comment ref="Z9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Same as ΔT_A or ΔT_I in LMTD</t>
        </r>
      </text>
    </comment>
    <comment ref="AA9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Same as ΔT_B or ΔT_II in LMTD</t>
        </r>
      </text>
    </comment>
    <comment ref="S42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such that flue gas T does not exceed 900, to make it possible to use normal heat exchangers</t>
        </r>
      </text>
    </comment>
    <comment ref="T42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Primary airflow</t>
        </r>
      </text>
    </comment>
    <comment ref="U42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outflow from cathode</t>
        </r>
      </text>
    </comment>
    <comment ref="V42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flow in circulation loop</t>
        </r>
      </text>
    </comment>
    <comment ref="Z42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Same as ΔT_A or ΔT_I in LMTD</t>
        </r>
      </text>
    </comment>
    <comment ref="AA42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Same as ΔT_B or ΔT_II in LMTD</t>
        </r>
      </text>
    </comment>
    <comment ref="S51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such that flue gas T does not exceed 900, to make it possible to use normal heat exchangers</t>
        </r>
      </text>
    </comment>
    <comment ref="Z51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Same as ΔT_A or ΔT_I in LMTD</t>
        </r>
      </text>
    </comment>
    <comment ref="AA51" authorId="0" shapeId="0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Same as ΔT_B or ΔT_II in LMTD</t>
        </r>
      </text>
    </comment>
  </commentList>
</comments>
</file>

<file path=xl/sharedStrings.xml><?xml version="1.0" encoding="utf-8"?>
<sst xmlns="http://schemas.openxmlformats.org/spreadsheetml/2006/main" count="191" uniqueCount="86">
  <si>
    <t>Used parameters</t>
  </si>
  <si>
    <t>UF</t>
  </si>
  <si>
    <t>-</t>
  </si>
  <si>
    <t>U</t>
  </si>
  <si>
    <t>V</t>
  </si>
  <si>
    <t>A FC</t>
  </si>
  <si>
    <t>m2</t>
  </si>
  <si>
    <t>RCELL</t>
  </si>
  <si>
    <t>Ohm m2</t>
  </si>
  <si>
    <t>Heat transfer coefficient</t>
  </si>
  <si>
    <t>30 Wm−2 K−1</t>
  </si>
  <si>
    <t>Data from: 14-09-2022</t>
  </si>
  <si>
    <t>Energy</t>
  </si>
  <si>
    <t>Power</t>
  </si>
  <si>
    <t>Exergy</t>
  </si>
  <si>
    <t>System</t>
  </si>
  <si>
    <t>Heat transmission in Hes</t>
  </si>
  <si>
    <t>Gross electric efficiency</t>
  </si>
  <si>
    <t>Net electric efficiency</t>
  </si>
  <si>
    <t>Heat efficiency</t>
  </si>
  <si>
    <t>Total efficiency</t>
  </si>
  <si>
    <t>Oxygen utilisation</t>
  </si>
  <si>
    <t>SOFC power</t>
  </si>
  <si>
    <t>Power for Sat St</t>
  </si>
  <si>
    <t>Power for HT W</t>
  </si>
  <si>
    <t>i FC</t>
  </si>
  <si>
    <t>flow_P</t>
  </si>
  <si>
    <t>flow_ca_out</t>
  </si>
  <si>
    <t>HE3</t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</si>
  <si>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T high</t>
    </r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</si>
  <si>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T low</t>
    </r>
  </si>
  <si>
    <t>LMTD</t>
  </si>
  <si>
    <t>kW</t>
  </si>
  <si>
    <t>A/m2</t>
  </si>
  <si>
    <t>kg/s</t>
  </si>
  <si>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</t>
    </r>
  </si>
  <si>
    <t>Methane</t>
  </si>
  <si>
    <t>MeOH</t>
  </si>
  <si>
    <t>Diesel</t>
  </si>
  <si>
    <t>NH3</t>
  </si>
  <si>
    <t>H2</t>
  </si>
  <si>
    <t>With COG-R (air preheater out 550C)</t>
  </si>
  <si>
    <t>T_OUT1_HE3</t>
  </si>
  <si>
    <t>flow_R</t>
  </si>
  <si>
    <t>RR_ca</t>
  </si>
  <si>
    <t>As</t>
  </si>
  <si>
    <r>
      <rPr>
        <sz val="11"/>
        <color theme="1"/>
        <rFont val="Times New Roman"/>
        <family val="1"/>
      </rPr>
      <t>°</t>
    </r>
    <r>
      <rPr>
        <sz val="9.9"/>
        <color theme="1"/>
        <rFont val="Calibri"/>
        <family val="2"/>
      </rPr>
      <t>C</t>
    </r>
  </si>
  <si>
    <t>m^2</t>
  </si>
  <si>
    <t>Increase</t>
  </si>
  <si>
    <t>Graph for report</t>
  </si>
  <si>
    <t>Hot Water</t>
  </si>
  <si>
    <t>Saturated Steam</t>
  </si>
  <si>
    <t xml:space="preserve"> No COG-R</t>
  </si>
  <si>
    <t>COG-R</t>
  </si>
  <si>
    <t>Table for report increase in efficiency with COG-R</t>
  </si>
  <si>
    <t>Increase in system parameter</t>
  </si>
  <si>
    <t>T out1 air preheater</t>
  </si>
  <si>
    <t>Table for report reduction size air pre-heater</t>
  </si>
  <si>
    <t>No COG-R</t>
  </si>
  <si>
    <t>With COG-R</t>
  </si>
  <si>
    <t>Difference</t>
  </si>
  <si>
    <t>Updated on 19-10-2022</t>
  </si>
  <si>
    <t>Transmitted heat air heater</t>
  </si>
  <si>
    <t>RR cathode</t>
  </si>
  <si>
    <t>Primary airflow</t>
  </si>
  <si>
    <t>Air heater size</t>
  </si>
  <si>
    <t>Oxygen utilisation without and with COG-R</t>
  </si>
  <si>
    <t>Pipe</t>
  </si>
  <si>
    <t>no COG-R</t>
  </si>
  <si>
    <t>Air in</t>
  </si>
  <si>
    <t>SOFC in</t>
  </si>
  <si>
    <t>SOFC out</t>
  </si>
  <si>
    <t>Singple pass U_O</t>
  </si>
  <si>
    <t>kmol/s</t>
  </si>
  <si>
    <t>Methanol</t>
  </si>
  <si>
    <t>Ammonia</t>
  </si>
  <si>
    <t>Hydrogen</t>
  </si>
  <si>
    <t>Pipe:</t>
  </si>
  <si>
    <t>O2 in</t>
  </si>
  <si>
    <t>O2 SOFC in</t>
  </si>
  <si>
    <t>O2 SOFC out</t>
  </si>
  <si>
    <t>O2 after cycle</t>
  </si>
  <si>
    <t>O2 after combustor</t>
  </si>
  <si>
    <t>Overall U_O</t>
  </si>
  <si>
    <t>Overall U_O with combustor</t>
  </si>
  <si>
    <t>SP U_O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</si>
</sst>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0.0%"/>
    <numFmt numFmtId="165" formatCode="0.000"/>
    <numFmt numFmtId="166" formatCode="0.000000000000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sz val="9.9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/>
    <xf numFmtId="0" fontId="3" fillId="0" borderId="0" xfId="0" applyFont="1"/>
    <xf numFmtId="164" fontId="0" fillId="0" borderId="0" xfId="2" applyNumberFormat="1" applyFont="1"/>
    <xf numFmtId="10" fontId="0" fillId="0" borderId="0" xfId="2" applyNumberFormat="1" applyFont="1"/>
    <xf numFmtId="43" fontId="0" fillId="0" borderId="0" xfId="1" applyFont="1"/>
    <xf numFmtId="1" fontId="0" fillId="0" borderId="0" xfId="0" applyNumberFormat="1"/>
    <xf numFmtId="165" fontId="0" fillId="0" borderId="0" xfId="1" applyNumberFormat="1" applyFont="1"/>
    <xf numFmtId="2" fontId="0" fillId="0" borderId="0" xfId="2" applyNumberFormat="1" applyFont="1"/>
    <xf numFmtId="0" fontId="0" fillId="0" borderId="0" xfId="0" applyFill="1"/>
    <xf numFmtId="164" fontId="0" fillId="0" borderId="0" xfId="2" applyNumberFormat="1" applyFont="1" applyFill="1"/>
    <xf numFmtId="10" fontId="0" fillId="0" borderId="0" xfId="2" applyNumberFormat="1" applyFont="1" applyFill="1"/>
    <xf numFmtId="43" fontId="0" fillId="0" borderId="0" xfId="1" applyFont="1" applyFill="1"/>
    <xf numFmtId="1" fontId="0" fillId="0" borderId="0" xfId="0" applyNumberFormat="1" applyFill="1"/>
    <xf numFmtId="165" fontId="0" fillId="0" borderId="0" xfId="1" applyNumberFormat="1" applyFont="1" applyFill="1"/>
    <xf numFmtId="0" fontId="6" fillId="0" borderId="0" xfId="0" applyFont="1"/>
    <xf numFmtId="1" fontId="0" fillId="0" borderId="0" xfId="1" applyNumberFormat="1" applyFont="1"/>
    <xf numFmtId="166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/>
    <xf numFmtId="0" fontId="8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Models!$D$9</c:f>
              <c:strCache>
                <c:ptCount val="1"/>
                <c:pt idx="0">
                  <c:v>Net electric efficiency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Models!$B$11:$B$15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f>Models!$D$11:$D$15</c:f>
              <c:numCache>
                <c:formatCode>0.0%</c:formatCode>
                <c:ptCount val="5"/>
                <c:pt idx="0">
                  <c:v>0.58072999999999997</c:v>
                </c:pt>
                <c:pt idx="1">
                  <c:v>0.48885000000000001</c:v>
                </c:pt>
                <c:pt idx="2">
                  <c:v>0.57562999999999998</c:v>
                </c:pt>
                <c:pt idx="3">
                  <c:v>0.55088999999999999</c:v>
                </c:pt>
                <c:pt idx="4">
                  <c:v>0.47109000000000001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A7-4A91-9C64-BA53CC36B9D9}"/>
            </c:ext>
          </c:extLst>
        </c:ser>
        <c:ser>
          <c:idx val="2"/>
          <c:order val="2"/>
          <c:tx>
            <c:strRef>
              <c:f>Models!$E$9</c:f>
              <c:strCache>
                <c:ptCount val="1"/>
                <c:pt idx="0">
                  <c:v>Heat efficiency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Models!$B$11:$B$15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f>Models!$E$11:$E$15</c:f>
              <c:numCache>
                <c:formatCode>0.0%</c:formatCode>
                <c:ptCount val="5"/>
                <c:pt idx="0">
                  <c:v>0.13594000000000001</c:v>
                </c:pt>
                <c:pt idx="1">
                  <c:v>0.1492</c:v>
                </c:pt>
                <c:pt idx="2">
                  <c:v>6.3479999999999995E-2</c:v>
                </c:pt>
                <c:pt idx="3">
                  <c:v>0.27368999999999999</c:v>
                </c:pt>
                <c:pt idx="4">
                  <c:v>0.25572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A7-4A91-9C64-BA53CC36B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444266728"/>
        <c:axId val="4442660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Models!$C$9</c15:sqref>
                        </c15:formulaRef>
                      </c:ext>
                    </c:extLst>
                    <c:strCache>
                      <c:ptCount val="1"/>
                      <c:pt idx="0">
                        <c:v>Gross electric efficiency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Models!$B$11:$B$15</c15:sqref>
                        </c15:formulaRef>
                      </c:ext>
                    </c:extLst>
                    <c:strCache>
                      <c:ptCount val="5"/>
                      <c:pt idx="0">
                        <c:v>Methane</c:v>
                      </c:pt>
                      <c:pt idx="1">
                        <c:v>MeOH</c:v>
                      </c:pt>
                      <c:pt idx="2">
                        <c:v>Diesel</c:v>
                      </c:pt>
                      <c:pt idx="3">
                        <c:v>NH3</c:v>
                      </c:pt>
                      <c:pt idx="4">
                        <c:v>H2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Models!$C$11:$C$15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0.59108000000000005</c:v>
                      </c:pt>
                      <c:pt idx="1">
                        <c:v>0.52595000000000003</c:v>
                      </c:pt>
                      <c:pt idx="2">
                        <c:v>0.58906999999999998</c:v>
                      </c:pt>
                      <c:pt idx="3">
                        <c:v>0.56116999999999995</c:v>
                      </c:pt>
                      <c:pt idx="4">
                        <c:v>0.49020999999999998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2A7-4A91-9C64-BA53CC36B9D9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Models!$I$9</c:f>
              <c:strCache>
                <c:ptCount val="1"/>
                <c:pt idx="0">
                  <c:v>SOFC power</c:v>
                </c:pt>
              </c:strCache>
            </c:strRef>
          </c:tx>
          <c:spPr>
            <a:ln w="3492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val>
            <c:numRef>
              <c:f>Models!$I$11:$I$15</c:f>
              <c:numCache>
                <c:formatCode>_(* #,##0.00_);_(* \(#,##0.00\);_(* "-"??_);_(@_)</c:formatCode>
                <c:ptCount val="5"/>
                <c:pt idx="0">
                  <c:v>84.97</c:v>
                </c:pt>
                <c:pt idx="1">
                  <c:v>86.01</c:v>
                </c:pt>
                <c:pt idx="2">
                  <c:v>86.31</c:v>
                </c:pt>
                <c:pt idx="3">
                  <c:v>99.39</c:v>
                </c:pt>
                <c:pt idx="4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A7-4A91-9C64-BA53CC36B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274768"/>
        <c:axId val="1327271024"/>
      </c:lineChart>
      <c:catAx>
        <c:axId val="44426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266072"/>
        <c:crosses val="autoZero"/>
        <c:auto val="1"/>
        <c:lblAlgn val="ctr"/>
        <c:lblOffset val="100"/>
        <c:noMultiLvlLbl val="0"/>
      </c:catAx>
      <c:valAx>
        <c:axId val="444266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600"/>
                  <a:t>Efficiency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266728"/>
        <c:crosses val="autoZero"/>
        <c:crossBetween val="between"/>
      </c:valAx>
      <c:valAx>
        <c:axId val="1327271024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600"/>
                  <a:t>SOFC power [kw]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7274768"/>
        <c:crosses val="max"/>
        <c:crossBetween val="between"/>
        <c:majorUnit val="10"/>
        <c:minorUnit val="10"/>
      </c:valAx>
      <c:catAx>
        <c:axId val="1327274768"/>
        <c:scaling>
          <c:orientation val="minMax"/>
        </c:scaling>
        <c:delete val="1"/>
        <c:axPos val="b"/>
        <c:majorTickMark val="out"/>
        <c:minorTickMark val="none"/>
        <c:tickLblPos val="nextTo"/>
        <c:crossAx val="13272710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Models!$O$9</c:f>
              <c:strCache>
                <c:ptCount val="1"/>
                <c:pt idx="0">
                  <c:v>Net electric efficiency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Models!$B$11:$B$15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f>Models!$O$11:$O$15</c:f>
              <c:numCache>
                <c:formatCode>0.0%</c:formatCode>
                <c:ptCount val="5"/>
                <c:pt idx="0">
                  <c:v>0.55901999999999996</c:v>
                </c:pt>
                <c:pt idx="1">
                  <c:v>0.4587</c:v>
                </c:pt>
                <c:pt idx="2">
                  <c:v>0.55679999999999996</c:v>
                </c:pt>
                <c:pt idx="3">
                  <c:v>0.51800000000000002</c:v>
                </c:pt>
                <c:pt idx="4">
                  <c:v>0.45896999999999999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C9-43D6-966E-255D829A7473}"/>
            </c:ext>
          </c:extLst>
        </c:ser>
        <c:ser>
          <c:idx val="2"/>
          <c:order val="2"/>
          <c:tx>
            <c:strRef>
              <c:f>Models!$P$9</c:f>
              <c:strCache>
                <c:ptCount val="1"/>
                <c:pt idx="0">
                  <c:v>Heat efficiency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6.8216266223437361E-17"/>
                  <c:y val="1.66666666666666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5C9-43D6-966E-255D829A74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Models!$B$11:$B$15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f>Models!$P$11:$P$15</c:f>
              <c:numCache>
                <c:formatCode>0.0%</c:formatCode>
                <c:ptCount val="5"/>
                <c:pt idx="0">
                  <c:v>4.5089999999999998E-2</c:v>
                </c:pt>
                <c:pt idx="1">
                  <c:v>3.4070000000000003E-2</c:v>
                </c:pt>
                <c:pt idx="2">
                  <c:v>3.5400000000000002E-3</c:v>
                </c:pt>
                <c:pt idx="3">
                  <c:v>8.1320000000000003E-2</c:v>
                </c:pt>
                <c:pt idx="4">
                  <c:v>6.411E-2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C9-43D6-966E-255D829A7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4266728"/>
        <c:axId val="4442660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Models!$N$9</c15:sqref>
                        </c15:formulaRef>
                      </c:ext>
                    </c:extLst>
                    <c:strCache>
                      <c:ptCount val="1"/>
                      <c:pt idx="0">
                        <c:v>Gross electric efficiency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Models!$B$11:$B$15</c15:sqref>
                        </c15:formulaRef>
                      </c:ext>
                    </c:extLst>
                    <c:strCache>
                      <c:ptCount val="5"/>
                      <c:pt idx="0">
                        <c:v>Methane</c:v>
                      </c:pt>
                      <c:pt idx="1">
                        <c:v>MeOH</c:v>
                      </c:pt>
                      <c:pt idx="2">
                        <c:v>Diesel</c:v>
                      </c:pt>
                      <c:pt idx="3">
                        <c:v>NH3</c:v>
                      </c:pt>
                      <c:pt idx="4">
                        <c:v>H2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Models!$N$11:$N$15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0.56899</c:v>
                      </c:pt>
                      <c:pt idx="1">
                        <c:v>0.49351</c:v>
                      </c:pt>
                      <c:pt idx="2">
                        <c:v>0.56981000000000004</c:v>
                      </c:pt>
                      <c:pt idx="3">
                        <c:v>0.52766000000000002</c:v>
                      </c:pt>
                      <c:pt idx="4">
                        <c:v>0.47760000000000002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A5C9-43D6-966E-255D829A7473}"/>
                  </c:ext>
                </c:extLst>
              </c15:ser>
            </c15:filteredBarSeries>
          </c:ext>
        </c:extLst>
      </c:barChart>
      <c:catAx>
        <c:axId val="44426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266072"/>
        <c:crosses val="autoZero"/>
        <c:auto val="1"/>
        <c:lblAlgn val="ctr"/>
        <c:lblOffset val="100"/>
        <c:noMultiLvlLbl val="0"/>
      </c:catAx>
      <c:valAx>
        <c:axId val="444266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600"/>
                  <a:t>Efficiency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266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Models!$AD$59</c:f>
              <c:strCache>
                <c:ptCount val="1"/>
                <c:pt idx="0">
                  <c:v>Hot Water</c:v>
                </c:pt>
              </c:strCache>
            </c:strRef>
          </c:tx>
          <c:spPr>
            <a:solidFill>
              <a:srgbClr val="F4C7C3"/>
            </a:solidFill>
            <a:ln>
              <a:noFill/>
            </a:ln>
            <a:effectLst/>
          </c:spPr>
          <c:invertIfNegative val="0"/>
          <c:cat>
            <c:multiLvlStrRef>
              <c:f>Models!$AB$60:$AC$69</c:f>
              <c:multiLvlStrCache>
                <c:ptCount val="10"/>
                <c:lvl>
                  <c:pt idx="0">
                    <c:v> No COG-R</c:v>
                  </c:pt>
                  <c:pt idx="1">
                    <c:v>COG-R</c:v>
                  </c:pt>
                  <c:pt idx="2">
                    <c:v> No COG-R</c:v>
                  </c:pt>
                  <c:pt idx="3">
                    <c:v>COG-R</c:v>
                  </c:pt>
                  <c:pt idx="4">
                    <c:v> No COG-R</c:v>
                  </c:pt>
                  <c:pt idx="5">
                    <c:v>COG-R</c:v>
                  </c:pt>
                  <c:pt idx="6">
                    <c:v> No COG-R</c:v>
                  </c:pt>
                  <c:pt idx="7">
                    <c:v>COG-R</c:v>
                  </c:pt>
                  <c:pt idx="8">
                    <c:v> No COG-R</c:v>
                  </c:pt>
                  <c:pt idx="9">
                    <c:v>COG-R</c:v>
                  </c:pt>
                </c:lvl>
                <c:lvl>
                  <c:pt idx="0">
                    <c:v>Methane</c:v>
                  </c:pt>
                  <c:pt idx="2">
                    <c:v>MeOH</c:v>
                  </c:pt>
                  <c:pt idx="4">
                    <c:v>Diesel</c:v>
                  </c:pt>
                  <c:pt idx="6">
                    <c:v>NH3</c:v>
                  </c:pt>
                  <c:pt idx="8">
                    <c:v>H2</c:v>
                  </c:pt>
                </c:lvl>
              </c:multiLvlStrCache>
            </c:multiLvlStrRef>
          </c:cat>
          <c:val>
            <c:numRef>
              <c:f>Models!$AD$60:$AD$69</c:f>
              <c:numCache>
                <c:formatCode>General</c:formatCode>
                <c:ptCount val="10"/>
                <c:pt idx="0">
                  <c:v>5.22</c:v>
                </c:pt>
                <c:pt idx="1">
                  <c:v>0.94</c:v>
                </c:pt>
                <c:pt idx="2">
                  <c:v>24.4</c:v>
                </c:pt>
                <c:pt idx="3">
                  <c:v>8.8800000000000008</c:v>
                </c:pt>
                <c:pt idx="4">
                  <c:v>9.3000000000000007</c:v>
                </c:pt>
                <c:pt idx="5">
                  <c:v>16.649999999999999</c:v>
                </c:pt>
                <c:pt idx="6">
                  <c:v>30.22</c:v>
                </c:pt>
                <c:pt idx="7">
                  <c:v>23.2</c:v>
                </c:pt>
                <c:pt idx="8">
                  <c:v>52.17</c:v>
                </c:pt>
                <c:pt idx="9">
                  <c:v>23.12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7-413F-BA05-A6AEEA108A5A}"/>
            </c:ext>
          </c:extLst>
        </c:ser>
        <c:ser>
          <c:idx val="1"/>
          <c:order val="1"/>
          <c:tx>
            <c:strRef>
              <c:f>Models!$AE$59</c:f>
              <c:strCache>
                <c:ptCount val="1"/>
                <c:pt idx="0">
                  <c:v>Saturated Steam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cat>
            <c:multiLvlStrRef>
              <c:f>Models!$AB$60:$AC$69</c:f>
              <c:multiLvlStrCache>
                <c:ptCount val="10"/>
                <c:lvl>
                  <c:pt idx="0">
                    <c:v> No COG-R</c:v>
                  </c:pt>
                  <c:pt idx="1">
                    <c:v>COG-R</c:v>
                  </c:pt>
                  <c:pt idx="2">
                    <c:v> No COG-R</c:v>
                  </c:pt>
                  <c:pt idx="3">
                    <c:v>COG-R</c:v>
                  </c:pt>
                  <c:pt idx="4">
                    <c:v> No COG-R</c:v>
                  </c:pt>
                  <c:pt idx="5">
                    <c:v>COG-R</c:v>
                  </c:pt>
                  <c:pt idx="6">
                    <c:v> No COG-R</c:v>
                  </c:pt>
                  <c:pt idx="7">
                    <c:v>COG-R</c:v>
                  </c:pt>
                  <c:pt idx="8">
                    <c:v> No COG-R</c:v>
                  </c:pt>
                  <c:pt idx="9">
                    <c:v>COG-R</c:v>
                  </c:pt>
                </c:lvl>
                <c:lvl>
                  <c:pt idx="0">
                    <c:v>Methane</c:v>
                  </c:pt>
                  <c:pt idx="2">
                    <c:v>MeOH</c:v>
                  </c:pt>
                  <c:pt idx="4">
                    <c:v>Diesel</c:v>
                  </c:pt>
                  <c:pt idx="6">
                    <c:v>NH3</c:v>
                  </c:pt>
                  <c:pt idx="8">
                    <c:v>H2</c:v>
                  </c:pt>
                </c:lvl>
              </c:multiLvlStrCache>
            </c:multiLvlStrRef>
          </c:cat>
          <c:val>
            <c:numRef>
              <c:f>Models!$AE$60:$AE$69</c:f>
              <c:numCache>
                <c:formatCode>General</c:formatCode>
                <c:ptCount val="10"/>
                <c:pt idx="0">
                  <c:v>14.33</c:v>
                </c:pt>
                <c:pt idx="1">
                  <c:v>21.38</c:v>
                </c:pt>
                <c:pt idx="2">
                  <c:v>0</c:v>
                </c:pt>
                <c:pt idx="3">
                  <c:v>39.85</c:v>
                </c:pt>
                <c:pt idx="4">
                  <c:v>0</c:v>
                </c:pt>
                <c:pt idx="5">
                  <c:v>2.21</c:v>
                </c:pt>
                <c:pt idx="6">
                  <c:v>18.25</c:v>
                </c:pt>
                <c:pt idx="7">
                  <c:v>30.72</c:v>
                </c:pt>
                <c:pt idx="8">
                  <c:v>0</c:v>
                </c:pt>
                <c:pt idx="9">
                  <c:v>59.61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7-413F-BA05-A6AEEA108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9345232"/>
        <c:axId val="359346872"/>
      </c:barChart>
      <c:catAx>
        <c:axId val="35934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46872"/>
        <c:crosses val="autoZero"/>
        <c:auto val="1"/>
        <c:lblAlgn val="ctr"/>
        <c:lblOffset val="100"/>
        <c:noMultiLvlLbl val="0"/>
      </c:catAx>
      <c:valAx>
        <c:axId val="35934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Delivered heat [kW]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4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263805642922183"/>
          <c:y val="0.91236673824862802"/>
          <c:w val="0.87624550137989987"/>
          <c:h val="6.94514435695538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Models!$D$42</c:f>
              <c:strCache>
                <c:ptCount val="1"/>
                <c:pt idx="0">
                  <c:v>Net electric efficiency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Models!$B$11:$B$15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f>Models!$D$44:$D$48</c:f>
              <c:numCache>
                <c:formatCode>0.0%</c:formatCode>
                <c:ptCount val="5"/>
                <c:pt idx="0">
                  <c:v>0.58016999999999996</c:v>
                </c:pt>
                <c:pt idx="1">
                  <c:v>0.49473</c:v>
                </c:pt>
                <c:pt idx="2">
                  <c:v>0.57411999999999996</c:v>
                </c:pt>
                <c:pt idx="3">
                  <c:v>0.55010999999999999</c:v>
                </c:pt>
                <c:pt idx="4">
                  <c:v>0.46755000000000002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B1-4740-A399-56DF472F5D38}"/>
            </c:ext>
          </c:extLst>
        </c:ser>
        <c:ser>
          <c:idx val="2"/>
          <c:order val="2"/>
          <c:tx>
            <c:strRef>
              <c:f>Models!$E$42</c:f>
              <c:strCache>
                <c:ptCount val="1"/>
                <c:pt idx="0">
                  <c:v>Heat efficiency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Models!$B$11:$B$15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f>Models!$E$44:$E$48</c:f>
              <c:numCache>
                <c:formatCode>0.0%</c:formatCode>
                <c:ptCount val="5"/>
                <c:pt idx="0">
                  <c:v>0.15614</c:v>
                </c:pt>
                <c:pt idx="1">
                  <c:v>0.30330000000000001</c:v>
                </c:pt>
                <c:pt idx="2">
                  <c:v>0.13016</c:v>
                </c:pt>
                <c:pt idx="3">
                  <c:v>0.30632999999999999</c:v>
                </c:pt>
                <c:pt idx="4">
                  <c:v>0.41167999999999999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B1-4740-A399-56DF472F5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444266728"/>
        <c:axId val="4442660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Models!$C$9</c15:sqref>
                        </c15:formulaRef>
                      </c:ext>
                    </c:extLst>
                    <c:strCache>
                      <c:ptCount val="1"/>
                      <c:pt idx="0">
                        <c:v>Gross electric efficiency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Models!$B$11:$B$15</c15:sqref>
                        </c15:formulaRef>
                      </c:ext>
                    </c:extLst>
                    <c:strCache>
                      <c:ptCount val="5"/>
                      <c:pt idx="0">
                        <c:v>Methane</c:v>
                      </c:pt>
                      <c:pt idx="1">
                        <c:v>MeOH</c:v>
                      </c:pt>
                      <c:pt idx="2">
                        <c:v>Diesel</c:v>
                      </c:pt>
                      <c:pt idx="3">
                        <c:v>NH3</c:v>
                      </c:pt>
                      <c:pt idx="4">
                        <c:v>H2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Models!$C$11:$C$15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0.59108000000000005</c:v>
                      </c:pt>
                      <c:pt idx="1">
                        <c:v>0.52595000000000003</c:v>
                      </c:pt>
                      <c:pt idx="2">
                        <c:v>0.58906999999999998</c:v>
                      </c:pt>
                      <c:pt idx="3">
                        <c:v>0.56116999999999995</c:v>
                      </c:pt>
                      <c:pt idx="4">
                        <c:v>0.49020999999999998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9AB1-4740-A399-56DF472F5D38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Models!$I$42</c:f>
              <c:strCache>
                <c:ptCount val="1"/>
                <c:pt idx="0">
                  <c:v>SOFC power</c:v>
                </c:pt>
              </c:strCache>
            </c:strRef>
          </c:tx>
          <c:spPr>
            <a:ln w="3492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val>
            <c:numRef>
              <c:f>Models!$I$44:$I$48</c:f>
              <c:numCache>
                <c:formatCode>_(* #,##0.00_);_(* \(#,##0.00\);_(* "-"??_);_(@_)</c:formatCode>
                <c:ptCount val="5"/>
                <c:pt idx="0">
                  <c:v>84.52</c:v>
                </c:pt>
                <c:pt idx="1">
                  <c:v>84.51</c:v>
                </c:pt>
                <c:pt idx="2">
                  <c:v>85.37</c:v>
                </c:pt>
                <c:pt idx="3">
                  <c:v>98.77</c:v>
                </c:pt>
                <c:pt idx="4">
                  <c:v>98.51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B1-4740-A399-56DF472F5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274768"/>
        <c:axId val="1327271024"/>
      </c:lineChart>
      <c:catAx>
        <c:axId val="44426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266072"/>
        <c:crosses val="autoZero"/>
        <c:auto val="1"/>
        <c:lblAlgn val="ctr"/>
        <c:lblOffset val="100"/>
        <c:noMultiLvlLbl val="0"/>
      </c:catAx>
      <c:valAx>
        <c:axId val="444266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600"/>
                  <a:t>Efficiency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266728"/>
        <c:crosses val="autoZero"/>
        <c:crossBetween val="between"/>
      </c:valAx>
      <c:valAx>
        <c:axId val="1327271024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600"/>
                  <a:t>SOFC power [kw]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7274768"/>
        <c:crosses val="max"/>
        <c:crossBetween val="between"/>
        <c:majorUnit val="10"/>
        <c:minorUnit val="10"/>
      </c:valAx>
      <c:catAx>
        <c:axId val="1327274768"/>
        <c:scaling>
          <c:orientation val="minMax"/>
        </c:scaling>
        <c:delete val="1"/>
        <c:axPos val="b"/>
        <c:majorTickMark val="out"/>
        <c:minorTickMark val="none"/>
        <c:tickLblPos val="nextTo"/>
        <c:crossAx val="13272710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Models!$AD$59</c:f>
              <c:strCache>
                <c:ptCount val="1"/>
                <c:pt idx="0">
                  <c:v>Hot Water</c:v>
                </c:pt>
              </c:strCache>
            </c:strRef>
          </c:tx>
          <c:spPr>
            <a:solidFill>
              <a:srgbClr val="F4C7C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Models!$AB$60:$AB$69</c15:sqref>
                  </c15:fullRef>
                </c:ext>
              </c:extLst>
              <c:f>(Models!$AB$60,Models!$AB$62,Models!$AB$64,Models!$AB$66,Models!$AB$68)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Models!$AD$60:$AD$69</c15:sqref>
                  </c15:fullRef>
                </c:ext>
              </c:extLst>
              <c:f>(Models!$AD$60,Models!$AD$62,Models!$AD$64,Models!$AD$66,Models!$AD$68)</c:f>
              <c:numCache>
                <c:formatCode>General</c:formatCode>
                <c:ptCount val="5"/>
                <c:pt idx="0">
                  <c:v>5.22</c:v>
                </c:pt>
                <c:pt idx="1">
                  <c:v>24.4</c:v>
                </c:pt>
                <c:pt idx="2">
                  <c:v>9.3000000000000007</c:v>
                </c:pt>
                <c:pt idx="3">
                  <c:v>30.22</c:v>
                </c:pt>
                <c:pt idx="4">
                  <c:v>52.17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5E-4321-BD7F-1169C2B75AA4}"/>
            </c:ext>
          </c:extLst>
        </c:ser>
        <c:ser>
          <c:idx val="1"/>
          <c:order val="1"/>
          <c:tx>
            <c:strRef>
              <c:f>Models!$AE$59</c:f>
              <c:strCache>
                <c:ptCount val="1"/>
                <c:pt idx="0">
                  <c:v>Saturated Steam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Models!$AB$60:$AB$69</c15:sqref>
                  </c15:fullRef>
                </c:ext>
              </c:extLst>
              <c:f>(Models!$AB$60,Models!$AB$62,Models!$AB$64,Models!$AB$66,Models!$AB$68)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Models!$AE$60:$AE$69</c15:sqref>
                  </c15:fullRef>
                </c:ext>
              </c:extLst>
              <c:f>(Models!$AE$60,Models!$AE$62,Models!$AE$64,Models!$AE$66,Models!$AE$68)</c:f>
              <c:numCache>
                <c:formatCode>General</c:formatCode>
                <c:ptCount val="5"/>
                <c:pt idx="0">
                  <c:v>14.33</c:v>
                </c:pt>
                <c:pt idx="1">
                  <c:v>0</c:v>
                </c:pt>
                <c:pt idx="2">
                  <c:v>0</c:v>
                </c:pt>
                <c:pt idx="3">
                  <c:v>18.25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5E-4321-BD7F-1169C2B75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9345232"/>
        <c:axId val="359346872"/>
      </c:barChart>
      <c:catAx>
        <c:axId val="35934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46872"/>
        <c:crosses val="autoZero"/>
        <c:auto val="1"/>
        <c:lblAlgn val="ctr"/>
        <c:lblOffset val="100"/>
        <c:noMultiLvlLbl val="0"/>
      </c:catAx>
      <c:valAx>
        <c:axId val="35934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Delivered heat [kW]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4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263805642922183"/>
          <c:y val="0.91236673824862802"/>
          <c:w val="0.87624550137989987"/>
          <c:h val="6.94514435695538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Models!$D$42</c:f>
              <c:strCache>
                <c:ptCount val="1"/>
                <c:pt idx="0">
                  <c:v>Net electric efficiency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Models!$B$11:$B$15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f>Models!$D$44:$D$48</c:f>
              <c:numCache>
                <c:formatCode>0.0%</c:formatCode>
                <c:ptCount val="5"/>
                <c:pt idx="0">
                  <c:v>0.58016999999999996</c:v>
                </c:pt>
                <c:pt idx="1">
                  <c:v>0.49473</c:v>
                </c:pt>
                <c:pt idx="2">
                  <c:v>0.57411999999999996</c:v>
                </c:pt>
                <c:pt idx="3">
                  <c:v>0.55010999999999999</c:v>
                </c:pt>
                <c:pt idx="4">
                  <c:v>0.46755000000000002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D8-4B3F-AD72-2B12E32CC113}"/>
            </c:ext>
          </c:extLst>
        </c:ser>
        <c:ser>
          <c:idx val="2"/>
          <c:order val="2"/>
          <c:tx>
            <c:strRef>
              <c:f>Models!$E$42</c:f>
              <c:strCache>
                <c:ptCount val="1"/>
                <c:pt idx="0">
                  <c:v>Heat efficiency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Models!$B$11:$B$15</c:f>
              <c:strCache>
                <c:ptCount val="5"/>
                <c:pt idx="0">
                  <c:v>Methane</c:v>
                </c:pt>
                <c:pt idx="1">
                  <c:v>MeOH</c:v>
                </c:pt>
                <c:pt idx="2">
                  <c:v>Diesel</c:v>
                </c:pt>
                <c:pt idx="3">
                  <c:v>NH3</c:v>
                </c:pt>
                <c:pt idx="4">
                  <c:v>H2</c:v>
                </c:pt>
              </c:strCache>
            </c:strRef>
          </c:cat>
          <c:val>
            <c:numRef>
              <c:f>Models!$E$44:$E$48</c:f>
              <c:numCache>
                <c:formatCode>0.0%</c:formatCode>
                <c:ptCount val="5"/>
                <c:pt idx="0">
                  <c:v>0.15614</c:v>
                </c:pt>
                <c:pt idx="1">
                  <c:v>0.30330000000000001</c:v>
                </c:pt>
                <c:pt idx="2">
                  <c:v>0.13016</c:v>
                </c:pt>
                <c:pt idx="3">
                  <c:v>0.30632999999999999</c:v>
                </c:pt>
                <c:pt idx="4">
                  <c:v>0.41167999999999999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D8-4B3F-AD72-2B12E32CC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444266728"/>
        <c:axId val="4442660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Models!$C$9</c15:sqref>
                        </c15:formulaRef>
                      </c:ext>
                    </c:extLst>
                    <c:strCache>
                      <c:ptCount val="1"/>
                      <c:pt idx="0">
                        <c:v>Gross electric efficiency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Models!$B$11:$B$15</c15:sqref>
                        </c15:formulaRef>
                      </c:ext>
                    </c:extLst>
                    <c:strCache>
                      <c:ptCount val="5"/>
                      <c:pt idx="0">
                        <c:v>Methane</c:v>
                      </c:pt>
                      <c:pt idx="1">
                        <c:v>MeOH</c:v>
                      </c:pt>
                      <c:pt idx="2">
                        <c:v>Diesel</c:v>
                      </c:pt>
                      <c:pt idx="3">
                        <c:v>NH3</c:v>
                      </c:pt>
                      <c:pt idx="4">
                        <c:v>H2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Models!$C$11:$C$15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0.59108000000000005</c:v>
                      </c:pt>
                      <c:pt idx="1">
                        <c:v>0.52595000000000003</c:v>
                      </c:pt>
                      <c:pt idx="2">
                        <c:v>0.58906999999999998</c:v>
                      </c:pt>
                      <c:pt idx="3">
                        <c:v>0.56116999999999995</c:v>
                      </c:pt>
                      <c:pt idx="4">
                        <c:v>0.49020999999999998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CD8-4B3F-AD72-2B12E32CC113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Models!$I$42</c:f>
              <c:strCache>
                <c:ptCount val="1"/>
                <c:pt idx="0">
                  <c:v>SOFC power</c:v>
                </c:pt>
              </c:strCache>
            </c:strRef>
          </c:tx>
          <c:spPr>
            <a:ln w="3492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val>
            <c:numRef>
              <c:f>Models!$I$44:$I$48</c:f>
              <c:numCache>
                <c:formatCode>_(* #,##0.00_);_(* \(#,##0.00\);_(* "-"??_);_(@_)</c:formatCode>
                <c:ptCount val="5"/>
                <c:pt idx="0">
                  <c:v>84.52</c:v>
                </c:pt>
                <c:pt idx="1">
                  <c:v>84.51</c:v>
                </c:pt>
                <c:pt idx="2">
                  <c:v>85.37</c:v>
                </c:pt>
                <c:pt idx="3">
                  <c:v>98.77</c:v>
                </c:pt>
                <c:pt idx="4">
                  <c:v>98.51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D8-4B3F-AD72-2B12E32CC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274768"/>
        <c:axId val="1327271024"/>
      </c:lineChart>
      <c:catAx>
        <c:axId val="44426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266072"/>
        <c:crosses val="autoZero"/>
        <c:auto val="1"/>
        <c:lblAlgn val="ctr"/>
        <c:lblOffset val="100"/>
        <c:noMultiLvlLbl val="0"/>
      </c:catAx>
      <c:valAx>
        <c:axId val="444266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800"/>
                  <a:t>Efficiency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266728"/>
        <c:crosses val="autoZero"/>
        <c:crossBetween val="between"/>
        <c:majorUnit val="0.2"/>
      </c:valAx>
      <c:valAx>
        <c:axId val="1327271024"/>
        <c:scaling>
          <c:orientation val="minMax"/>
          <c:max val="100"/>
          <c:min val="0"/>
        </c:scaling>
        <c:delete val="1"/>
        <c:axPos val="r"/>
        <c:numFmt formatCode="_(* #,##0_);_(* \(#,##0\);_(* &quot;-&quot;_);_(@_)" sourceLinked="0"/>
        <c:majorTickMark val="out"/>
        <c:minorTickMark val="none"/>
        <c:tickLblPos val="nextTo"/>
        <c:crossAx val="1327274768"/>
        <c:crosses val="max"/>
        <c:crossBetween val="between"/>
        <c:majorUnit val="10"/>
        <c:minorUnit val="10"/>
      </c:valAx>
      <c:catAx>
        <c:axId val="1327274768"/>
        <c:scaling>
          <c:orientation val="minMax"/>
        </c:scaling>
        <c:delete val="1"/>
        <c:axPos val="b"/>
        <c:majorTickMark val="out"/>
        <c:minorTickMark val="none"/>
        <c:tickLblPos val="nextTo"/>
        <c:crossAx val="13272710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20</xdr:col>
      <xdr:colOff>79375</xdr:colOff>
      <xdr:row>37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21</xdr:col>
      <xdr:colOff>423333</xdr:colOff>
      <xdr:row>78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58</xdr:row>
      <xdr:rowOff>0</xdr:rowOff>
    </xdr:from>
    <xdr:to>
      <xdr:col>8</xdr:col>
      <xdr:colOff>0</xdr:colOff>
      <xdr:row>78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49</xdr:row>
      <xdr:rowOff>0</xdr:rowOff>
    </xdr:from>
    <xdr:to>
      <xdr:col>42</xdr:col>
      <xdr:colOff>0</xdr:colOff>
      <xdr:row>69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101</xdr:row>
      <xdr:rowOff>0</xdr:rowOff>
    </xdr:from>
    <xdr:to>
      <xdr:col>8</xdr:col>
      <xdr:colOff>0</xdr:colOff>
      <xdr:row>121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88E93E0-6C6D-49AF-AE6D-69FCB564FB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nvanveldhuize/surfdrive/0.%20PHD%20(surfdrive)/06%20Nautilus%20project/WP7%20Technology%20analysis/T7.1%20Future%20fuels/2%20Fuel%20analysis/0%20Thermodynamic%20analysis/6%20Comparative%20analysis/2022-10-19%20CT_output_analysis%20v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s"/>
      <sheetName val="Studies"/>
      <sheetName val="Heat profiles"/>
      <sheetName val="_xltb_storage_"/>
      <sheetName val="Analysis"/>
      <sheetName val="Methane (0.2PR)"/>
      <sheetName val="Methanol"/>
      <sheetName val="Diesel"/>
      <sheetName val="Ammonia"/>
      <sheetName val="Hydrogen"/>
    </sheetNames>
    <sheetDataSet>
      <sheetData sheetId="0">
        <row r="9">
          <cell r="C9" t="str">
            <v>Gross electric efficiency</v>
          </cell>
          <cell r="D9" t="str">
            <v>Net electric efficiency</v>
          </cell>
          <cell r="E9" t="str">
            <v>Heat efficiency</v>
          </cell>
          <cell r="I9" t="str">
            <v>SOFC power</v>
          </cell>
          <cell r="N9" t="str">
            <v>Gross electric efficiency</v>
          </cell>
          <cell r="O9" t="str">
            <v>Net electric efficiency</v>
          </cell>
          <cell r="P9" t="str">
            <v>Heat efficiency</v>
          </cell>
        </row>
        <row r="11">
          <cell r="B11" t="str">
            <v>Methane</v>
          </cell>
          <cell r="C11">
            <v>0.59108000000000005</v>
          </cell>
          <cell r="D11">
            <v>0.58072999999999997</v>
          </cell>
          <cell r="E11">
            <v>0.13594000000000001</v>
          </cell>
          <cell r="I11">
            <v>84.97</v>
          </cell>
          <cell r="N11">
            <v>0.56899</v>
          </cell>
          <cell r="O11">
            <v>0.55901999999999996</v>
          </cell>
          <cell r="P11">
            <v>4.5089999999999998E-2</v>
          </cell>
        </row>
        <row r="12">
          <cell r="B12" t="str">
            <v>MeOH</v>
          </cell>
          <cell r="C12">
            <v>0.52595000000000003</v>
          </cell>
          <cell r="D12">
            <v>0.48885000000000001</v>
          </cell>
          <cell r="E12">
            <v>0.1492</v>
          </cell>
          <cell r="I12">
            <v>86.01</v>
          </cell>
          <cell r="N12">
            <v>0.49351</v>
          </cell>
          <cell r="O12">
            <v>0.4587</v>
          </cell>
          <cell r="P12">
            <v>3.4070000000000003E-2</v>
          </cell>
        </row>
        <row r="13">
          <cell r="B13" t="str">
            <v>Diesel</v>
          </cell>
          <cell r="C13">
            <v>0.58906999999999998</v>
          </cell>
          <cell r="D13">
            <v>0.57562999999999998</v>
          </cell>
          <cell r="E13">
            <v>6.3479999999999995E-2</v>
          </cell>
          <cell r="I13">
            <v>86.31</v>
          </cell>
          <cell r="N13">
            <v>0.56981000000000004</v>
          </cell>
          <cell r="O13">
            <v>0.55679999999999996</v>
          </cell>
          <cell r="P13">
            <v>3.5400000000000002E-3</v>
          </cell>
        </row>
        <row r="14">
          <cell r="B14" t="str">
            <v>NH3</v>
          </cell>
          <cell r="C14">
            <v>0.56116999999999995</v>
          </cell>
          <cell r="D14">
            <v>0.55088999999999999</v>
          </cell>
          <cell r="E14">
            <v>0.27368999999999999</v>
          </cell>
          <cell r="I14">
            <v>99.39</v>
          </cell>
          <cell r="N14">
            <v>0.52766000000000002</v>
          </cell>
          <cell r="O14">
            <v>0.51800000000000002</v>
          </cell>
          <cell r="P14">
            <v>8.1320000000000003E-2</v>
          </cell>
        </row>
        <row r="15">
          <cell r="B15" t="str">
            <v>H2</v>
          </cell>
          <cell r="C15">
            <v>0.49020999999999998</v>
          </cell>
          <cell r="D15">
            <v>0.47109000000000001</v>
          </cell>
          <cell r="E15">
            <v>0.25572</v>
          </cell>
          <cell r="I15">
            <v>100</v>
          </cell>
          <cell r="N15">
            <v>0.47760000000000002</v>
          </cell>
          <cell r="O15">
            <v>0.45896999999999999</v>
          </cell>
          <cell r="P15">
            <v>6.411E-2</v>
          </cell>
        </row>
        <row r="42">
          <cell r="D42" t="str">
            <v>Net electric efficiency</v>
          </cell>
          <cell r="E42" t="str">
            <v>Heat efficiency</v>
          </cell>
          <cell r="I42" t="str">
            <v>SOFC power</v>
          </cell>
        </row>
        <row r="44">
          <cell r="D44">
            <v>0.58016999999999996</v>
          </cell>
          <cell r="E44">
            <v>0.15614</v>
          </cell>
          <cell r="I44">
            <v>84.52</v>
          </cell>
        </row>
        <row r="45">
          <cell r="D45">
            <v>0.49473</v>
          </cell>
          <cell r="E45">
            <v>0.30330000000000001</v>
          </cell>
          <cell r="I45">
            <v>84.51</v>
          </cell>
        </row>
        <row r="46">
          <cell r="D46">
            <v>0.57411999999999996</v>
          </cell>
          <cell r="E46">
            <v>0.13016</v>
          </cell>
          <cell r="I46">
            <v>85.37</v>
          </cell>
        </row>
        <row r="47">
          <cell r="D47">
            <v>0.55010999999999999</v>
          </cell>
          <cell r="E47">
            <v>0.30632999999999999</v>
          </cell>
          <cell r="I47">
            <v>98.77</v>
          </cell>
        </row>
        <row r="48">
          <cell r="D48">
            <v>0.46755000000000002</v>
          </cell>
          <cell r="E48">
            <v>0.41167999999999999</v>
          </cell>
          <cell r="I48">
            <v>98.51</v>
          </cell>
        </row>
        <row r="59">
          <cell r="AD59" t="str">
            <v>Hot Water</v>
          </cell>
          <cell r="AE59" t="str">
            <v>Saturated Steam</v>
          </cell>
        </row>
        <row r="60">
          <cell r="AB60" t="str">
            <v>Methane</v>
          </cell>
          <cell r="AC60" t="str">
            <v xml:space="preserve"> No COG-R</v>
          </cell>
          <cell r="AD60">
            <v>5.22</v>
          </cell>
          <cell r="AE60">
            <v>14.33</v>
          </cell>
        </row>
        <row r="61">
          <cell r="AC61" t="str">
            <v>COG-R</v>
          </cell>
          <cell r="AD61">
            <v>0.94</v>
          </cell>
          <cell r="AE61">
            <v>21.38</v>
          </cell>
        </row>
        <row r="62">
          <cell r="AB62" t="str">
            <v>MeOH</v>
          </cell>
          <cell r="AC62" t="str">
            <v xml:space="preserve"> No COG-R</v>
          </cell>
          <cell r="AD62">
            <v>24.4</v>
          </cell>
          <cell r="AE62">
            <v>0</v>
          </cell>
        </row>
        <row r="63">
          <cell r="AC63" t="str">
            <v>COG-R</v>
          </cell>
          <cell r="AD63">
            <v>8.8800000000000008</v>
          </cell>
          <cell r="AE63">
            <v>39.85</v>
          </cell>
        </row>
        <row r="64">
          <cell r="AB64" t="str">
            <v>Diesel</v>
          </cell>
          <cell r="AC64" t="str">
            <v xml:space="preserve"> No COG-R</v>
          </cell>
          <cell r="AD64">
            <v>9.3000000000000007</v>
          </cell>
          <cell r="AE64">
            <v>0</v>
          </cell>
        </row>
        <row r="65">
          <cell r="AC65" t="str">
            <v>COG-R</v>
          </cell>
          <cell r="AD65">
            <v>16.649999999999999</v>
          </cell>
          <cell r="AE65">
            <v>2.21</v>
          </cell>
        </row>
        <row r="66">
          <cell r="AB66" t="str">
            <v>NH3</v>
          </cell>
          <cell r="AC66" t="str">
            <v xml:space="preserve"> No COG-R</v>
          </cell>
          <cell r="AD66">
            <v>30.22</v>
          </cell>
          <cell r="AE66">
            <v>18.25</v>
          </cell>
        </row>
        <row r="67">
          <cell r="AC67" t="str">
            <v>COG-R</v>
          </cell>
          <cell r="AD67">
            <v>23.2</v>
          </cell>
          <cell r="AE67">
            <v>30.72</v>
          </cell>
        </row>
        <row r="68">
          <cell r="AB68" t="str">
            <v>H2</v>
          </cell>
          <cell r="AC68" t="str">
            <v xml:space="preserve"> No COG-R</v>
          </cell>
          <cell r="AD68">
            <v>52.17</v>
          </cell>
          <cell r="AE68">
            <v>0</v>
          </cell>
        </row>
        <row r="69">
          <cell r="AC69" t="str">
            <v>COG-R</v>
          </cell>
          <cell r="AD69">
            <v>23.12</v>
          </cell>
          <cell r="AE69">
            <v>59.61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H99"/>
  <sheetViews>
    <sheetView tabSelected="1" zoomScale="85" zoomScaleNormal="85" workbookViewId="0">
      <selection activeCell="L12" sqref="L12"/>
    </sheetView>
  </sheetViews>
  <sheetFormatPr defaultRowHeight="15" x14ac:dyDescent="0.25"/>
  <cols>
    <col min="2" max="2" width="15" customWidth="1"/>
    <col min="3" max="3" width="14.7109375" bestFit="1" customWidth="1"/>
    <col min="4" max="4" width="13.7109375" customWidth="1"/>
    <col min="5" max="6" width="14.7109375" bestFit="1" customWidth="1"/>
    <col min="7" max="7" width="7.28515625" bestFit="1" customWidth="1"/>
    <col min="8" max="8" width="17.42578125" bestFit="1" customWidth="1"/>
    <col min="9" max="9" width="13.5703125" bestFit="1" customWidth="1"/>
    <col min="10" max="10" width="14.42578125" bestFit="1" customWidth="1"/>
    <col min="11" max="11" width="14.7109375" bestFit="1" customWidth="1"/>
    <col min="16" max="16" width="10.42578125" customWidth="1"/>
    <col min="19" max="19" width="14.85546875" bestFit="1" customWidth="1"/>
    <col min="20" max="20" width="9.140625" customWidth="1"/>
    <col min="21" max="21" width="11.5703125" customWidth="1"/>
    <col min="22" max="22" width="8.85546875" customWidth="1"/>
    <col min="28" max="28" width="22" bestFit="1" customWidth="1"/>
    <col min="29" max="29" width="20.42578125" bestFit="1" customWidth="1"/>
    <col min="30" max="30" width="21.140625" bestFit="1" customWidth="1"/>
    <col min="31" max="31" width="23" bestFit="1" customWidth="1"/>
    <col min="32" max="32" width="16.28515625" bestFit="1" customWidth="1"/>
    <col min="33" max="33" width="16.85546875" bestFit="1" customWidth="1"/>
  </cols>
  <sheetData>
    <row r="1" spans="2:30" x14ac:dyDescent="0.25">
      <c r="B1" s="1" t="s">
        <v>0</v>
      </c>
    </row>
    <row r="2" spans="2:30" x14ac:dyDescent="0.25">
      <c r="B2" t="s">
        <v>1</v>
      </c>
      <c r="C2">
        <v>0.8</v>
      </c>
      <c r="D2" t="s">
        <v>2</v>
      </c>
    </row>
    <row r="3" spans="2:30" x14ac:dyDescent="0.25">
      <c r="B3" t="s">
        <v>3</v>
      </c>
      <c r="C3">
        <v>0.8</v>
      </c>
      <c r="D3" t="s">
        <v>4</v>
      </c>
    </row>
    <row r="4" spans="2:30" x14ac:dyDescent="0.25">
      <c r="B4" t="s">
        <v>5</v>
      </c>
      <c r="C4">
        <v>31.76</v>
      </c>
      <c r="D4" t="s">
        <v>6</v>
      </c>
    </row>
    <row r="5" spans="2:30" x14ac:dyDescent="0.25">
      <c r="B5" t="s">
        <v>7</v>
      </c>
      <c r="C5" s="2">
        <v>4.3234E-5</v>
      </c>
      <c r="D5" t="s">
        <v>8</v>
      </c>
    </row>
    <row r="6" spans="2:30" x14ac:dyDescent="0.25">
      <c r="C6" s="2"/>
      <c r="Y6" t="s">
        <v>9</v>
      </c>
      <c r="AB6">
        <v>30</v>
      </c>
      <c r="AC6" t="s">
        <v>10</v>
      </c>
    </row>
    <row r="7" spans="2:30" x14ac:dyDescent="0.25">
      <c r="B7" t="s">
        <v>11</v>
      </c>
    </row>
    <row r="8" spans="2:30" x14ac:dyDescent="0.25">
      <c r="C8" s="3" t="s">
        <v>12</v>
      </c>
      <c r="D8" s="3"/>
      <c r="E8" s="3"/>
      <c r="F8" s="3"/>
      <c r="G8" s="4"/>
      <c r="H8" s="3" t="s">
        <v>13</v>
      </c>
      <c r="I8" s="3"/>
      <c r="J8" s="3"/>
      <c r="K8" s="3"/>
      <c r="L8" s="1"/>
      <c r="M8" s="1"/>
      <c r="N8" s="3" t="s">
        <v>14</v>
      </c>
      <c r="O8" s="3"/>
      <c r="P8" s="3"/>
      <c r="Q8" s="3"/>
      <c r="S8" s="3" t="s">
        <v>15</v>
      </c>
      <c r="T8" s="3"/>
      <c r="U8" s="3"/>
      <c r="V8" s="3"/>
      <c r="Y8" s="1" t="s">
        <v>16</v>
      </c>
    </row>
    <row r="9" spans="2:30" x14ac:dyDescent="0.25">
      <c r="C9" t="s">
        <v>17</v>
      </c>
      <c r="D9" t="s">
        <v>18</v>
      </c>
      <c r="E9" t="s">
        <v>19</v>
      </c>
      <c r="F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N9" t="s">
        <v>17</v>
      </c>
      <c r="O9" t="s">
        <v>18</v>
      </c>
      <c r="P9" t="s">
        <v>19</v>
      </c>
      <c r="Q9" t="s">
        <v>20</v>
      </c>
      <c r="T9" s="5" t="s">
        <v>26</v>
      </c>
      <c r="U9" s="5" t="s">
        <v>27</v>
      </c>
      <c r="Y9" t="s">
        <v>28</v>
      </c>
      <c r="Z9" s="6" t="s">
        <v>29</v>
      </c>
      <c r="AA9" s="6" t="s">
        <v>30</v>
      </c>
      <c r="AB9" s="6" t="s">
        <v>31</v>
      </c>
    </row>
    <row r="10" spans="2:30" x14ac:dyDescent="0.25">
      <c r="I10" t="s">
        <v>32</v>
      </c>
      <c r="J10" t="s">
        <v>32</v>
      </c>
      <c r="K10" t="s">
        <v>32</v>
      </c>
      <c r="L10" t="s">
        <v>33</v>
      </c>
      <c r="T10" t="s">
        <v>34</v>
      </c>
      <c r="U10" t="s">
        <v>34</v>
      </c>
      <c r="Y10" t="s">
        <v>32</v>
      </c>
      <c r="Z10" s="6" t="s">
        <v>35</v>
      </c>
      <c r="AA10" s="6" t="s">
        <v>35</v>
      </c>
      <c r="AB10" s="6" t="s">
        <v>2</v>
      </c>
    </row>
    <row r="11" spans="2:30" x14ac:dyDescent="0.25">
      <c r="B11" t="s">
        <v>36</v>
      </c>
      <c r="C11" s="7">
        <v>0.59108000000000005</v>
      </c>
      <c r="D11" s="7">
        <v>0.58072999999999997</v>
      </c>
      <c r="E11" s="7">
        <v>0.13594000000000001</v>
      </c>
      <c r="F11" s="7">
        <f t="shared" ref="F11:F14" si="0">D11+E11</f>
        <v>0.71666999999999992</v>
      </c>
      <c r="G11" s="8"/>
      <c r="H11" s="8">
        <v>0.16209999999999999</v>
      </c>
      <c r="I11" s="9">
        <v>84.97</v>
      </c>
      <c r="J11">
        <v>14.33</v>
      </c>
      <c r="K11">
        <v>5.22</v>
      </c>
      <c r="L11" s="10">
        <v>3483.44</v>
      </c>
      <c r="N11" s="7">
        <v>0.56899</v>
      </c>
      <c r="O11" s="7">
        <v>0.55901999999999996</v>
      </c>
      <c r="P11" s="7">
        <v>4.5089999999999998E-2</v>
      </c>
      <c r="Q11" s="7">
        <v>0.60411000000000004</v>
      </c>
      <c r="T11" s="11">
        <v>0.246</v>
      </c>
      <c r="U11" s="11">
        <v>0.23699999999999999</v>
      </c>
      <c r="Y11" s="12">
        <v>170.67500000000001</v>
      </c>
      <c r="Z11">
        <v>194.63</v>
      </c>
      <c r="AA11">
        <v>220.77</v>
      </c>
      <c r="AB11" s="10">
        <f>(Z11-AA11)/LN(Z11/AA11)</f>
        <v>207.42555663754027</v>
      </c>
      <c r="AC11" s="10">
        <f>Y11*1000/($AB$6*AB11)</f>
        <v>27.427510664021192</v>
      </c>
    </row>
    <row r="12" spans="2:30" x14ac:dyDescent="0.25">
      <c r="B12" t="s">
        <v>37</v>
      </c>
      <c r="C12" s="7">
        <v>0.52595000000000003</v>
      </c>
      <c r="D12" s="7">
        <v>0.48885000000000001</v>
      </c>
      <c r="E12" s="7">
        <v>0.1492</v>
      </c>
      <c r="F12" s="7">
        <f t="shared" si="0"/>
        <v>0.63805000000000001</v>
      </c>
      <c r="G12" s="8"/>
      <c r="H12" s="8">
        <v>7.46E-2</v>
      </c>
      <c r="I12" s="9">
        <v>86.01</v>
      </c>
      <c r="J12">
        <v>0</v>
      </c>
      <c r="K12">
        <v>24.4</v>
      </c>
      <c r="L12" s="10">
        <v>3526.15</v>
      </c>
      <c r="N12" s="7">
        <v>0.49351</v>
      </c>
      <c r="O12" s="7">
        <v>0.4587</v>
      </c>
      <c r="P12" s="7">
        <v>3.4070000000000003E-2</v>
      </c>
      <c r="Q12" s="7">
        <v>0.49276999999999999</v>
      </c>
      <c r="T12" s="11">
        <v>0.54100000000000004</v>
      </c>
      <c r="U12" s="11">
        <v>0.53100000000000003</v>
      </c>
      <c r="Y12">
        <v>372.86200000000002</v>
      </c>
      <c r="Z12">
        <v>136.19999999999999</v>
      </c>
      <c r="AA12">
        <v>160.62</v>
      </c>
      <c r="AB12" s="10">
        <f t="shared" ref="AB12:AB15" si="1">(Z12-AA12)/LN(Z12/AA12)</f>
        <v>148.07454607072299</v>
      </c>
      <c r="AC12" s="10">
        <f t="shared" ref="AC12:AC15" si="2">Y12*1000/($AB$6*AB12)</f>
        <v>83.935650408120466</v>
      </c>
    </row>
    <row r="13" spans="2:30" x14ac:dyDescent="0.25">
      <c r="B13" s="13" t="s">
        <v>38</v>
      </c>
      <c r="C13" s="14">
        <v>0.58906999999999998</v>
      </c>
      <c r="D13" s="14">
        <v>0.57562999999999998</v>
      </c>
      <c r="E13" s="14">
        <v>6.3479999999999995E-2</v>
      </c>
      <c r="F13" s="14">
        <f t="shared" si="0"/>
        <v>0.63910999999999996</v>
      </c>
      <c r="G13" s="15"/>
      <c r="H13" s="15">
        <v>0.1231</v>
      </c>
      <c r="I13" s="16">
        <v>86.31</v>
      </c>
      <c r="J13" s="13">
        <v>0</v>
      </c>
      <c r="K13" s="13">
        <v>9.3000000000000007</v>
      </c>
      <c r="L13" s="17">
        <v>3538.42</v>
      </c>
      <c r="M13" s="13"/>
      <c r="N13" s="14">
        <v>0.56981000000000004</v>
      </c>
      <c r="O13" s="14">
        <v>0.55679999999999996</v>
      </c>
      <c r="P13" s="14">
        <v>3.5400000000000002E-3</v>
      </c>
      <c r="Q13" s="14">
        <v>0.56033999999999995</v>
      </c>
      <c r="R13" s="13"/>
      <c r="S13" s="13"/>
      <c r="T13" s="18">
        <v>0.32600000000000001</v>
      </c>
      <c r="U13" s="18">
        <v>0.317</v>
      </c>
      <c r="V13" s="13"/>
      <c r="W13" s="13"/>
      <c r="X13" s="13"/>
      <c r="Y13" s="13">
        <v>226.33</v>
      </c>
      <c r="Z13" s="13">
        <v>170.55</v>
      </c>
      <c r="AA13" s="13">
        <v>211.34</v>
      </c>
      <c r="AB13" s="17">
        <f t="shared" si="1"/>
        <v>190.21664174763771</v>
      </c>
      <c r="AC13" s="17">
        <f t="shared" si="2"/>
        <v>39.661794383598021</v>
      </c>
      <c r="AD13" s="13"/>
    </row>
    <row r="14" spans="2:30" x14ac:dyDescent="0.25">
      <c r="B14" t="s">
        <v>39</v>
      </c>
      <c r="C14" s="7">
        <v>0.56116999999999995</v>
      </c>
      <c r="D14" s="7">
        <v>0.55088999999999999</v>
      </c>
      <c r="E14" s="7">
        <v>0.27368999999999999</v>
      </c>
      <c r="F14" s="7">
        <f t="shared" si="0"/>
        <v>0.82457999999999998</v>
      </c>
      <c r="G14" s="8"/>
      <c r="H14" s="8">
        <v>0.153</v>
      </c>
      <c r="I14" s="9">
        <v>99.39</v>
      </c>
      <c r="J14">
        <v>18.25</v>
      </c>
      <c r="K14">
        <v>30.22</v>
      </c>
      <c r="L14" s="10">
        <v>4074.66</v>
      </c>
      <c r="N14" s="7">
        <v>0.52766000000000002</v>
      </c>
      <c r="O14" s="7">
        <v>0.51800000000000002</v>
      </c>
      <c r="P14" s="7">
        <v>8.1320000000000003E-2</v>
      </c>
      <c r="Q14" s="7">
        <v>0.59931999999999996</v>
      </c>
      <c r="T14" s="11">
        <v>0.30499999999999999</v>
      </c>
      <c r="U14" s="11">
        <v>0.29399999999999998</v>
      </c>
      <c r="Y14">
        <v>211.41</v>
      </c>
      <c r="Z14">
        <v>188.21</v>
      </c>
      <c r="AA14">
        <v>215.06</v>
      </c>
      <c r="AB14" s="10">
        <f t="shared" si="1"/>
        <v>201.33669832072792</v>
      </c>
      <c r="AC14" s="10">
        <f t="shared" si="2"/>
        <v>35.001070638270718</v>
      </c>
    </row>
    <row r="15" spans="2:30" x14ac:dyDescent="0.25">
      <c r="B15" t="s">
        <v>40</v>
      </c>
      <c r="C15" s="7">
        <v>0.49020999999999998</v>
      </c>
      <c r="D15" s="7">
        <v>0.47109000000000001</v>
      </c>
      <c r="E15" s="7">
        <v>0.25572</v>
      </c>
      <c r="F15" s="7">
        <f>D15+E15</f>
        <v>0.72680999999999996</v>
      </c>
      <c r="G15" s="8"/>
      <c r="H15" s="8">
        <v>7.2099999999999997E-2</v>
      </c>
      <c r="I15" s="9">
        <v>100</v>
      </c>
      <c r="J15">
        <v>0</v>
      </c>
      <c r="K15">
        <v>52.17</v>
      </c>
      <c r="L15" s="10">
        <v>4100</v>
      </c>
      <c r="N15" s="7">
        <v>0.47760000000000002</v>
      </c>
      <c r="O15" s="7">
        <v>0.45896999999999999</v>
      </c>
      <c r="P15" s="7">
        <v>6.411E-2</v>
      </c>
      <c r="Q15" s="7">
        <v>0.52307999999999999</v>
      </c>
      <c r="T15" s="11">
        <v>0.65100000000000002</v>
      </c>
      <c r="U15" s="11">
        <v>0.64</v>
      </c>
      <c r="Y15">
        <v>451.428</v>
      </c>
      <c r="Z15">
        <v>134.04</v>
      </c>
      <c r="AA15">
        <v>147.47</v>
      </c>
      <c r="AB15" s="10">
        <f t="shared" si="1"/>
        <v>140.64815092526084</v>
      </c>
      <c r="AC15" s="10">
        <f t="shared" si="2"/>
        <v>106.98754232464925</v>
      </c>
    </row>
    <row r="39" spans="2:29" x14ac:dyDescent="0.25">
      <c r="B39" t="s">
        <v>11</v>
      </c>
    </row>
    <row r="40" spans="2:29" ht="21" x14ac:dyDescent="0.35">
      <c r="B40" s="19" t="s">
        <v>41</v>
      </c>
    </row>
    <row r="41" spans="2:29" x14ac:dyDescent="0.25">
      <c r="C41" s="3" t="s">
        <v>12</v>
      </c>
      <c r="D41" s="3"/>
      <c r="E41" s="3"/>
      <c r="F41" s="3"/>
      <c r="G41" s="4"/>
      <c r="H41" s="3" t="s">
        <v>13</v>
      </c>
      <c r="I41" s="3"/>
      <c r="J41" s="3"/>
      <c r="K41" s="3"/>
      <c r="L41" s="1"/>
      <c r="M41" s="1"/>
      <c r="N41" s="3" t="s">
        <v>14</v>
      </c>
      <c r="O41" s="3"/>
      <c r="P41" s="3"/>
      <c r="Q41" s="3"/>
      <c r="S41" s="3" t="s">
        <v>15</v>
      </c>
      <c r="T41" s="3"/>
      <c r="U41" s="3"/>
      <c r="V41" s="3"/>
      <c r="Y41" s="1" t="s">
        <v>16</v>
      </c>
    </row>
    <row r="42" spans="2:29" x14ac:dyDescent="0.25">
      <c r="C42" t="s">
        <v>17</v>
      </c>
      <c r="D42" t="s">
        <v>18</v>
      </c>
      <c r="E42" t="s">
        <v>19</v>
      </c>
      <c r="F42" t="s">
        <v>20</v>
      </c>
      <c r="H42" t="s">
        <v>21</v>
      </c>
      <c r="I42" t="s">
        <v>22</v>
      </c>
      <c r="J42" t="s">
        <v>23</v>
      </c>
      <c r="K42" t="s">
        <v>24</v>
      </c>
      <c r="L42" t="s">
        <v>25</v>
      </c>
      <c r="N42" t="s">
        <v>17</v>
      </c>
      <c r="O42" t="s">
        <v>18</v>
      </c>
      <c r="P42" t="s">
        <v>19</v>
      </c>
      <c r="Q42" t="s">
        <v>20</v>
      </c>
      <c r="S42" s="5" t="s">
        <v>42</v>
      </c>
      <c r="T42" s="5" t="s">
        <v>26</v>
      </c>
      <c r="U42" s="5" t="s">
        <v>27</v>
      </c>
      <c r="V42" s="5" t="s">
        <v>43</v>
      </c>
      <c r="W42" s="5" t="s">
        <v>44</v>
      </c>
      <c r="Y42" t="s">
        <v>28</v>
      </c>
      <c r="Z42" s="6" t="s">
        <v>29</v>
      </c>
      <c r="AA42" s="6" t="s">
        <v>30</v>
      </c>
      <c r="AB42" s="6" t="s">
        <v>31</v>
      </c>
      <c r="AC42" s="6" t="s">
        <v>45</v>
      </c>
    </row>
    <row r="43" spans="2:29" x14ac:dyDescent="0.25">
      <c r="I43" t="s">
        <v>32</v>
      </c>
      <c r="J43" t="s">
        <v>32</v>
      </c>
      <c r="K43" t="s">
        <v>32</v>
      </c>
      <c r="L43" t="s">
        <v>33</v>
      </c>
      <c r="S43" s="6" t="s">
        <v>46</v>
      </c>
      <c r="T43" t="s">
        <v>34</v>
      </c>
      <c r="U43" t="s">
        <v>34</v>
      </c>
      <c r="V43" t="s">
        <v>34</v>
      </c>
      <c r="Y43" t="s">
        <v>32</v>
      </c>
      <c r="Z43" s="6" t="s">
        <v>35</v>
      </c>
      <c r="AA43" s="6" t="s">
        <v>35</v>
      </c>
      <c r="AC43" s="6" t="s">
        <v>47</v>
      </c>
    </row>
    <row r="44" spans="2:29" x14ac:dyDescent="0.25">
      <c r="B44" t="s">
        <v>36</v>
      </c>
      <c r="C44" s="7">
        <v>0.59108000000000005</v>
      </c>
      <c r="D44" s="7">
        <v>0.58016999999999996</v>
      </c>
      <c r="E44" s="7">
        <v>0.15614</v>
      </c>
      <c r="F44" s="7">
        <v>0.73631000000000002</v>
      </c>
      <c r="G44" s="8"/>
      <c r="H44" s="8">
        <v>0.1671</v>
      </c>
      <c r="I44" s="9">
        <v>84.52</v>
      </c>
      <c r="J44">
        <v>21.38</v>
      </c>
      <c r="K44">
        <v>0.94</v>
      </c>
      <c r="L44" s="10">
        <v>3465</v>
      </c>
      <c r="N44" s="7">
        <v>0.56899</v>
      </c>
      <c r="O44" s="7">
        <v>0.55847999999999998</v>
      </c>
      <c r="P44" s="7">
        <v>6.2039999999999998E-2</v>
      </c>
      <c r="Q44" s="7">
        <v>0.62051999999999996</v>
      </c>
      <c r="S44" s="20">
        <v>660</v>
      </c>
      <c r="T44" s="11">
        <v>0.19900000000000001</v>
      </c>
      <c r="U44" s="11">
        <v>0.23499999999999999</v>
      </c>
      <c r="V44" s="11">
        <v>4.5999999999999999E-2</v>
      </c>
      <c r="W44" s="7">
        <f>V44/U44</f>
        <v>0.19574468085106383</v>
      </c>
      <c r="Y44" s="12">
        <v>133.22200000000001</v>
      </c>
      <c r="Z44">
        <v>237.97</v>
      </c>
      <c r="AA44">
        <v>269.27</v>
      </c>
      <c r="AB44" s="10">
        <f>(Z44-AA44)/LN(Z44/AA44)</f>
        <v>253.29777030243449</v>
      </c>
      <c r="AC44" s="10">
        <f>Y44*1000/($AB$6*AB44)</f>
        <v>17.531671629131008</v>
      </c>
    </row>
    <row r="45" spans="2:29" x14ac:dyDescent="0.25">
      <c r="B45" t="s">
        <v>37</v>
      </c>
      <c r="C45" s="7">
        <v>0.52595000000000003</v>
      </c>
      <c r="D45" s="7">
        <v>0.49473</v>
      </c>
      <c r="E45" s="7">
        <v>0.30330000000000001</v>
      </c>
      <c r="F45" s="7">
        <v>0.79803000000000002</v>
      </c>
      <c r="G45" s="8"/>
      <c r="H45" s="8">
        <v>8.3500000000000005E-2</v>
      </c>
      <c r="I45" s="9">
        <v>84.51</v>
      </c>
      <c r="J45">
        <v>39.85</v>
      </c>
      <c r="K45">
        <v>8.8800000000000008</v>
      </c>
      <c r="L45" s="10">
        <v>3464.48</v>
      </c>
      <c r="N45" s="7">
        <v>0.52595000000000003</v>
      </c>
      <c r="O45" s="7">
        <v>0.49473</v>
      </c>
      <c r="P45" s="7">
        <v>0.30330000000000001</v>
      </c>
      <c r="Q45" s="7">
        <v>0.79803000000000002</v>
      </c>
      <c r="S45">
        <v>530</v>
      </c>
      <c r="T45" s="11">
        <v>0.19500000000000001</v>
      </c>
      <c r="U45" s="11">
        <v>0.52100000000000002</v>
      </c>
      <c r="V45" s="11">
        <v>0.33500000000000002</v>
      </c>
      <c r="W45" s="7">
        <f t="shared" ref="W45:W48" si="3">V45/U45</f>
        <v>0.64299424184261034</v>
      </c>
      <c r="Y45">
        <v>101.33799999999999</v>
      </c>
      <c r="Z45">
        <v>370.71</v>
      </c>
      <c r="AA45">
        <v>432.73</v>
      </c>
      <c r="AB45" s="10">
        <f>(Z45-AA45)/LN(Z45/AA45)</f>
        <v>400.92080909810312</v>
      </c>
      <c r="AC45" s="10">
        <f t="shared" ref="AC45:AC48" si="4">Y45*1000/($AB$6*AB45)</f>
        <v>8.4254377839160046</v>
      </c>
    </row>
    <row r="46" spans="2:29" x14ac:dyDescent="0.25">
      <c r="B46" t="s">
        <v>38</v>
      </c>
      <c r="C46" s="7">
        <v>0.58906999999999998</v>
      </c>
      <c r="D46" s="7">
        <v>0.57411999999999996</v>
      </c>
      <c r="E46" s="7">
        <v>0.13016</v>
      </c>
      <c r="F46" s="7">
        <v>0.70428000000000002</v>
      </c>
      <c r="G46" s="8"/>
      <c r="H46" s="8">
        <v>0.13239999999999999</v>
      </c>
      <c r="I46" s="9">
        <v>85.37</v>
      </c>
      <c r="J46">
        <v>2.21</v>
      </c>
      <c r="K46">
        <v>16.649999999999999</v>
      </c>
      <c r="L46" s="10">
        <v>3500.1</v>
      </c>
      <c r="N46" s="7">
        <v>0.56979999999999997</v>
      </c>
      <c r="O46" s="7">
        <v>0.55535000000000001</v>
      </c>
      <c r="P46" s="7">
        <v>3.7850000000000002E-2</v>
      </c>
      <c r="Q46" s="7">
        <v>0.59319999999999995</v>
      </c>
      <c r="S46">
        <v>625</v>
      </c>
      <c r="T46" s="11">
        <v>0.19800000000000001</v>
      </c>
      <c r="U46" s="11">
        <v>0.314</v>
      </c>
      <c r="V46" s="11">
        <v>0.125</v>
      </c>
      <c r="W46" s="7">
        <f t="shared" si="3"/>
        <v>0.39808917197452232</v>
      </c>
      <c r="Y46" s="11">
        <v>124.76900000000001</v>
      </c>
      <c r="Z46">
        <v>275.93</v>
      </c>
      <c r="AA46">
        <v>342.64</v>
      </c>
      <c r="AB46" s="10">
        <f t="shared" ref="AB46:AB48" si="5">(Z46-AA46)/LN(Z46/AA46)</f>
        <v>308.08219588918809</v>
      </c>
      <c r="AC46" s="10">
        <f t="shared" si="4"/>
        <v>13.499535910093865</v>
      </c>
    </row>
    <row r="47" spans="2:29" x14ac:dyDescent="0.25">
      <c r="B47" t="s">
        <v>39</v>
      </c>
      <c r="C47" s="7">
        <v>0.56116999999999995</v>
      </c>
      <c r="D47" s="7">
        <v>0.55010999999999999</v>
      </c>
      <c r="E47" s="7">
        <v>0.30632999999999999</v>
      </c>
      <c r="F47" s="7">
        <v>0.85648000000000002</v>
      </c>
      <c r="G47" s="8"/>
      <c r="H47" s="8">
        <v>0.15959999999999999</v>
      </c>
      <c r="I47" s="9">
        <v>98.77</v>
      </c>
      <c r="J47">
        <v>30.72</v>
      </c>
      <c r="K47">
        <v>23.2</v>
      </c>
      <c r="L47" s="10">
        <v>4050</v>
      </c>
      <c r="N47" s="7">
        <v>0.52766000000000002</v>
      </c>
      <c r="O47" s="7">
        <v>0.51729999999999998</v>
      </c>
      <c r="P47" s="7">
        <v>0.10351</v>
      </c>
      <c r="Q47" s="7">
        <v>0.62082000000000004</v>
      </c>
      <c r="S47">
        <v>652</v>
      </c>
      <c r="T47" s="11">
        <v>0.22800000000000001</v>
      </c>
      <c r="U47" s="11">
        <v>0.29199999999999998</v>
      </c>
      <c r="V47" s="11">
        <v>7.3999999999999996E-2</v>
      </c>
      <c r="W47" s="7">
        <f t="shared" si="3"/>
        <v>0.25342465753424659</v>
      </c>
      <c r="Y47" s="11">
        <v>151.255</v>
      </c>
      <c r="Z47" s="11">
        <v>247.52</v>
      </c>
      <c r="AA47" s="11">
        <v>284.77</v>
      </c>
      <c r="AB47" s="10">
        <f t="shared" si="5"/>
        <v>265.70996795523138</v>
      </c>
      <c r="AC47" s="10">
        <f t="shared" si="4"/>
        <v>18.974949912992408</v>
      </c>
    </row>
    <row r="48" spans="2:29" x14ac:dyDescent="0.25">
      <c r="B48" t="s">
        <v>40</v>
      </c>
      <c r="C48" s="7">
        <v>0.49020999999999998</v>
      </c>
      <c r="D48" s="7">
        <v>0.46755000000000002</v>
      </c>
      <c r="E48" s="7">
        <v>0.41167999999999999</v>
      </c>
      <c r="F48" s="7">
        <v>0.87924000000000002</v>
      </c>
      <c r="G48" s="8"/>
      <c r="H48" s="8">
        <v>8.0299999999999996E-2</v>
      </c>
      <c r="I48" s="9">
        <v>98.51</v>
      </c>
      <c r="J48">
        <v>59.61</v>
      </c>
      <c r="K48">
        <v>23.12</v>
      </c>
      <c r="L48" s="10">
        <v>4038.82</v>
      </c>
      <c r="N48" s="7">
        <v>0.47760000000000002</v>
      </c>
      <c r="O48" s="7">
        <v>0.45552999999999999</v>
      </c>
      <c r="P48" s="7">
        <v>0.17155000000000001</v>
      </c>
      <c r="Q48" s="7">
        <v>0.62707999999999997</v>
      </c>
      <c r="S48">
        <v>530</v>
      </c>
      <c r="T48" s="11">
        <v>0.23599999999999999</v>
      </c>
      <c r="U48" s="11">
        <v>0.629</v>
      </c>
      <c r="V48" s="11">
        <v>0.40400000000000003</v>
      </c>
      <c r="W48" s="7">
        <f t="shared" si="3"/>
        <v>0.64228934817170114</v>
      </c>
      <c r="Y48" s="11">
        <v>123.741</v>
      </c>
      <c r="Z48" s="11">
        <v>369.64</v>
      </c>
      <c r="AA48" s="11">
        <v>404.65</v>
      </c>
      <c r="AB48" s="10">
        <f t="shared" si="5"/>
        <v>386.88102288277537</v>
      </c>
      <c r="AC48" s="10">
        <f t="shared" si="4"/>
        <v>10.661417221412229</v>
      </c>
    </row>
    <row r="50" spans="2:31" x14ac:dyDescent="0.25">
      <c r="B50" s="1" t="s">
        <v>48</v>
      </c>
      <c r="C50" s="3" t="s">
        <v>12</v>
      </c>
      <c r="D50" s="3"/>
      <c r="E50" s="3"/>
      <c r="F50" s="3"/>
      <c r="G50" s="4"/>
      <c r="H50" s="3" t="s">
        <v>13</v>
      </c>
      <c r="I50" s="3"/>
      <c r="J50" s="3"/>
      <c r="K50" s="3"/>
      <c r="L50" s="1"/>
      <c r="M50" s="1"/>
      <c r="N50" s="3" t="s">
        <v>14</v>
      </c>
      <c r="O50" s="3"/>
      <c r="P50" s="3"/>
      <c r="Q50" s="3"/>
      <c r="S50" s="1" t="s">
        <v>15</v>
      </c>
      <c r="Y50" s="1" t="s">
        <v>16</v>
      </c>
    </row>
    <row r="51" spans="2:31" x14ac:dyDescent="0.25">
      <c r="C51" t="s">
        <v>17</v>
      </c>
      <c r="D51" t="s">
        <v>18</v>
      </c>
      <c r="E51" t="s">
        <v>19</v>
      </c>
      <c r="F51" t="s">
        <v>20</v>
      </c>
      <c r="H51" t="s">
        <v>21</v>
      </c>
      <c r="I51" t="s">
        <v>22</v>
      </c>
      <c r="J51" t="s">
        <v>23</v>
      </c>
      <c r="K51" t="s">
        <v>24</v>
      </c>
      <c r="L51" t="s">
        <v>25</v>
      </c>
      <c r="N51" t="s">
        <v>17</v>
      </c>
      <c r="O51" t="s">
        <v>18</v>
      </c>
      <c r="P51" t="s">
        <v>19</v>
      </c>
      <c r="Q51" t="s">
        <v>20</v>
      </c>
      <c r="S51" s="5" t="s">
        <v>42</v>
      </c>
      <c r="Y51" t="s">
        <v>28</v>
      </c>
      <c r="Z51" s="6" t="s">
        <v>29</v>
      </c>
      <c r="AA51" s="6" t="s">
        <v>30</v>
      </c>
      <c r="AB51" s="6" t="s">
        <v>31</v>
      </c>
      <c r="AC51" s="6" t="s">
        <v>45</v>
      </c>
    </row>
    <row r="52" spans="2:31" x14ac:dyDescent="0.25">
      <c r="I52" t="s">
        <v>32</v>
      </c>
      <c r="J52" t="s">
        <v>32</v>
      </c>
      <c r="K52" t="s">
        <v>32</v>
      </c>
      <c r="L52" t="s">
        <v>33</v>
      </c>
      <c r="S52" s="6" t="s">
        <v>46</v>
      </c>
    </row>
    <row r="53" spans="2:31" x14ac:dyDescent="0.25">
      <c r="B53" t="s">
        <v>36</v>
      </c>
      <c r="C53" s="7">
        <f>(C44/C11)-1</f>
        <v>0</v>
      </c>
      <c r="D53" s="7">
        <f>(D44/D11)-1</f>
        <v>-9.6430354898147108E-4</v>
      </c>
      <c r="E53" s="7">
        <f t="shared" ref="E53:F56" si="6">(E44/E11)-1</f>
        <v>0.14859496836839781</v>
      </c>
      <c r="F53" s="7">
        <f t="shared" si="6"/>
        <v>2.7404523699889882E-2</v>
      </c>
      <c r="G53" s="8"/>
      <c r="H53" s="7">
        <f t="shared" ref="H53:L57" si="7">(H44/H11)-1</f>
        <v>3.0845157310302351E-2</v>
      </c>
      <c r="I53" s="7">
        <f t="shared" si="7"/>
        <v>-5.2959868188773296E-3</v>
      </c>
      <c r="J53" s="7">
        <f t="shared" si="7"/>
        <v>0.49197487787857641</v>
      </c>
      <c r="K53" s="7">
        <f t="shared" si="7"/>
        <v>-0.81992337164750961</v>
      </c>
      <c r="L53" s="7">
        <f t="shared" si="7"/>
        <v>-5.2936178030912329E-3</v>
      </c>
      <c r="N53" s="7">
        <f t="shared" ref="N53:Q57" si="8">(N44/N11)-1</f>
        <v>0</v>
      </c>
      <c r="O53" s="7">
        <f t="shared" si="8"/>
        <v>-9.6597617258775692E-4</v>
      </c>
      <c r="P53" s="7">
        <f t="shared" si="8"/>
        <v>0.37591483699268124</v>
      </c>
      <c r="Q53" s="7">
        <f t="shared" si="8"/>
        <v>2.7163927099369101E-2</v>
      </c>
      <c r="S53" s="20">
        <v>660</v>
      </c>
      <c r="T53" s="7">
        <f t="shared" ref="T53:U57" si="9">(T44/T11)-1</f>
        <v>-0.19105691056910568</v>
      </c>
      <c r="U53" s="7">
        <f t="shared" si="9"/>
        <v>-8.4388185654008518E-3</v>
      </c>
      <c r="V53" s="7"/>
      <c r="W53" s="7"/>
      <c r="Y53" s="7">
        <f t="shared" ref="Y53:Y57" si="10">(Y44/Y11)-1</f>
        <v>-0.21944045700893511</v>
      </c>
      <c r="AB53" s="7">
        <f t="shared" ref="AB53:AC57" si="11">(AB44/AB11)-1</f>
        <v>0.22115024979806264</v>
      </c>
      <c r="AC53" s="7">
        <f t="shared" si="11"/>
        <v>-0.36079975161111977</v>
      </c>
      <c r="AD53" s="21"/>
    </row>
    <row r="54" spans="2:31" x14ac:dyDescent="0.25">
      <c r="B54" t="s">
        <v>37</v>
      </c>
      <c r="C54" s="7">
        <f>(C45/C12)-1</f>
        <v>0</v>
      </c>
      <c r="D54" s="7">
        <f>(D45/D12)-1</f>
        <v>1.2028229518257216E-2</v>
      </c>
      <c r="E54" s="7">
        <f t="shared" si="6"/>
        <v>1.0328418230563003</v>
      </c>
      <c r="F54" s="7">
        <f t="shared" si="6"/>
        <v>0.25073270119896551</v>
      </c>
      <c r="G54" s="8"/>
      <c r="H54" s="7">
        <f t="shared" si="7"/>
        <v>0.11930294906166217</v>
      </c>
      <c r="I54" s="7">
        <f t="shared" si="7"/>
        <v>-1.7439832577607284E-2</v>
      </c>
      <c r="J54" s="7" t="e">
        <f t="shared" si="7"/>
        <v>#DIV/0!</v>
      </c>
      <c r="K54" s="7">
        <f t="shared" si="7"/>
        <v>-0.63606557377049178</v>
      </c>
      <c r="L54" s="7">
        <f t="shared" si="7"/>
        <v>-1.7489329722218283E-2</v>
      </c>
      <c r="N54" s="7">
        <f t="shared" si="8"/>
        <v>6.5733217158720159E-2</v>
      </c>
      <c r="O54" s="7">
        <f t="shared" si="8"/>
        <v>7.8548070634401501E-2</v>
      </c>
      <c r="P54" s="7">
        <f t="shared" si="8"/>
        <v>7.9022600528324034</v>
      </c>
      <c r="Q54" s="7">
        <f t="shared" si="8"/>
        <v>0.61947764677232797</v>
      </c>
      <c r="S54">
        <v>530</v>
      </c>
      <c r="T54" s="7">
        <f t="shared" si="9"/>
        <v>-0.63955637707948243</v>
      </c>
      <c r="U54" s="7">
        <f t="shared" si="9"/>
        <v>-1.883239171374762E-2</v>
      </c>
      <c r="V54" s="7"/>
      <c r="W54" s="7"/>
      <c r="Y54" s="7">
        <f t="shared" si="10"/>
        <v>-0.72821580102021666</v>
      </c>
      <c r="AB54" s="7">
        <f t="shared" si="11"/>
        <v>1.7075606154930663</v>
      </c>
      <c r="AC54" s="7">
        <f t="shared" si="11"/>
        <v>-0.89962027168492786</v>
      </c>
    </row>
    <row r="55" spans="2:31" x14ac:dyDescent="0.25">
      <c r="B55" t="s">
        <v>38</v>
      </c>
      <c r="C55" s="7">
        <f t="shared" ref="C55:F57" si="12">(C46/C13)-1</f>
        <v>0</v>
      </c>
      <c r="D55" s="7">
        <f t="shared" si="12"/>
        <v>-2.6232128276845179E-3</v>
      </c>
      <c r="E55" s="7">
        <f t="shared" si="6"/>
        <v>1.0504095778197859</v>
      </c>
      <c r="F55" s="7">
        <f t="shared" si="6"/>
        <v>0.10196992692963658</v>
      </c>
      <c r="G55" s="8"/>
      <c r="H55" s="7">
        <f t="shared" si="7"/>
        <v>7.5548334687246088E-2</v>
      </c>
      <c r="I55" s="7">
        <f t="shared" si="7"/>
        <v>-1.0890974394624053E-2</v>
      </c>
      <c r="J55" s="7" t="e">
        <f t="shared" si="7"/>
        <v>#DIV/0!</v>
      </c>
      <c r="K55" s="7">
        <f t="shared" si="7"/>
        <v>0.79032258064516103</v>
      </c>
      <c r="L55" s="7">
        <f t="shared" si="7"/>
        <v>-1.0829692348562348E-2</v>
      </c>
      <c r="N55" s="7">
        <f t="shared" si="8"/>
        <v>-1.7549709552366899E-5</v>
      </c>
      <c r="O55" s="7">
        <f t="shared" si="8"/>
        <v>-2.6041666666666297E-3</v>
      </c>
      <c r="P55" s="7">
        <f t="shared" si="8"/>
        <v>9.6920903954802267</v>
      </c>
      <c r="Q55" s="7">
        <f t="shared" si="8"/>
        <v>5.8642966770175331E-2</v>
      </c>
      <c r="S55">
        <v>625</v>
      </c>
      <c r="T55" s="7">
        <f t="shared" si="9"/>
        <v>-0.3926380368098159</v>
      </c>
      <c r="U55" s="7">
        <f t="shared" si="9"/>
        <v>-9.4637223974763929E-3</v>
      </c>
      <c r="V55" s="7"/>
      <c r="W55" s="7"/>
      <c r="Y55" s="7">
        <f t="shared" si="10"/>
        <v>-0.44872973092387225</v>
      </c>
      <c r="AB55" s="7">
        <f t="shared" si="11"/>
        <v>0.61963849776048385</v>
      </c>
      <c r="AC55" s="7">
        <f t="shared" si="11"/>
        <v>-0.65963375787968515</v>
      </c>
    </row>
    <row r="56" spans="2:31" x14ac:dyDescent="0.25">
      <c r="B56" t="s">
        <v>39</v>
      </c>
      <c r="C56" s="7">
        <f t="shared" si="12"/>
        <v>0</v>
      </c>
      <c r="D56" s="7">
        <f t="shared" si="12"/>
        <v>-1.4158906496759549E-3</v>
      </c>
      <c r="E56" s="7">
        <f>(E47/E14)-1</f>
        <v>0.11925901567466846</v>
      </c>
      <c r="F56" s="7">
        <f t="shared" si="6"/>
        <v>3.8686361541633296E-2</v>
      </c>
      <c r="G56" s="8"/>
      <c r="H56" s="7">
        <f t="shared" si="7"/>
        <v>4.3137254901960853E-2</v>
      </c>
      <c r="I56" s="7">
        <f t="shared" si="7"/>
        <v>-6.2380521179193904E-3</v>
      </c>
      <c r="J56" s="7">
        <f t="shared" si="7"/>
        <v>0.68328767123287659</v>
      </c>
      <c r="K56" s="7">
        <f t="shared" si="7"/>
        <v>-0.23229649238914629</v>
      </c>
      <c r="L56" s="7">
        <f t="shared" si="7"/>
        <v>-6.0520386977072071E-3</v>
      </c>
      <c r="N56" s="7">
        <f t="shared" si="8"/>
        <v>0</v>
      </c>
      <c r="O56" s="7">
        <f t="shared" si="8"/>
        <v>-1.3513513513514486E-3</v>
      </c>
      <c r="P56" s="7">
        <f t="shared" si="8"/>
        <v>0.27287260206591246</v>
      </c>
      <c r="Q56" s="7">
        <f t="shared" si="8"/>
        <v>3.5873990522592436E-2</v>
      </c>
      <c r="S56">
        <v>650</v>
      </c>
      <c r="T56" s="7">
        <f t="shared" si="9"/>
        <v>-0.25245901639344259</v>
      </c>
      <c r="U56" s="7">
        <f t="shared" si="9"/>
        <v>-6.8027210884353817E-3</v>
      </c>
      <c r="V56" s="7"/>
      <c r="W56" s="7"/>
      <c r="Y56" s="7">
        <f t="shared" si="10"/>
        <v>-0.28454188543588288</v>
      </c>
      <c r="AB56" s="7">
        <f t="shared" si="11"/>
        <v>0.31972943915051832</v>
      </c>
      <c r="AC56" s="7">
        <f t="shared" si="11"/>
        <v>-0.45787515733176176</v>
      </c>
    </row>
    <row r="57" spans="2:31" x14ac:dyDescent="0.25">
      <c r="B57" t="s">
        <v>40</v>
      </c>
      <c r="C57" s="7">
        <f t="shared" si="12"/>
        <v>0</v>
      </c>
      <c r="D57" s="7">
        <f t="shared" si="12"/>
        <v>-7.5144876775138369E-3</v>
      </c>
      <c r="E57" s="7">
        <f t="shared" si="12"/>
        <v>0.60988581260753949</v>
      </c>
      <c r="F57" s="7">
        <f t="shared" si="12"/>
        <v>0.20972468733231531</v>
      </c>
      <c r="G57" s="8"/>
      <c r="H57" s="7">
        <f t="shared" si="7"/>
        <v>0.1137309292649098</v>
      </c>
      <c r="I57" s="7">
        <f t="shared" si="7"/>
        <v>-1.4899999999999913E-2</v>
      </c>
      <c r="J57" s="7" t="e">
        <f t="shared" si="7"/>
        <v>#DIV/0!</v>
      </c>
      <c r="K57" s="7">
        <f t="shared" si="7"/>
        <v>-0.5568334291738547</v>
      </c>
      <c r="L57" s="7">
        <f t="shared" si="7"/>
        <v>-1.492195121951212E-2</v>
      </c>
      <c r="N57" s="7">
        <f t="shared" si="8"/>
        <v>0</v>
      </c>
      <c r="O57" s="7">
        <f t="shared" si="8"/>
        <v>-7.4950432490140662E-3</v>
      </c>
      <c r="P57" s="7">
        <f t="shared" si="8"/>
        <v>1.6758695991265014</v>
      </c>
      <c r="Q57" s="7">
        <f t="shared" si="8"/>
        <v>0.1988223598684713</v>
      </c>
      <c r="S57">
        <v>530</v>
      </c>
      <c r="T57" s="7">
        <f t="shared" si="9"/>
        <v>-0.6374807987711214</v>
      </c>
      <c r="U57" s="7">
        <f t="shared" si="9"/>
        <v>-1.7187500000000022E-2</v>
      </c>
      <c r="V57" s="7"/>
      <c r="W57" s="7"/>
      <c r="Y57" s="7">
        <f t="shared" si="10"/>
        <v>-0.72588984289853531</v>
      </c>
      <c r="AB57" s="7">
        <f t="shared" si="11"/>
        <v>1.7507010958740614</v>
      </c>
      <c r="AC57" s="7">
        <f t="shared" si="11"/>
        <v>-0.90034898465972235</v>
      </c>
    </row>
    <row r="59" spans="2:31" x14ac:dyDescent="0.25">
      <c r="AB59" s="1" t="s">
        <v>49</v>
      </c>
      <c r="AD59" t="s">
        <v>50</v>
      </c>
      <c r="AE59" t="s">
        <v>51</v>
      </c>
    </row>
    <row r="60" spans="2:31" x14ac:dyDescent="0.25">
      <c r="AB60" t="str">
        <f>B44</f>
        <v>Methane</v>
      </c>
      <c r="AC60" t="s">
        <v>52</v>
      </c>
      <c r="AD60">
        <f>K11</f>
        <v>5.22</v>
      </c>
      <c r="AE60">
        <f>J11</f>
        <v>14.33</v>
      </c>
    </row>
    <row r="61" spans="2:31" x14ac:dyDescent="0.25">
      <c r="AC61" t="s">
        <v>53</v>
      </c>
      <c r="AD61">
        <f>K44</f>
        <v>0.94</v>
      </c>
      <c r="AE61">
        <f>J44</f>
        <v>21.38</v>
      </c>
    </row>
    <row r="62" spans="2:31" x14ac:dyDescent="0.25">
      <c r="AB62" t="str">
        <f>B45</f>
        <v>MeOH</v>
      </c>
      <c r="AC62" t="str">
        <f>AC60</f>
        <v xml:space="preserve"> No COG-R</v>
      </c>
      <c r="AD62">
        <f>K12</f>
        <v>24.4</v>
      </c>
      <c r="AE62">
        <f>J12</f>
        <v>0</v>
      </c>
    </row>
    <row r="63" spans="2:31" x14ac:dyDescent="0.25">
      <c r="AC63" t="str">
        <f t="shared" ref="AC63:AC69" si="13">AC61</f>
        <v>COG-R</v>
      </c>
      <c r="AD63">
        <f>K45</f>
        <v>8.8800000000000008</v>
      </c>
      <c r="AE63">
        <f>J45</f>
        <v>39.85</v>
      </c>
    </row>
    <row r="64" spans="2:31" x14ac:dyDescent="0.25">
      <c r="AB64" t="str">
        <f>B46</f>
        <v>Diesel</v>
      </c>
      <c r="AC64" t="str">
        <f t="shared" si="13"/>
        <v xml:space="preserve"> No COG-R</v>
      </c>
      <c r="AD64">
        <f>K13</f>
        <v>9.3000000000000007</v>
      </c>
      <c r="AE64">
        <f>J13</f>
        <v>0</v>
      </c>
    </row>
    <row r="65" spans="28:34" x14ac:dyDescent="0.25">
      <c r="AC65" t="str">
        <f t="shared" si="13"/>
        <v>COG-R</v>
      </c>
      <c r="AD65">
        <f>K46</f>
        <v>16.649999999999999</v>
      </c>
      <c r="AE65">
        <f>J46</f>
        <v>2.21</v>
      </c>
    </row>
    <row r="66" spans="28:34" x14ac:dyDescent="0.25">
      <c r="AB66" t="str">
        <f>B47</f>
        <v>NH3</v>
      </c>
      <c r="AC66" t="str">
        <f t="shared" si="13"/>
        <v xml:space="preserve"> No COG-R</v>
      </c>
      <c r="AD66">
        <f>K14</f>
        <v>30.22</v>
      </c>
      <c r="AE66">
        <f>J14</f>
        <v>18.25</v>
      </c>
    </row>
    <row r="67" spans="28:34" x14ac:dyDescent="0.25">
      <c r="AC67" t="str">
        <f t="shared" si="13"/>
        <v>COG-R</v>
      </c>
      <c r="AD67">
        <f>K47</f>
        <v>23.2</v>
      </c>
      <c r="AE67">
        <f>J47</f>
        <v>30.72</v>
      </c>
    </row>
    <row r="68" spans="28:34" x14ac:dyDescent="0.25">
      <c r="AB68" t="str">
        <f>B48</f>
        <v>H2</v>
      </c>
      <c r="AC68" t="str">
        <f t="shared" si="13"/>
        <v xml:space="preserve"> No COG-R</v>
      </c>
      <c r="AD68">
        <f>K15</f>
        <v>52.17</v>
      </c>
      <c r="AE68">
        <f>J15</f>
        <v>0</v>
      </c>
    </row>
    <row r="69" spans="28:34" x14ac:dyDescent="0.25">
      <c r="AC69" t="str">
        <f t="shared" si="13"/>
        <v>COG-R</v>
      </c>
      <c r="AD69">
        <f>K48</f>
        <v>23.12</v>
      </c>
      <c r="AE69">
        <f>J48</f>
        <v>59.61</v>
      </c>
    </row>
    <row r="71" spans="28:34" x14ac:dyDescent="0.25">
      <c r="AB71" s="1" t="s">
        <v>54</v>
      </c>
      <c r="AD71" s="22" t="s">
        <v>55</v>
      </c>
      <c r="AE71" s="22"/>
      <c r="AF71" s="22"/>
      <c r="AG71" s="22"/>
    </row>
    <row r="72" spans="28:34" x14ac:dyDescent="0.25">
      <c r="AC72" t="s">
        <v>56</v>
      </c>
      <c r="AD72" t="str">
        <f>H51</f>
        <v>Oxygen utilisation</v>
      </c>
      <c r="AE72" t="str">
        <f>D51</f>
        <v>Net electric efficiency</v>
      </c>
      <c r="AF72" t="str">
        <f>E51</f>
        <v>Heat efficiency</v>
      </c>
      <c r="AG72" t="str">
        <f>F51</f>
        <v>Total efficiency</v>
      </c>
    </row>
    <row r="73" spans="28:34" x14ac:dyDescent="0.25">
      <c r="AB73" t="str">
        <f>B53</f>
        <v>Methane</v>
      </c>
      <c r="AC73" s="20">
        <f>S53</f>
        <v>660</v>
      </c>
      <c r="AD73" s="23">
        <f>H53</f>
        <v>3.0845157310302351E-2</v>
      </c>
      <c r="AE73" s="23">
        <f t="shared" ref="AE73:AG77" si="14">D53</f>
        <v>-9.6430354898147108E-4</v>
      </c>
      <c r="AF73" s="23">
        <f t="shared" si="14"/>
        <v>0.14859496836839781</v>
      </c>
      <c r="AG73" s="23">
        <f t="shared" si="14"/>
        <v>2.7404523699889882E-2</v>
      </c>
    </row>
    <row r="74" spans="28:34" x14ac:dyDescent="0.25">
      <c r="AB74" t="str">
        <f>B54</f>
        <v>MeOH</v>
      </c>
      <c r="AC74" s="20">
        <f t="shared" ref="AC74:AC77" si="15">S54</f>
        <v>530</v>
      </c>
      <c r="AD74" s="23">
        <f>H54</f>
        <v>0.11930294906166217</v>
      </c>
      <c r="AE74" s="23">
        <f t="shared" si="14"/>
        <v>1.2028229518257216E-2</v>
      </c>
      <c r="AF74" s="23">
        <f t="shared" si="14"/>
        <v>1.0328418230563003</v>
      </c>
      <c r="AG74" s="23">
        <f t="shared" si="14"/>
        <v>0.25073270119896551</v>
      </c>
    </row>
    <row r="75" spans="28:34" x14ac:dyDescent="0.25">
      <c r="AB75" t="str">
        <f>B55</f>
        <v>Diesel</v>
      </c>
      <c r="AC75" s="20">
        <f t="shared" si="15"/>
        <v>625</v>
      </c>
      <c r="AD75" s="23">
        <f>H55</f>
        <v>7.5548334687246088E-2</v>
      </c>
      <c r="AE75" s="23">
        <f t="shared" si="14"/>
        <v>-2.6232128276845179E-3</v>
      </c>
      <c r="AF75" s="23">
        <f t="shared" si="14"/>
        <v>1.0504095778197859</v>
      </c>
      <c r="AG75" s="23">
        <f t="shared" si="14"/>
        <v>0.10196992692963658</v>
      </c>
    </row>
    <row r="76" spans="28:34" x14ac:dyDescent="0.25">
      <c r="AB76" t="str">
        <f>B56</f>
        <v>NH3</v>
      </c>
      <c r="AC76" s="20">
        <f t="shared" si="15"/>
        <v>650</v>
      </c>
      <c r="AD76" s="23">
        <f>H56</f>
        <v>4.3137254901960853E-2</v>
      </c>
      <c r="AE76" s="23">
        <f>D56</f>
        <v>-1.4158906496759549E-3</v>
      </c>
      <c r="AF76" s="23">
        <f>E56</f>
        <v>0.11925901567466846</v>
      </c>
      <c r="AG76" s="23">
        <f t="shared" si="14"/>
        <v>3.8686361541633296E-2</v>
      </c>
    </row>
    <row r="77" spans="28:34" x14ac:dyDescent="0.25">
      <c r="AB77" t="str">
        <f>B57</f>
        <v>H2</v>
      </c>
      <c r="AC77" s="20">
        <f t="shared" si="15"/>
        <v>530</v>
      </c>
      <c r="AD77" s="23">
        <f>H57</f>
        <v>0.1137309292649098</v>
      </c>
      <c r="AE77" s="23">
        <f t="shared" si="14"/>
        <v>-7.5144876775138369E-3</v>
      </c>
      <c r="AF77" s="23">
        <f t="shared" si="14"/>
        <v>0.60988581260753949</v>
      </c>
      <c r="AG77" s="23">
        <f t="shared" si="14"/>
        <v>0.20972468733231531</v>
      </c>
    </row>
    <row r="79" spans="28:34" x14ac:dyDescent="0.25">
      <c r="AB79" s="1" t="s">
        <v>57</v>
      </c>
    </row>
    <row r="80" spans="28:34" x14ac:dyDescent="0.25">
      <c r="AC80" t="s">
        <v>58</v>
      </c>
      <c r="AD80" s="22" t="s">
        <v>59</v>
      </c>
      <c r="AE80" s="22"/>
      <c r="AF80" s="22" t="s">
        <v>60</v>
      </c>
      <c r="AG80" s="22"/>
      <c r="AH80" s="24"/>
    </row>
    <row r="81" spans="2:33" x14ac:dyDescent="0.25">
      <c r="B81" s="25" t="s">
        <v>61</v>
      </c>
      <c r="AC81" t="s">
        <v>62</v>
      </c>
      <c r="AD81" t="s">
        <v>63</v>
      </c>
      <c r="AE81" t="s">
        <v>62</v>
      </c>
      <c r="AF81" t="s">
        <v>64</v>
      </c>
      <c r="AG81" t="s">
        <v>65</v>
      </c>
    </row>
    <row r="82" spans="2:33" ht="21" x14ac:dyDescent="0.35">
      <c r="B82" s="19" t="s">
        <v>66</v>
      </c>
      <c r="AC82" t="s">
        <v>32</v>
      </c>
      <c r="AE82" t="s">
        <v>32</v>
      </c>
    </row>
    <row r="83" spans="2:33" x14ac:dyDescent="0.25">
      <c r="B83" t="s">
        <v>67</v>
      </c>
      <c r="C83">
        <v>51</v>
      </c>
      <c r="D83">
        <v>53</v>
      </c>
      <c r="E83">
        <v>54</v>
      </c>
      <c r="AB83" t="str">
        <f>AB73</f>
        <v>Methane</v>
      </c>
      <c r="AC83" s="20">
        <f>Y11</f>
        <v>170.67500000000001</v>
      </c>
      <c r="AD83" s="23">
        <f>W44</f>
        <v>0.19574468085106383</v>
      </c>
      <c r="AE83" s="20">
        <f>Y44</f>
        <v>133.22200000000001</v>
      </c>
      <c r="AF83" s="23">
        <f>T53</f>
        <v>-0.19105691056910568</v>
      </c>
      <c r="AG83" s="7">
        <f>Y53</f>
        <v>-0.21944045700893511</v>
      </c>
    </row>
    <row r="84" spans="2:33" x14ac:dyDescent="0.25">
      <c r="B84" s="1" t="s">
        <v>68</v>
      </c>
      <c r="C84" t="s">
        <v>69</v>
      </c>
      <c r="D84" t="s">
        <v>70</v>
      </c>
      <c r="E84" t="s">
        <v>71</v>
      </c>
      <c r="I84" t="s">
        <v>72</v>
      </c>
      <c r="AB84" t="str">
        <f>AB74</f>
        <v>MeOH</v>
      </c>
      <c r="AC84" s="20">
        <f>Y12</f>
        <v>372.86200000000002</v>
      </c>
      <c r="AD84" s="23">
        <f t="shared" ref="AD84:AD87" si="16">W45</f>
        <v>0.64299424184261034</v>
      </c>
      <c r="AE84" s="20">
        <f>Y45</f>
        <v>101.33799999999999</v>
      </c>
      <c r="AF84" s="23">
        <f t="shared" ref="AF84:AF87" si="17">T54</f>
        <v>-0.63955637707948243</v>
      </c>
      <c r="AG84" s="7">
        <f t="shared" ref="AG84:AG87" si="18">Y54</f>
        <v>-0.72821580102021666</v>
      </c>
    </row>
    <row r="85" spans="2:33" x14ac:dyDescent="0.25">
      <c r="B85" s="1"/>
      <c r="C85" t="s">
        <v>73</v>
      </c>
      <c r="D85" t="s">
        <v>73</v>
      </c>
      <c r="E85" t="s">
        <v>73</v>
      </c>
      <c r="AB85" t="str">
        <f>AB75</f>
        <v>Diesel</v>
      </c>
      <c r="AC85" s="20">
        <f>Y13</f>
        <v>226.33</v>
      </c>
      <c r="AD85" s="23">
        <f t="shared" si="16"/>
        <v>0.39808917197452232</v>
      </c>
      <c r="AE85" s="20">
        <f>Y46</f>
        <v>124.76900000000001</v>
      </c>
      <c r="AF85" s="23">
        <f t="shared" si="17"/>
        <v>-0.3926380368098159</v>
      </c>
      <c r="AG85" s="7">
        <f t="shared" si="18"/>
        <v>-0.44872973092387225</v>
      </c>
    </row>
    <row r="86" spans="2:33" x14ac:dyDescent="0.25">
      <c r="B86" t="s">
        <v>36</v>
      </c>
      <c r="C86">
        <f>0.00852*0.2075</f>
        <v>1.7678999999999998E-3</v>
      </c>
      <c r="D86">
        <f>C86</f>
        <v>1.7678999999999998E-3</v>
      </c>
      <c r="E86">
        <f>0.00824*0.1799</f>
        <v>1.4823760000000001E-3</v>
      </c>
      <c r="I86" s="8">
        <f>1-E86/C86</f>
        <v>0.16150460998925265</v>
      </c>
      <c r="AB86" t="str">
        <f>AB76</f>
        <v>NH3</v>
      </c>
      <c r="AC86" s="20">
        <f>Y14</f>
        <v>211.41</v>
      </c>
      <c r="AD86" s="23">
        <f t="shared" si="16"/>
        <v>0.25342465753424659</v>
      </c>
      <c r="AE86" s="20">
        <f>Y47</f>
        <v>151.255</v>
      </c>
      <c r="AF86" s="23">
        <f t="shared" si="17"/>
        <v>-0.25245901639344259</v>
      </c>
      <c r="AG86" s="7">
        <f t="shared" si="18"/>
        <v>-0.28454188543588288</v>
      </c>
    </row>
    <row r="87" spans="2:33" x14ac:dyDescent="0.25">
      <c r="B87" t="s">
        <v>74</v>
      </c>
      <c r="C87">
        <f>0.01873*0.2075</f>
        <v>3.8864749999999999E-3</v>
      </c>
      <c r="D87">
        <f t="shared" ref="D87:D90" si="19">C87</f>
        <v>3.8864749999999999E-3</v>
      </c>
      <c r="E87">
        <f>0.01844*0.195</f>
        <v>3.5958000000000006E-3</v>
      </c>
      <c r="I87" s="8">
        <f>1-E87/C87</f>
        <v>7.4791424105390969E-2</v>
      </c>
      <c r="AB87" t="str">
        <f>AB77</f>
        <v>H2</v>
      </c>
      <c r="AC87" s="20">
        <f>Y15</f>
        <v>451.428</v>
      </c>
      <c r="AD87" s="23">
        <f t="shared" si="16"/>
        <v>0.64228934817170114</v>
      </c>
      <c r="AE87" s="20">
        <f>Y48</f>
        <v>123.741</v>
      </c>
      <c r="AF87" s="23">
        <f t="shared" si="17"/>
        <v>-0.6374807987711214</v>
      </c>
      <c r="AG87" s="7">
        <f t="shared" si="18"/>
        <v>-0.72588984289853531</v>
      </c>
    </row>
    <row r="88" spans="2:33" x14ac:dyDescent="0.25">
      <c r="B88" t="s">
        <v>38</v>
      </c>
      <c r="C88">
        <f>0.01133*0.2075</f>
        <v>2.3509749999999999E-3</v>
      </c>
      <c r="D88">
        <f t="shared" si="19"/>
        <v>2.3509749999999999E-3</v>
      </c>
      <c r="E88">
        <f>0.01104*0.1866</f>
        <v>2.0600639999999999E-3</v>
      </c>
      <c r="I88" s="8">
        <f>1-E88/C88</f>
        <v>0.12374057571858488</v>
      </c>
    </row>
    <row r="89" spans="2:33" x14ac:dyDescent="0.25">
      <c r="B89" t="s">
        <v>75</v>
      </c>
      <c r="C89">
        <f>0.01056*0.2075</f>
        <v>2.1911999999999999E-3</v>
      </c>
      <c r="D89">
        <f t="shared" si="19"/>
        <v>2.1911999999999999E-3</v>
      </c>
      <c r="E89">
        <f>0.01022*0.1815</f>
        <v>1.8549299999999999E-3</v>
      </c>
      <c r="I89" s="8">
        <f>1-E89/C89</f>
        <v>0.15346385542168683</v>
      </c>
    </row>
    <row r="90" spans="2:33" x14ac:dyDescent="0.25">
      <c r="B90" t="s">
        <v>76</v>
      </c>
      <c r="C90">
        <f>0.02255*0.2075</f>
        <v>4.6791250000000001E-3</v>
      </c>
      <c r="D90">
        <f t="shared" si="19"/>
        <v>4.6791250000000001E-3</v>
      </c>
      <c r="E90">
        <f>0.02221*0.1955</f>
        <v>4.342055E-3</v>
      </c>
      <c r="I90" s="8">
        <f>1-E90/C90</f>
        <v>7.20369727246013E-2</v>
      </c>
    </row>
    <row r="92" spans="2:33" x14ac:dyDescent="0.25">
      <c r="B92" t="s">
        <v>77</v>
      </c>
      <c r="C92">
        <v>51</v>
      </c>
      <c r="D92">
        <v>54</v>
      </c>
      <c r="E92">
        <v>55</v>
      </c>
      <c r="F92">
        <v>58</v>
      </c>
      <c r="H92">
        <v>21</v>
      </c>
      <c r="N92" s="24" t="s">
        <v>60</v>
      </c>
      <c r="O92" s="24"/>
      <c r="P92" s="24"/>
    </row>
    <row r="93" spans="2:33" x14ac:dyDescent="0.25">
      <c r="B93" s="1" t="s">
        <v>53</v>
      </c>
      <c r="C93" t="s">
        <v>78</v>
      </c>
      <c r="D93" t="s">
        <v>79</v>
      </c>
      <c r="E93" t="s">
        <v>80</v>
      </c>
      <c r="F93" t="s">
        <v>81</v>
      </c>
      <c r="H93" t="s">
        <v>82</v>
      </c>
      <c r="I93" t="s">
        <v>72</v>
      </c>
      <c r="J93" t="s">
        <v>83</v>
      </c>
      <c r="K93" t="s">
        <v>84</v>
      </c>
      <c r="N93" t="s">
        <v>85</v>
      </c>
      <c r="O93" t="s">
        <v>83</v>
      </c>
    </row>
    <row r="94" spans="2:33" x14ac:dyDescent="0.25">
      <c r="C94" t="s">
        <v>73</v>
      </c>
      <c r="D94" t="s">
        <v>73</v>
      </c>
      <c r="E94" t="s">
        <v>73</v>
      </c>
      <c r="F94" t="s">
        <v>73</v>
      </c>
      <c r="H94" t="s">
        <v>73</v>
      </c>
    </row>
    <row r="95" spans="2:33" x14ac:dyDescent="0.25">
      <c r="B95" t="s">
        <v>36</v>
      </c>
      <c r="C95">
        <f>0.00688*0.2075</f>
        <v>1.4275999999999998E-3</v>
      </c>
      <c r="D95">
        <f>0.00848*0.201</f>
        <v>1.70448E-3</v>
      </c>
      <c r="E95">
        <f>0.0082*0.1732</f>
        <v>1.4202400000000001E-3</v>
      </c>
      <c r="F95">
        <f>0.00659*0.1732</f>
        <v>1.1413880000000001E-3</v>
      </c>
      <c r="H95">
        <f>0.00747*0.1434</f>
        <v>1.071198E-3</v>
      </c>
      <c r="I95" s="8">
        <f>1-E95/D95</f>
        <v>0.16676053693795168</v>
      </c>
      <c r="J95" s="8">
        <f>1-F95/C95</f>
        <v>0.20048472961613872</v>
      </c>
      <c r="K95" s="8">
        <f>1-H95/C95</f>
        <v>0.24965116279069755</v>
      </c>
      <c r="N95" s="7">
        <f>I95/I86-1</f>
        <v>3.2543510362018635E-2</v>
      </c>
      <c r="O95" s="7">
        <f>J95/I86-1</f>
        <v>0.24135608035882083</v>
      </c>
    </row>
    <row r="96" spans="2:33" x14ac:dyDescent="0.25">
      <c r="B96" t="s">
        <v>74</v>
      </c>
      <c r="C96">
        <f>0.00675*0.2075</f>
        <v>1.400625E-3</v>
      </c>
      <c r="D96">
        <f>0.01842*0.1854</f>
        <v>3.4150679999999998E-3</v>
      </c>
      <c r="E96">
        <f>0.01814*0.1726</f>
        <v>3.130964E-3</v>
      </c>
      <c r="F96">
        <f>0.00647*0.1726</f>
        <v>1.1167220000000001E-3</v>
      </c>
      <c r="H96">
        <f>0.00735*0.1423</f>
        <v>1.045905E-3</v>
      </c>
      <c r="I96" s="8">
        <f>1-E96/D96</f>
        <v>8.3191315663406984E-2</v>
      </c>
      <c r="J96" s="8">
        <f>1-F96/C96</f>
        <v>0.20269736724676468</v>
      </c>
      <c r="K96" s="8">
        <f>1-H96/C96</f>
        <v>0.25325836680053548</v>
      </c>
      <c r="N96" s="7">
        <f>I96/I87-1</f>
        <v>0.11231089203729372</v>
      </c>
      <c r="O96" s="7">
        <f t="shared" ref="O96:O99" si="20">J96/I87-1</f>
        <v>1.7101685744228829</v>
      </c>
    </row>
    <row r="97" spans="2:15" x14ac:dyDescent="0.25">
      <c r="B97" t="s">
        <v>38</v>
      </c>
      <c r="C97">
        <f>0.00683*0.2075</f>
        <v>1.417225E-3</v>
      </c>
      <c r="D97">
        <f>0.01119*0.1939</f>
        <v>2.1697409999999998E-3</v>
      </c>
      <c r="E97">
        <f>0.0109*0.1726</f>
        <v>1.88134E-3</v>
      </c>
      <c r="F97">
        <f>0.00654*0.1726</f>
        <v>1.128804E-3</v>
      </c>
      <c r="H97">
        <f>0.00742*0.1426</f>
        <v>1.0580920000000001E-3</v>
      </c>
      <c r="I97" s="8">
        <f>1-E97/D97</f>
        <v>0.13291955122754273</v>
      </c>
      <c r="J97" s="8">
        <f>1-F97/C97</f>
        <v>0.20351108680696439</v>
      </c>
      <c r="K97" s="8">
        <f>1-H97/C97</f>
        <v>0.25340577537088327</v>
      </c>
      <c r="N97" s="7">
        <f>I97/I88-1</f>
        <v>7.4179188642478966E-2</v>
      </c>
      <c r="O97" s="7">
        <f t="shared" si="20"/>
        <v>0.64465928516282633</v>
      </c>
    </row>
    <row r="98" spans="2:15" x14ac:dyDescent="0.25">
      <c r="B98" t="s">
        <v>75</v>
      </c>
      <c r="C98">
        <f>0.00792*0.2075</f>
        <v>1.6433999999999999E-3</v>
      </c>
      <c r="D98">
        <f>0.0105*0.1989</f>
        <v>2.0884499999999999E-3</v>
      </c>
      <c r="E98">
        <f>0.01016*0.1727</f>
        <v>1.7546320000000001E-3</v>
      </c>
      <c r="F98">
        <f>0.00758*0.1727</f>
        <v>1.309066E-3</v>
      </c>
      <c r="H98">
        <f>0.00861*0.1422</f>
        <v>1.2243419999999998E-3</v>
      </c>
      <c r="I98" s="8">
        <f>1-E98/D98</f>
        <v>0.15984007278124912</v>
      </c>
      <c r="J98" s="8">
        <f>1-F98/C98</f>
        <v>0.20344042838018739</v>
      </c>
      <c r="K98" s="8">
        <f>1-H98/C98</f>
        <v>0.25499452354874053</v>
      </c>
      <c r="N98" s="7">
        <f>I98/I89-1</f>
        <v>4.154865875122038E-2</v>
      </c>
      <c r="O98" s="7">
        <f t="shared" si="20"/>
        <v>0.32565696216334006</v>
      </c>
    </row>
    <row r="99" spans="2:15" x14ac:dyDescent="0.25">
      <c r="B99" t="s">
        <v>76</v>
      </c>
      <c r="C99">
        <f>0.00816*0.2075</f>
        <v>1.6932E-3</v>
      </c>
      <c r="D99">
        <f>0.02223*0.1861</f>
        <v>4.1370029999999993E-3</v>
      </c>
      <c r="E99">
        <f>0.0219*0.1738</f>
        <v>3.8062199999999999E-3</v>
      </c>
      <c r="F99">
        <f>0.00783*0.1738</f>
        <v>1.3608540000000001E-3</v>
      </c>
      <c r="H99">
        <f>0.00858*0.149</f>
        <v>1.2784200000000002E-3</v>
      </c>
      <c r="I99" s="8">
        <f>1-E99/D99</f>
        <v>7.9957157391473799E-2</v>
      </c>
      <c r="J99" s="8">
        <f>1-F99/C99</f>
        <v>0.19628277817150952</v>
      </c>
      <c r="K99" s="8">
        <f>1-H99/C99</f>
        <v>0.24496810772501765</v>
      </c>
      <c r="N99" s="7">
        <f>I99/I90-1</f>
        <v>0.10994610638555713</v>
      </c>
      <c r="O99" s="7">
        <f t="shared" si="20"/>
        <v>1.7247505100179912</v>
      </c>
    </row>
  </sheetData>
  <mergeCells count="14">
    <mergeCell ref="C50:F50"/>
    <mergeCell ref="H50:K50"/>
    <mergeCell ref="N50:Q50"/>
    <mergeCell ref="AD71:AG71"/>
    <mergeCell ref="AD80:AE80"/>
    <mergeCell ref="AF80:AG80"/>
    <mergeCell ref="C8:F8"/>
    <mergeCell ref="H8:K8"/>
    <mergeCell ref="N8:Q8"/>
    <mergeCell ref="S8:V8"/>
    <mergeCell ref="C41:F41"/>
    <mergeCell ref="H41:K41"/>
    <mergeCell ref="N41:Q41"/>
    <mergeCell ref="S41:V41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van Veldhuizen</dc:creator>
  <cp:lastModifiedBy>Berend van Veldhuizen</cp:lastModifiedBy>
  <dcterms:created xsi:type="dcterms:W3CDTF">2022-11-11T10:22:54Z</dcterms:created>
  <dcterms:modified xsi:type="dcterms:W3CDTF">2022-11-11T10:23:31Z</dcterms:modified>
</cp:coreProperties>
</file>