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nvanveldhuize\surfdrive\0. PHD (surfdrive)\06 Nautilus project\WP7 Technology analysis\T7.1 Future fuels\2 Fuel analysis\0 Thermodynamic analysis\4 Ammonia model\Results\"/>
    </mc:Choice>
  </mc:AlternateContent>
  <bookViews>
    <workbookView xWindow="-28920" yWindow="-120" windowWidth="29040" windowHeight="15840" tabRatio="837" activeTab="4"/>
  </bookViews>
  <sheets>
    <sheet name="Gross_elec_eff" sheetId="19" r:id="rId1"/>
    <sheet name="Net_elec_eff" sheetId="18" r:id="rId2"/>
    <sheet name="Heat_eff" sheetId="20" r:id="rId3"/>
    <sheet name="Tot_eff" sheetId="1" r:id="rId4"/>
    <sheet name="P_i" sheetId="21" r:id="rId5"/>
    <sheet name="FU 0.7" sheetId="2" r:id="rId6"/>
    <sheet name="FU 0.71" sheetId="3" r:id="rId7"/>
    <sheet name="FU 0.72" sheetId="4" r:id="rId8"/>
    <sheet name="FU 0.73" sheetId="5" r:id="rId9"/>
    <sheet name="FU 0.74" sheetId="6" r:id="rId10"/>
    <sheet name="FU 0.75" sheetId="7" r:id="rId11"/>
    <sheet name="FU 0.76" sheetId="8" r:id="rId12"/>
    <sheet name="FU 0.77" sheetId="9" r:id="rId13"/>
    <sheet name="FU 0.78" sheetId="10" r:id="rId14"/>
    <sheet name="FU 0.79" sheetId="11" r:id="rId15"/>
    <sheet name="FU 0.8" sheetId="12" r:id="rId16"/>
    <sheet name="FU 0.81" sheetId="13" r:id="rId17"/>
    <sheet name="FU 0.82" sheetId="14" r:id="rId18"/>
    <sheet name="FU 0.83" sheetId="15" r:id="rId19"/>
    <sheet name="FU 0.84" sheetId="16" r:id="rId20"/>
    <sheet name="FU 0.85" sheetId="17" r:id="rId21"/>
  </sheets>
  <calcPr calcId="162913"/>
</workbook>
</file>

<file path=xl/calcChain.xml><?xml version="1.0" encoding="utf-8"?>
<calcChain xmlns="http://schemas.openxmlformats.org/spreadsheetml/2006/main">
  <c r="L27" i="17" l="1"/>
  <c r="K27" i="17"/>
  <c r="J27" i="17"/>
  <c r="I27" i="17"/>
  <c r="H27" i="17"/>
  <c r="G27" i="17"/>
  <c r="F27" i="17"/>
  <c r="E27" i="17"/>
  <c r="D27" i="17"/>
  <c r="C27" i="17"/>
  <c r="B27" i="17"/>
  <c r="A27" i="17"/>
  <c r="L26" i="17"/>
  <c r="K26" i="17"/>
  <c r="J26" i="17"/>
  <c r="I26" i="17"/>
  <c r="H26" i="17"/>
  <c r="G26" i="17"/>
  <c r="F26" i="17"/>
  <c r="E26" i="17"/>
  <c r="D26" i="17"/>
  <c r="C26" i="17"/>
  <c r="B26" i="17"/>
  <c r="A26" i="17"/>
  <c r="L25" i="17"/>
  <c r="K25" i="17"/>
  <c r="J25" i="17"/>
  <c r="I25" i="17"/>
  <c r="H25" i="17"/>
  <c r="G25" i="17"/>
  <c r="F25" i="17"/>
  <c r="E25" i="17"/>
  <c r="D25" i="17"/>
  <c r="C25" i="17"/>
  <c r="B25" i="17"/>
  <c r="A25" i="17"/>
  <c r="L24" i="17"/>
  <c r="K24" i="17"/>
  <c r="J24" i="17"/>
  <c r="I24" i="17"/>
  <c r="H24" i="17"/>
  <c r="G24" i="17"/>
  <c r="F24" i="17"/>
  <c r="E24" i="17"/>
  <c r="D24" i="17"/>
  <c r="C24" i="17"/>
  <c r="B24" i="17"/>
  <c r="A24" i="17"/>
  <c r="L23" i="17"/>
  <c r="K23" i="17"/>
  <c r="J23" i="17"/>
  <c r="I23" i="17"/>
  <c r="H23" i="17"/>
  <c r="G23" i="17"/>
  <c r="F23" i="17"/>
  <c r="E23" i="17"/>
  <c r="D23" i="17"/>
  <c r="C23" i="17"/>
  <c r="B23" i="17"/>
  <c r="A23" i="17"/>
  <c r="L22" i="17"/>
  <c r="K22" i="17"/>
  <c r="J22" i="17"/>
  <c r="I22" i="17"/>
  <c r="H22" i="17"/>
  <c r="G22" i="17"/>
  <c r="F22" i="17"/>
  <c r="E22" i="17"/>
  <c r="D22" i="17"/>
  <c r="C22" i="17"/>
  <c r="B22" i="17"/>
  <c r="A22" i="17"/>
  <c r="L21" i="17"/>
  <c r="K21" i="17"/>
  <c r="J21" i="17"/>
  <c r="I21" i="17"/>
  <c r="H21" i="17"/>
  <c r="G21" i="17"/>
  <c r="F21" i="17"/>
  <c r="E21" i="17"/>
  <c r="D21" i="17"/>
  <c r="C21" i="17"/>
  <c r="B21" i="17"/>
  <c r="A21" i="17"/>
  <c r="L20" i="17"/>
  <c r="K20" i="17"/>
  <c r="J20" i="17"/>
  <c r="I20" i="17"/>
  <c r="H20" i="17"/>
  <c r="G20" i="17"/>
  <c r="F20" i="17"/>
  <c r="E20" i="17"/>
  <c r="D20" i="17"/>
  <c r="C20" i="17"/>
  <c r="B20" i="17"/>
  <c r="A20" i="17"/>
  <c r="L19" i="17"/>
  <c r="K19" i="17"/>
  <c r="J19" i="17"/>
  <c r="I19" i="17"/>
  <c r="H19" i="17"/>
  <c r="G19" i="17"/>
  <c r="F19" i="17"/>
  <c r="E19" i="17"/>
  <c r="D19" i="17"/>
  <c r="C19" i="17"/>
  <c r="B19" i="17"/>
  <c r="A19" i="17"/>
  <c r="L18" i="17"/>
  <c r="K18" i="17"/>
  <c r="J18" i="17"/>
  <c r="I18" i="17"/>
  <c r="H18" i="17"/>
  <c r="G18" i="17"/>
  <c r="F18" i="17"/>
  <c r="E18" i="17"/>
  <c r="D18" i="17"/>
  <c r="C18" i="17"/>
  <c r="B18" i="17"/>
  <c r="A18" i="17"/>
  <c r="L17" i="17"/>
  <c r="K17" i="17"/>
  <c r="J17" i="17"/>
  <c r="I17" i="17"/>
  <c r="H17" i="17"/>
  <c r="G17" i="17"/>
  <c r="F17" i="17"/>
  <c r="E17" i="17"/>
  <c r="D17" i="17"/>
  <c r="C17" i="17"/>
  <c r="B17" i="17"/>
  <c r="A17" i="17"/>
  <c r="L16" i="17"/>
  <c r="K16" i="17"/>
  <c r="J16" i="17"/>
  <c r="I16" i="17"/>
  <c r="H16" i="17"/>
  <c r="G16" i="17"/>
  <c r="F16" i="17"/>
  <c r="E16" i="17"/>
  <c r="D16" i="17"/>
  <c r="C16" i="17"/>
  <c r="B16" i="17"/>
  <c r="A16" i="17"/>
  <c r="L15" i="17"/>
  <c r="K15" i="17"/>
  <c r="J15" i="17"/>
  <c r="I15" i="17"/>
  <c r="H15" i="17"/>
  <c r="G15" i="17"/>
  <c r="F15" i="17"/>
  <c r="E15" i="17"/>
  <c r="D15" i="17"/>
  <c r="C15" i="17"/>
  <c r="B15" i="17"/>
  <c r="A15" i="17"/>
  <c r="L14" i="17"/>
  <c r="K14" i="17"/>
  <c r="J14" i="17"/>
  <c r="I14" i="17"/>
  <c r="H14" i="17"/>
  <c r="G14" i="17"/>
  <c r="F14" i="17"/>
  <c r="E14" i="17"/>
  <c r="D14" i="17"/>
  <c r="C14" i="17"/>
  <c r="B14" i="17"/>
  <c r="A14" i="17"/>
  <c r="L13" i="17"/>
  <c r="K13" i="17"/>
  <c r="J13" i="17"/>
  <c r="I13" i="17"/>
  <c r="H13" i="17"/>
  <c r="G13" i="17"/>
  <c r="F13" i="17"/>
  <c r="E13" i="17"/>
  <c r="D13" i="17"/>
  <c r="C13" i="17"/>
  <c r="B13" i="17"/>
  <c r="A13" i="17"/>
  <c r="L12" i="17"/>
  <c r="K12" i="17"/>
  <c r="J12" i="17"/>
  <c r="I12" i="17"/>
  <c r="H12" i="17"/>
  <c r="G12" i="17"/>
  <c r="F12" i="17"/>
  <c r="E12" i="17"/>
  <c r="D12" i="17"/>
  <c r="C12" i="17"/>
  <c r="B12" i="17"/>
  <c r="A12" i="17"/>
  <c r="L11" i="17"/>
  <c r="K11" i="17"/>
  <c r="J11" i="17"/>
  <c r="I11" i="17"/>
  <c r="H11" i="17"/>
  <c r="G11" i="17"/>
  <c r="F11" i="17"/>
  <c r="E11" i="17"/>
  <c r="D11" i="17"/>
  <c r="C11" i="17"/>
  <c r="B11" i="17"/>
  <c r="A11" i="17"/>
  <c r="L10" i="17"/>
  <c r="K10" i="17"/>
  <c r="J10" i="17"/>
  <c r="I10" i="17"/>
  <c r="H10" i="17"/>
  <c r="G10" i="17"/>
  <c r="F10" i="17"/>
  <c r="E10" i="17"/>
  <c r="D10" i="17"/>
  <c r="C10" i="17"/>
  <c r="B10" i="17"/>
  <c r="A10" i="17"/>
  <c r="L9" i="17"/>
  <c r="K9" i="17"/>
  <c r="J9" i="17"/>
  <c r="I9" i="17"/>
  <c r="H9" i="17"/>
  <c r="G9" i="17"/>
  <c r="F9" i="17"/>
  <c r="E9" i="17"/>
  <c r="D9" i="17"/>
  <c r="C9" i="17"/>
  <c r="B9" i="17"/>
  <c r="A9" i="17"/>
  <c r="L8" i="17"/>
  <c r="K8" i="17"/>
  <c r="J8" i="17"/>
  <c r="I8" i="17"/>
  <c r="H8" i="17"/>
  <c r="G8" i="17"/>
  <c r="F8" i="17"/>
  <c r="E8" i="17"/>
  <c r="D8" i="17"/>
  <c r="C8" i="17"/>
  <c r="B8" i="17"/>
  <c r="A8" i="17"/>
  <c r="L7" i="17"/>
  <c r="K7" i="17"/>
  <c r="J7" i="17"/>
  <c r="I7" i="17"/>
  <c r="H7" i="17"/>
  <c r="G7" i="17"/>
  <c r="F7" i="17"/>
  <c r="E7" i="17"/>
  <c r="D7" i="17"/>
  <c r="C7" i="17"/>
  <c r="B7" i="17"/>
  <c r="A7" i="17"/>
  <c r="L6" i="17"/>
  <c r="K6" i="17"/>
  <c r="J6" i="17"/>
  <c r="I6" i="17"/>
  <c r="H6" i="17"/>
  <c r="G6" i="17"/>
  <c r="F6" i="17"/>
  <c r="E6" i="17"/>
  <c r="D6" i="17"/>
  <c r="C6" i="17"/>
  <c r="B6" i="17"/>
  <c r="A6" i="17"/>
  <c r="L5" i="17"/>
  <c r="K5" i="17"/>
  <c r="J5" i="17"/>
  <c r="I5" i="17"/>
  <c r="H5" i="17"/>
  <c r="G5" i="17"/>
  <c r="F5" i="17"/>
  <c r="E5" i="17"/>
  <c r="D5" i="17"/>
  <c r="C5" i="17"/>
  <c r="B5" i="17"/>
  <c r="A5" i="17"/>
  <c r="L4" i="17"/>
  <c r="K4" i="17"/>
  <c r="J4" i="17"/>
  <c r="I4" i="17"/>
  <c r="H4" i="17"/>
  <c r="G4" i="17"/>
  <c r="F4" i="17"/>
  <c r="E4" i="17"/>
  <c r="D4" i="17"/>
  <c r="C4" i="17"/>
  <c r="B4" i="17"/>
  <c r="A4" i="17"/>
  <c r="L3" i="17"/>
  <c r="K3" i="17"/>
  <c r="J3" i="17"/>
  <c r="I3" i="17"/>
  <c r="H3" i="17"/>
  <c r="G3" i="17"/>
  <c r="F3" i="17"/>
  <c r="E3" i="17"/>
  <c r="D3" i="17"/>
  <c r="C3" i="17"/>
  <c r="B3" i="17"/>
  <c r="A3" i="17"/>
  <c r="L2" i="17"/>
  <c r="K2" i="17"/>
  <c r="J2" i="17"/>
  <c r="I2" i="17"/>
  <c r="H2" i="17"/>
  <c r="G2" i="17"/>
  <c r="F2" i="17"/>
  <c r="E2" i="17"/>
  <c r="D2" i="17"/>
  <c r="C2" i="17"/>
  <c r="B2" i="17"/>
  <c r="A2" i="17"/>
  <c r="L27" i="16"/>
  <c r="K27" i="16"/>
  <c r="J27" i="16"/>
  <c r="I27" i="16"/>
  <c r="H27" i="16"/>
  <c r="G27" i="16"/>
  <c r="F27" i="16"/>
  <c r="E27" i="16"/>
  <c r="D27" i="16"/>
  <c r="C27" i="16"/>
  <c r="B27" i="16"/>
  <c r="A27" i="16"/>
  <c r="L26" i="16"/>
  <c r="K26" i="16"/>
  <c r="J26" i="16"/>
  <c r="I26" i="16"/>
  <c r="H26" i="16"/>
  <c r="G26" i="16"/>
  <c r="F26" i="16"/>
  <c r="E26" i="16"/>
  <c r="D26" i="16"/>
  <c r="C26" i="16"/>
  <c r="B26" i="16"/>
  <c r="A26" i="16"/>
  <c r="L25" i="16"/>
  <c r="K25" i="16"/>
  <c r="J25" i="16"/>
  <c r="I25" i="16"/>
  <c r="H25" i="16"/>
  <c r="G25" i="16"/>
  <c r="F25" i="16"/>
  <c r="E25" i="16"/>
  <c r="D25" i="16"/>
  <c r="C25" i="16"/>
  <c r="B25" i="16"/>
  <c r="A25" i="16"/>
  <c r="L24" i="16"/>
  <c r="K24" i="16"/>
  <c r="J24" i="16"/>
  <c r="I24" i="16"/>
  <c r="H24" i="16"/>
  <c r="G24" i="16"/>
  <c r="F24" i="16"/>
  <c r="E24" i="16"/>
  <c r="D24" i="16"/>
  <c r="C24" i="16"/>
  <c r="B24" i="16"/>
  <c r="A24" i="16"/>
  <c r="L23" i="16"/>
  <c r="K23" i="16"/>
  <c r="J23" i="16"/>
  <c r="I23" i="16"/>
  <c r="H23" i="16"/>
  <c r="G23" i="16"/>
  <c r="F23" i="16"/>
  <c r="E23" i="16"/>
  <c r="D23" i="16"/>
  <c r="C23" i="16"/>
  <c r="B23" i="16"/>
  <c r="A23" i="16"/>
  <c r="L22" i="16"/>
  <c r="K22" i="16"/>
  <c r="J22" i="16"/>
  <c r="I22" i="16"/>
  <c r="H22" i="16"/>
  <c r="G22" i="16"/>
  <c r="F22" i="16"/>
  <c r="E22" i="16"/>
  <c r="D22" i="16"/>
  <c r="C22" i="16"/>
  <c r="B22" i="16"/>
  <c r="A22" i="16"/>
  <c r="L21" i="16"/>
  <c r="K21" i="16"/>
  <c r="J21" i="16"/>
  <c r="I21" i="16"/>
  <c r="H21" i="16"/>
  <c r="G21" i="16"/>
  <c r="F21" i="16"/>
  <c r="E21" i="16"/>
  <c r="D21" i="16"/>
  <c r="C21" i="16"/>
  <c r="B21" i="16"/>
  <c r="A21" i="16"/>
  <c r="L20" i="16"/>
  <c r="K20" i="16"/>
  <c r="J20" i="16"/>
  <c r="I20" i="16"/>
  <c r="H20" i="16"/>
  <c r="G20" i="16"/>
  <c r="F20" i="16"/>
  <c r="E20" i="16"/>
  <c r="D20" i="16"/>
  <c r="C20" i="16"/>
  <c r="B20" i="16"/>
  <c r="A20" i="16"/>
  <c r="L19" i="16"/>
  <c r="K19" i="16"/>
  <c r="J19" i="16"/>
  <c r="I19" i="16"/>
  <c r="H19" i="16"/>
  <c r="G19" i="16"/>
  <c r="F19" i="16"/>
  <c r="E19" i="16"/>
  <c r="D19" i="16"/>
  <c r="C19" i="16"/>
  <c r="B19" i="16"/>
  <c r="A19" i="16"/>
  <c r="L18" i="16"/>
  <c r="K18" i="16"/>
  <c r="J18" i="16"/>
  <c r="I18" i="16"/>
  <c r="H18" i="16"/>
  <c r="G18" i="16"/>
  <c r="F18" i="16"/>
  <c r="E18" i="16"/>
  <c r="D18" i="16"/>
  <c r="C18" i="16"/>
  <c r="B18" i="16"/>
  <c r="A18" i="16"/>
  <c r="L17" i="16"/>
  <c r="K17" i="16"/>
  <c r="J17" i="16"/>
  <c r="I17" i="16"/>
  <c r="H17" i="16"/>
  <c r="G17" i="16"/>
  <c r="F17" i="16"/>
  <c r="E17" i="16"/>
  <c r="D17" i="16"/>
  <c r="C17" i="16"/>
  <c r="B17" i="16"/>
  <c r="A17" i="16"/>
  <c r="L16" i="16"/>
  <c r="K16" i="16"/>
  <c r="J16" i="16"/>
  <c r="I16" i="16"/>
  <c r="H16" i="16"/>
  <c r="G16" i="16"/>
  <c r="F16" i="16"/>
  <c r="E16" i="16"/>
  <c r="D16" i="16"/>
  <c r="C16" i="16"/>
  <c r="B16" i="16"/>
  <c r="A16" i="16"/>
  <c r="L15" i="16"/>
  <c r="K15" i="16"/>
  <c r="J15" i="16"/>
  <c r="I15" i="16"/>
  <c r="H15" i="16"/>
  <c r="G15" i="16"/>
  <c r="F15" i="16"/>
  <c r="E15" i="16"/>
  <c r="D15" i="16"/>
  <c r="C15" i="16"/>
  <c r="B15" i="16"/>
  <c r="A15" i="16"/>
  <c r="L14" i="16"/>
  <c r="K14" i="16"/>
  <c r="J14" i="16"/>
  <c r="I14" i="16"/>
  <c r="H14" i="16"/>
  <c r="G14" i="16"/>
  <c r="F14" i="16"/>
  <c r="E14" i="16"/>
  <c r="D14" i="16"/>
  <c r="C14" i="16"/>
  <c r="B14" i="16"/>
  <c r="A14" i="16"/>
  <c r="L13" i="16"/>
  <c r="K13" i="16"/>
  <c r="J13" i="16"/>
  <c r="I13" i="16"/>
  <c r="H13" i="16"/>
  <c r="G13" i="16"/>
  <c r="F13" i="16"/>
  <c r="E13" i="16"/>
  <c r="D13" i="16"/>
  <c r="C13" i="16"/>
  <c r="B13" i="16"/>
  <c r="A13" i="16"/>
  <c r="L12" i="16"/>
  <c r="K12" i="16"/>
  <c r="J12" i="16"/>
  <c r="I12" i="16"/>
  <c r="H12" i="16"/>
  <c r="G12" i="16"/>
  <c r="F12" i="16"/>
  <c r="E12" i="16"/>
  <c r="D12" i="16"/>
  <c r="C12" i="16"/>
  <c r="B12" i="16"/>
  <c r="A12" i="16"/>
  <c r="L11" i="16"/>
  <c r="K11" i="16"/>
  <c r="J11" i="16"/>
  <c r="I11" i="16"/>
  <c r="H11" i="16"/>
  <c r="G11" i="16"/>
  <c r="F11" i="16"/>
  <c r="E11" i="16"/>
  <c r="D11" i="16"/>
  <c r="C11" i="16"/>
  <c r="B11" i="16"/>
  <c r="A11" i="16"/>
  <c r="L10" i="16"/>
  <c r="K10" i="16"/>
  <c r="J10" i="16"/>
  <c r="I10" i="16"/>
  <c r="H10" i="16"/>
  <c r="G10" i="16"/>
  <c r="F10" i="16"/>
  <c r="E10" i="16"/>
  <c r="D10" i="16"/>
  <c r="C10" i="16"/>
  <c r="B10" i="16"/>
  <c r="A10" i="16"/>
  <c r="L9" i="16"/>
  <c r="K9" i="16"/>
  <c r="J9" i="16"/>
  <c r="I9" i="16"/>
  <c r="H9" i="16"/>
  <c r="G9" i="16"/>
  <c r="F9" i="16"/>
  <c r="E9" i="16"/>
  <c r="D9" i="16"/>
  <c r="C9" i="16"/>
  <c r="B9" i="16"/>
  <c r="A9" i="16"/>
  <c r="L8" i="16"/>
  <c r="K8" i="16"/>
  <c r="J8" i="16"/>
  <c r="I8" i="16"/>
  <c r="H8" i="16"/>
  <c r="G8" i="16"/>
  <c r="F8" i="16"/>
  <c r="E8" i="16"/>
  <c r="D8" i="16"/>
  <c r="C8" i="16"/>
  <c r="B8" i="16"/>
  <c r="A8" i="16"/>
  <c r="L7" i="16"/>
  <c r="K7" i="16"/>
  <c r="J7" i="16"/>
  <c r="I7" i="16"/>
  <c r="H7" i="16"/>
  <c r="G7" i="16"/>
  <c r="F7" i="16"/>
  <c r="E7" i="16"/>
  <c r="D7" i="16"/>
  <c r="C7" i="16"/>
  <c r="B7" i="16"/>
  <c r="A7" i="16"/>
  <c r="L6" i="16"/>
  <c r="K6" i="16"/>
  <c r="J6" i="16"/>
  <c r="I6" i="16"/>
  <c r="H6" i="16"/>
  <c r="G6" i="16"/>
  <c r="F6" i="16"/>
  <c r="E6" i="16"/>
  <c r="D6" i="16"/>
  <c r="C6" i="16"/>
  <c r="B6" i="16"/>
  <c r="A6" i="16"/>
  <c r="L5" i="16"/>
  <c r="K5" i="16"/>
  <c r="J5" i="16"/>
  <c r="I5" i="16"/>
  <c r="H5" i="16"/>
  <c r="G5" i="16"/>
  <c r="F5" i="16"/>
  <c r="E5" i="16"/>
  <c r="D5" i="16"/>
  <c r="C5" i="16"/>
  <c r="B5" i="16"/>
  <c r="A5" i="16"/>
  <c r="L4" i="16"/>
  <c r="K4" i="16"/>
  <c r="J4" i="16"/>
  <c r="I4" i="16"/>
  <c r="H4" i="16"/>
  <c r="G4" i="16"/>
  <c r="F4" i="16"/>
  <c r="E4" i="16"/>
  <c r="D4" i="16"/>
  <c r="C4" i="16"/>
  <c r="B4" i="16"/>
  <c r="A4" i="16"/>
  <c r="L3" i="16"/>
  <c r="K3" i="16"/>
  <c r="J3" i="16"/>
  <c r="I3" i="16"/>
  <c r="H3" i="16"/>
  <c r="G3" i="16"/>
  <c r="F3" i="16"/>
  <c r="E3" i="16"/>
  <c r="D3" i="16"/>
  <c r="C3" i="16"/>
  <c r="B3" i="16"/>
  <c r="A3" i="16"/>
  <c r="L2" i="16"/>
  <c r="K2" i="16"/>
  <c r="J2" i="16"/>
  <c r="I2" i="16"/>
  <c r="H2" i="16"/>
  <c r="G2" i="16"/>
  <c r="F2" i="16"/>
  <c r="E2" i="16"/>
  <c r="D2" i="16"/>
  <c r="C2" i="16"/>
  <c r="B2" i="16"/>
  <c r="A2" i="16"/>
  <c r="L27" i="15"/>
  <c r="K27" i="15"/>
  <c r="J27" i="15"/>
  <c r="I27" i="15"/>
  <c r="H27" i="15"/>
  <c r="G27" i="15"/>
  <c r="F27" i="15"/>
  <c r="E27" i="15"/>
  <c r="D27" i="15"/>
  <c r="C27" i="15"/>
  <c r="B27" i="15"/>
  <c r="A27" i="15"/>
  <c r="L26" i="15"/>
  <c r="K26" i="15"/>
  <c r="J26" i="15"/>
  <c r="I26" i="15"/>
  <c r="H26" i="15"/>
  <c r="G26" i="15"/>
  <c r="F26" i="15"/>
  <c r="E26" i="15"/>
  <c r="D26" i="15"/>
  <c r="C26" i="15"/>
  <c r="B26" i="15"/>
  <c r="A26" i="15"/>
  <c r="L25" i="15"/>
  <c r="K25" i="15"/>
  <c r="J25" i="15"/>
  <c r="I25" i="15"/>
  <c r="H25" i="15"/>
  <c r="G25" i="15"/>
  <c r="F25" i="15"/>
  <c r="E25" i="15"/>
  <c r="D25" i="15"/>
  <c r="C25" i="15"/>
  <c r="B25" i="15"/>
  <c r="A25" i="15"/>
  <c r="L24" i="15"/>
  <c r="K24" i="15"/>
  <c r="J24" i="15"/>
  <c r="I24" i="15"/>
  <c r="H24" i="15"/>
  <c r="G24" i="15"/>
  <c r="F24" i="15"/>
  <c r="E24" i="15"/>
  <c r="D24" i="15"/>
  <c r="C24" i="15"/>
  <c r="B24" i="15"/>
  <c r="A24" i="15"/>
  <c r="L23" i="15"/>
  <c r="K23" i="15"/>
  <c r="J23" i="15"/>
  <c r="I23" i="15"/>
  <c r="H23" i="15"/>
  <c r="G23" i="15"/>
  <c r="F23" i="15"/>
  <c r="E23" i="15"/>
  <c r="D23" i="15"/>
  <c r="C23" i="15"/>
  <c r="B23" i="15"/>
  <c r="A23" i="15"/>
  <c r="L22" i="15"/>
  <c r="K22" i="15"/>
  <c r="J22" i="15"/>
  <c r="I22" i="15"/>
  <c r="H22" i="15"/>
  <c r="G22" i="15"/>
  <c r="F22" i="15"/>
  <c r="E22" i="15"/>
  <c r="D22" i="15"/>
  <c r="C22" i="15"/>
  <c r="B22" i="15"/>
  <c r="A22" i="15"/>
  <c r="L21" i="15"/>
  <c r="K21" i="15"/>
  <c r="J21" i="15"/>
  <c r="I21" i="15"/>
  <c r="H21" i="15"/>
  <c r="G21" i="15"/>
  <c r="F21" i="15"/>
  <c r="E21" i="15"/>
  <c r="D21" i="15"/>
  <c r="C21" i="15"/>
  <c r="B21" i="15"/>
  <c r="A21" i="15"/>
  <c r="L20" i="15"/>
  <c r="K20" i="15"/>
  <c r="J20" i="15"/>
  <c r="I20" i="15"/>
  <c r="H20" i="15"/>
  <c r="G20" i="15"/>
  <c r="F20" i="15"/>
  <c r="E20" i="15"/>
  <c r="D20" i="15"/>
  <c r="C20" i="15"/>
  <c r="B20" i="15"/>
  <c r="A20" i="15"/>
  <c r="L19" i="15"/>
  <c r="K19" i="15"/>
  <c r="J19" i="15"/>
  <c r="I19" i="15"/>
  <c r="H19" i="15"/>
  <c r="G19" i="15"/>
  <c r="F19" i="15"/>
  <c r="E19" i="15"/>
  <c r="D19" i="15"/>
  <c r="C19" i="15"/>
  <c r="B19" i="15"/>
  <c r="A19" i="15"/>
  <c r="L18" i="15"/>
  <c r="K18" i="15"/>
  <c r="J18" i="15"/>
  <c r="I18" i="15"/>
  <c r="H18" i="15"/>
  <c r="G18" i="15"/>
  <c r="F18" i="15"/>
  <c r="E18" i="15"/>
  <c r="D18" i="15"/>
  <c r="C18" i="15"/>
  <c r="B18" i="15"/>
  <c r="A18" i="15"/>
  <c r="L17" i="15"/>
  <c r="K17" i="15"/>
  <c r="J17" i="15"/>
  <c r="I17" i="15"/>
  <c r="H17" i="15"/>
  <c r="G17" i="15"/>
  <c r="F17" i="15"/>
  <c r="E17" i="15"/>
  <c r="D17" i="15"/>
  <c r="C17" i="15"/>
  <c r="B17" i="15"/>
  <c r="A17" i="15"/>
  <c r="L16" i="15"/>
  <c r="K16" i="15"/>
  <c r="J16" i="15"/>
  <c r="I16" i="15"/>
  <c r="H16" i="15"/>
  <c r="G16" i="15"/>
  <c r="F16" i="15"/>
  <c r="E16" i="15"/>
  <c r="D16" i="15"/>
  <c r="C16" i="15"/>
  <c r="B16" i="15"/>
  <c r="A16" i="15"/>
  <c r="L15" i="15"/>
  <c r="K15" i="15"/>
  <c r="J15" i="15"/>
  <c r="I15" i="15"/>
  <c r="H15" i="15"/>
  <c r="G15" i="15"/>
  <c r="F15" i="15"/>
  <c r="E15" i="15"/>
  <c r="D15" i="15"/>
  <c r="C15" i="15"/>
  <c r="B15" i="15"/>
  <c r="A15" i="15"/>
  <c r="L14" i="15"/>
  <c r="K14" i="15"/>
  <c r="J14" i="15"/>
  <c r="I14" i="15"/>
  <c r="H14" i="15"/>
  <c r="G14" i="15"/>
  <c r="F14" i="15"/>
  <c r="E14" i="15"/>
  <c r="D14" i="15"/>
  <c r="C14" i="15"/>
  <c r="B14" i="15"/>
  <c r="A14" i="15"/>
  <c r="L13" i="15"/>
  <c r="K13" i="15"/>
  <c r="J13" i="15"/>
  <c r="I13" i="15"/>
  <c r="H13" i="15"/>
  <c r="G13" i="15"/>
  <c r="F13" i="15"/>
  <c r="E13" i="15"/>
  <c r="D13" i="15"/>
  <c r="C13" i="15"/>
  <c r="B13" i="15"/>
  <c r="A13" i="15"/>
  <c r="L12" i="15"/>
  <c r="K12" i="15"/>
  <c r="J12" i="15"/>
  <c r="I12" i="15"/>
  <c r="H12" i="15"/>
  <c r="G12" i="15"/>
  <c r="F12" i="15"/>
  <c r="E12" i="15"/>
  <c r="D12" i="15"/>
  <c r="C12" i="15"/>
  <c r="B12" i="15"/>
  <c r="A12" i="15"/>
  <c r="L11" i="15"/>
  <c r="K11" i="15"/>
  <c r="J11" i="15"/>
  <c r="I11" i="15"/>
  <c r="H11" i="15"/>
  <c r="G11" i="15"/>
  <c r="F11" i="15"/>
  <c r="E11" i="15"/>
  <c r="D11" i="15"/>
  <c r="C11" i="15"/>
  <c r="B11" i="15"/>
  <c r="A11" i="15"/>
  <c r="L10" i="15"/>
  <c r="K10" i="15"/>
  <c r="J10" i="15"/>
  <c r="I10" i="15"/>
  <c r="H10" i="15"/>
  <c r="G10" i="15"/>
  <c r="F10" i="15"/>
  <c r="E10" i="15"/>
  <c r="D10" i="15"/>
  <c r="C10" i="15"/>
  <c r="B10" i="15"/>
  <c r="A10" i="15"/>
  <c r="L9" i="15"/>
  <c r="K9" i="15"/>
  <c r="J9" i="15"/>
  <c r="I9" i="15"/>
  <c r="H9" i="15"/>
  <c r="G9" i="15"/>
  <c r="F9" i="15"/>
  <c r="E9" i="15"/>
  <c r="D9" i="15"/>
  <c r="C9" i="15"/>
  <c r="B9" i="15"/>
  <c r="A9" i="15"/>
  <c r="L8" i="15"/>
  <c r="K8" i="15"/>
  <c r="J8" i="15"/>
  <c r="I8" i="15"/>
  <c r="H8" i="15"/>
  <c r="G8" i="15"/>
  <c r="F8" i="15"/>
  <c r="E8" i="15"/>
  <c r="D8" i="15"/>
  <c r="C8" i="15"/>
  <c r="B8" i="15"/>
  <c r="A8" i="15"/>
  <c r="L7" i="15"/>
  <c r="K7" i="15"/>
  <c r="J7" i="15"/>
  <c r="I7" i="15"/>
  <c r="H7" i="15"/>
  <c r="G7" i="15"/>
  <c r="F7" i="15"/>
  <c r="E7" i="15"/>
  <c r="D7" i="15"/>
  <c r="C7" i="15"/>
  <c r="B7" i="15"/>
  <c r="A7" i="15"/>
  <c r="L6" i="15"/>
  <c r="K6" i="15"/>
  <c r="J6" i="15"/>
  <c r="I6" i="15"/>
  <c r="H6" i="15"/>
  <c r="G6" i="15"/>
  <c r="F6" i="15"/>
  <c r="E6" i="15"/>
  <c r="D6" i="15"/>
  <c r="C6" i="15"/>
  <c r="B6" i="15"/>
  <c r="A6" i="15"/>
  <c r="L5" i="15"/>
  <c r="K5" i="15"/>
  <c r="J5" i="15"/>
  <c r="I5" i="15"/>
  <c r="H5" i="15"/>
  <c r="G5" i="15"/>
  <c r="F5" i="15"/>
  <c r="E5" i="15"/>
  <c r="D5" i="15"/>
  <c r="C5" i="15"/>
  <c r="B5" i="15"/>
  <c r="A5" i="15"/>
  <c r="L4" i="15"/>
  <c r="K4" i="15"/>
  <c r="J4" i="15"/>
  <c r="I4" i="15"/>
  <c r="H4" i="15"/>
  <c r="G4" i="15"/>
  <c r="F4" i="15"/>
  <c r="E4" i="15"/>
  <c r="D4" i="15"/>
  <c r="C4" i="15"/>
  <c r="B4" i="15"/>
  <c r="A4" i="15"/>
  <c r="L3" i="15"/>
  <c r="K3" i="15"/>
  <c r="J3" i="15"/>
  <c r="I3" i="15"/>
  <c r="H3" i="15"/>
  <c r="G3" i="15"/>
  <c r="F3" i="15"/>
  <c r="E3" i="15"/>
  <c r="D3" i="15"/>
  <c r="C3" i="15"/>
  <c r="B3" i="15"/>
  <c r="A3" i="15"/>
  <c r="L2" i="15"/>
  <c r="K2" i="15"/>
  <c r="J2" i="15"/>
  <c r="I2" i="15"/>
  <c r="H2" i="15"/>
  <c r="G2" i="15"/>
  <c r="F2" i="15"/>
  <c r="E2" i="15"/>
  <c r="D2" i="15"/>
  <c r="C2" i="15"/>
  <c r="B2" i="15"/>
  <c r="A2" i="15"/>
  <c r="L27" i="14"/>
  <c r="K27" i="14"/>
  <c r="J27" i="14"/>
  <c r="I27" i="14"/>
  <c r="H27" i="14"/>
  <c r="G27" i="14"/>
  <c r="F27" i="14"/>
  <c r="E27" i="14"/>
  <c r="D27" i="14"/>
  <c r="C27" i="14"/>
  <c r="B27" i="14"/>
  <c r="A27" i="14"/>
  <c r="L26" i="14"/>
  <c r="K26" i="14"/>
  <c r="J26" i="14"/>
  <c r="I26" i="14"/>
  <c r="H26" i="14"/>
  <c r="G26" i="14"/>
  <c r="F26" i="14"/>
  <c r="E26" i="14"/>
  <c r="D26" i="14"/>
  <c r="C26" i="14"/>
  <c r="B26" i="14"/>
  <c r="A26" i="14"/>
  <c r="L25" i="14"/>
  <c r="K25" i="14"/>
  <c r="J25" i="14"/>
  <c r="I25" i="14"/>
  <c r="H25" i="14"/>
  <c r="G25" i="14"/>
  <c r="F25" i="14"/>
  <c r="E25" i="14"/>
  <c r="D25" i="14"/>
  <c r="C25" i="14"/>
  <c r="B25" i="14"/>
  <c r="A25" i="14"/>
  <c r="L24" i="14"/>
  <c r="K24" i="14"/>
  <c r="J24" i="14"/>
  <c r="I24" i="14"/>
  <c r="H24" i="14"/>
  <c r="G24" i="14"/>
  <c r="F24" i="14"/>
  <c r="E24" i="14"/>
  <c r="D24" i="14"/>
  <c r="C24" i="14"/>
  <c r="B24" i="14"/>
  <c r="A24" i="14"/>
  <c r="L23" i="14"/>
  <c r="K23" i="14"/>
  <c r="J23" i="14"/>
  <c r="I23" i="14"/>
  <c r="H23" i="14"/>
  <c r="G23" i="14"/>
  <c r="F23" i="14"/>
  <c r="E23" i="14"/>
  <c r="D23" i="14"/>
  <c r="C23" i="14"/>
  <c r="B23" i="14"/>
  <c r="A23" i="14"/>
  <c r="L22" i="14"/>
  <c r="K22" i="14"/>
  <c r="J22" i="14"/>
  <c r="I22" i="14"/>
  <c r="H22" i="14"/>
  <c r="G22" i="14"/>
  <c r="F22" i="14"/>
  <c r="E22" i="14"/>
  <c r="D22" i="14"/>
  <c r="C22" i="14"/>
  <c r="B22" i="14"/>
  <c r="A22" i="14"/>
  <c r="L21" i="14"/>
  <c r="K21" i="14"/>
  <c r="J21" i="14"/>
  <c r="I21" i="14"/>
  <c r="H21" i="14"/>
  <c r="G21" i="14"/>
  <c r="F21" i="14"/>
  <c r="E21" i="14"/>
  <c r="D21" i="14"/>
  <c r="C21" i="14"/>
  <c r="B21" i="14"/>
  <c r="A21" i="14"/>
  <c r="L20" i="14"/>
  <c r="K20" i="14"/>
  <c r="J20" i="14"/>
  <c r="I20" i="14"/>
  <c r="H20" i="14"/>
  <c r="G20" i="14"/>
  <c r="F20" i="14"/>
  <c r="E20" i="14"/>
  <c r="D20" i="14"/>
  <c r="C20" i="14"/>
  <c r="B20" i="14"/>
  <c r="A20" i="14"/>
  <c r="L19" i="14"/>
  <c r="K19" i="14"/>
  <c r="J19" i="14"/>
  <c r="I19" i="14"/>
  <c r="H19" i="14"/>
  <c r="G19" i="14"/>
  <c r="F19" i="14"/>
  <c r="E19" i="14"/>
  <c r="D19" i="14"/>
  <c r="C19" i="14"/>
  <c r="B19" i="14"/>
  <c r="A19" i="14"/>
  <c r="L18" i="14"/>
  <c r="K18" i="14"/>
  <c r="J18" i="14"/>
  <c r="I18" i="14"/>
  <c r="H18" i="14"/>
  <c r="G18" i="14"/>
  <c r="F18" i="14"/>
  <c r="E18" i="14"/>
  <c r="D18" i="14"/>
  <c r="C18" i="14"/>
  <c r="B18" i="14"/>
  <c r="A18" i="14"/>
  <c r="L17" i="14"/>
  <c r="K17" i="14"/>
  <c r="J17" i="14"/>
  <c r="I17" i="14"/>
  <c r="H17" i="14"/>
  <c r="G17" i="14"/>
  <c r="F17" i="14"/>
  <c r="E17" i="14"/>
  <c r="D17" i="14"/>
  <c r="C17" i="14"/>
  <c r="B17" i="14"/>
  <c r="A17" i="14"/>
  <c r="L16" i="14"/>
  <c r="K16" i="14"/>
  <c r="J16" i="14"/>
  <c r="I16" i="14"/>
  <c r="H16" i="14"/>
  <c r="G16" i="14"/>
  <c r="F16" i="14"/>
  <c r="E16" i="14"/>
  <c r="D16" i="14"/>
  <c r="C16" i="14"/>
  <c r="B16" i="14"/>
  <c r="A16" i="14"/>
  <c r="L15" i="14"/>
  <c r="K15" i="14"/>
  <c r="J15" i="14"/>
  <c r="I15" i="14"/>
  <c r="H15" i="14"/>
  <c r="G15" i="14"/>
  <c r="F15" i="14"/>
  <c r="E15" i="14"/>
  <c r="D15" i="14"/>
  <c r="C15" i="14"/>
  <c r="B15" i="14"/>
  <c r="A15" i="14"/>
  <c r="L14" i="14"/>
  <c r="K14" i="14"/>
  <c r="J14" i="14"/>
  <c r="I14" i="14"/>
  <c r="H14" i="14"/>
  <c r="G14" i="14"/>
  <c r="F14" i="14"/>
  <c r="E14" i="14"/>
  <c r="D14" i="14"/>
  <c r="C14" i="14"/>
  <c r="B14" i="14"/>
  <c r="A14" i="14"/>
  <c r="L13" i="14"/>
  <c r="K13" i="14"/>
  <c r="J13" i="14"/>
  <c r="I13" i="14"/>
  <c r="H13" i="14"/>
  <c r="G13" i="14"/>
  <c r="F13" i="14"/>
  <c r="E13" i="14"/>
  <c r="D13" i="14"/>
  <c r="C13" i="14"/>
  <c r="B13" i="14"/>
  <c r="A13" i="14"/>
  <c r="L12" i="14"/>
  <c r="K12" i="14"/>
  <c r="J12" i="14"/>
  <c r="I12" i="14"/>
  <c r="H12" i="14"/>
  <c r="G12" i="14"/>
  <c r="F12" i="14"/>
  <c r="E12" i="14"/>
  <c r="D12" i="14"/>
  <c r="C12" i="14"/>
  <c r="B12" i="14"/>
  <c r="A12" i="14"/>
  <c r="L11" i="14"/>
  <c r="K11" i="14"/>
  <c r="J11" i="14"/>
  <c r="I11" i="14"/>
  <c r="H11" i="14"/>
  <c r="G11" i="14"/>
  <c r="F11" i="14"/>
  <c r="E11" i="14"/>
  <c r="D11" i="14"/>
  <c r="C11" i="14"/>
  <c r="B11" i="14"/>
  <c r="A11" i="14"/>
  <c r="L10" i="14"/>
  <c r="K10" i="14"/>
  <c r="J10" i="14"/>
  <c r="I10" i="14"/>
  <c r="H10" i="14"/>
  <c r="G10" i="14"/>
  <c r="F10" i="14"/>
  <c r="E10" i="14"/>
  <c r="D10" i="14"/>
  <c r="C10" i="14"/>
  <c r="B10" i="14"/>
  <c r="A10" i="14"/>
  <c r="L9" i="14"/>
  <c r="K9" i="14"/>
  <c r="J9" i="14"/>
  <c r="I9" i="14"/>
  <c r="H9" i="14"/>
  <c r="G9" i="14"/>
  <c r="F9" i="14"/>
  <c r="E9" i="14"/>
  <c r="D9" i="14"/>
  <c r="C9" i="14"/>
  <c r="B9" i="14"/>
  <c r="A9" i="14"/>
  <c r="L8" i="14"/>
  <c r="K8" i="14"/>
  <c r="J8" i="14"/>
  <c r="I8" i="14"/>
  <c r="H8" i="14"/>
  <c r="G8" i="14"/>
  <c r="F8" i="14"/>
  <c r="E8" i="14"/>
  <c r="D8" i="14"/>
  <c r="C8" i="14"/>
  <c r="B8" i="14"/>
  <c r="A8" i="14"/>
  <c r="L7" i="14"/>
  <c r="K7" i="14"/>
  <c r="J7" i="14"/>
  <c r="I7" i="14"/>
  <c r="H7" i="14"/>
  <c r="G7" i="14"/>
  <c r="F7" i="14"/>
  <c r="E7" i="14"/>
  <c r="D7" i="14"/>
  <c r="C7" i="14"/>
  <c r="B7" i="14"/>
  <c r="A7" i="14"/>
  <c r="L6" i="14"/>
  <c r="K6" i="14"/>
  <c r="J6" i="14"/>
  <c r="I6" i="14"/>
  <c r="H6" i="14"/>
  <c r="G6" i="14"/>
  <c r="F6" i="14"/>
  <c r="E6" i="14"/>
  <c r="D6" i="14"/>
  <c r="C6" i="14"/>
  <c r="B6" i="14"/>
  <c r="A6" i="14"/>
  <c r="L5" i="14"/>
  <c r="K5" i="14"/>
  <c r="J5" i="14"/>
  <c r="I5" i="14"/>
  <c r="H5" i="14"/>
  <c r="G5" i="14"/>
  <c r="F5" i="14"/>
  <c r="E5" i="14"/>
  <c r="D5" i="14"/>
  <c r="C5" i="14"/>
  <c r="B5" i="14"/>
  <c r="A5" i="14"/>
  <c r="L4" i="14"/>
  <c r="K4" i="14"/>
  <c r="J4" i="14"/>
  <c r="I4" i="14"/>
  <c r="H4" i="14"/>
  <c r="G4" i="14"/>
  <c r="F4" i="14"/>
  <c r="E4" i="14"/>
  <c r="D4" i="14"/>
  <c r="C4" i="14"/>
  <c r="B4" i="14"/>
  <c r="A4" i="14"/>
  <c r="L3" i="14"/>
  <c r="K3" i="14"/>
  <c r="J3" i="14"/>
  <c r="I3" i="14"/>
  <c r="H3" i="14"/>
  <c r="G3" i="14"/>
  <c r="F3" i="14"/>
  <c r="E3" i="14"/>
  <c r="D3" i="14"/>
  <c r="C3" i="14"/>
  <c r="B3" i="14"/>
  <c r="A3" i="14"/>
  <c r="L2" i="14"/>
  <c r="K2" i="14"/>
  <c r="J2" i="14"/>
  <c r="I2" i="14"/>
  <c r="H2" i="14"/>
  <c r="G2" i="14"/>
  <c r="F2" i="14"/>
  <c r="E2" i="14"/>
  <c r="D2" i="14"/>
  <c r="C2" i="14"/>
  <c r="B2" i="14"/>
  <c r="A2" i="14"/>
  <c r="L27" i="13"/>
  <c r="K27" i="13"/>
  <c r="J27" i="13"/>
  <c r="I27" i="13"/>
  <c r="H27" i="13"/>
  <c r="G27" i="13"/>
  <c r="F27" i="13"/>
  <c r="E27" i="13"/>
  <c r="D27" i="13"/>
  <c r="C27" i="13"/>
  <c r="B27" i="13"/>
  <c r="A27" i="13"/>
  <c r="L26" i="13"/>
  <c r="K26" i="13"/>
  <c r="J26" i="13"/>
  <c r="I26" i="13"/>
  <c r="H26" i="13"/>
  <c r="G26" i="13"/>
  <c r="F26" i="13"/>
  <c r="E26" i="13"/>
  <c r="D26" i="13"/>
  <c r="C26" i="13"/>
  <c r="B26" i="13"/>
  <c r="A26" i="13"/>
  <c r="L25" i="13"/>
  <c r="K25" i="13"/>
  <c r="J25" i="13"/>
  <c r="I25" i="13"/>
  <c r="H25" i="13"/>
  <c r="G25" i="13"/>
  <c r="F25" i="13"/>
  <c r="E25" i="13"/>
  <c r="D25" i="13"/>
  <c r="C25" i="13"/>
  <c r="B25" i="13"/>
  <c r="A25" i="13"/>
  <c r="L24" i="13"/>
  <c r="K24" i="13"/>
  <c r="J24" i="13"/>
  <c r="I24" i="13"/>
  <c r="H24" i="13"/>
  <c r="G24" i="13"/>
  <c r="F24" i="13"/>
  <c r="E24" i="13"/>
  <c r="D24" i="13"/>
  <c r="C24" i="13"/>
  <c r="B24" i="13"/>
  <c r="A24" i="13"/>
  <c r="L23" i="13"/>
  <c r="K23" i="13"/>
  <c r="J23" i="13"/>
  <c r="I23" i="13"/>
  <c r="H23" i="13"/>
  <c r="G23" i="13"/>
  <c r="F23" i="13"/>
  <c r="E23" i="13"/>
  <c r="D23" i="13"/>
  <c r="C23" i="13"/>
  <c r="B23" i="13"/>
  <c r="A23" i="13"/>
  <c r="L22" i="13"/>
  <c r="K22" i="13"/>
  <c r="J22" i="13"/>
  <c r="I22" i="13"/>
  <c r="H22" i="13"/>
  <c r="G22" i="13"/>
  <c r="F22" i="13"/>
  <c r="E22" i="13"/>
  <c r="D22" i="13"/>
  <c r="C22" i="13"/>
  <c r="B22" i="13"/>
  <c r="A22" i="13"/>
  <c r="L21" i="13"/>
  <c r="K21" i="13"/>
  <c r="J21" i="13"/>
  <c r="I21" i="13"/>
  <c r="H21" i="13"/>
  <c r="G21" i="13"/>
  <c r="F21" i="13"/>
  <c r="E21" i="13"/>
  <c r="D21" i="13"/>
  <c r="C21" i="13"/>
  <c r="B21" i="13"/>
  <c r="A21" i="13"/>
  <c r="L20" i="13"/>
  <c r="K20" i="13"/>
  <c r="J20" i="13"/>
  <c r="I20" i="13"/>
  <c r="H20" i="13"/>
  <c r="G20" i="13"/>
  <c r="F20" i="13"/>
  <c r="E20" i="13"/>
  <c r="D20" i="13"/>
  <c r="C20" i="13"/>
  <c r="B20" i="13"/>
  <c r="A20" i="13"/>
  <c r="L19" i="13"/>
  <c r="K19" i="13"/>
  <c r="J19" i="13"/>
  <c r="I19" i="13"/>
  <c r="H19" i="13"/>
  <c r="G19" i="13"/>
  <c r="F19" i="13"/>
  <c r="E19" i="13"/>
  <c r="D19" i="13"/>
  <c r="C19" i="13"/>
  <c r="B19" i="13"/>
  <c r="A19" i="13"/>
  <c r="L18" i="13"/>
  <c r="K18" i="13"/>
  <c r="J18" i="13"/>
  <c r="I18" i="13"/>
  <c r="H18" i="13"/>
  <c r="G18" i="13"/>
  <c r="F18" i="13"/>
  <c r="E18" i="13"/>
  <c r="D18" i="13"/>
  <c r="C18" i="13"/>
  <c r="B18" i="13"/>
  <c r="A18" i="13"/>
  <c r="L17" i="13"/>
  <c r="K17" i="13"/>
  <c r="J17" i="13"/>
  <c r="I17" i="13"/>
  <c r="H17" i="13"/>
  <c r="G17" i="13"/>
  <c r="F17" i="13"/>
  <c r="E17" i="13"/>
  <c r="D17" i="13"/>
  <c r="C17" i="13"/>
  <c r="B17" i="13"/>
  <c r="A17" i="13"/>
  <c r="L16" i="13"/>
  <c r="K16" i="13"/>
  <c r="J16" i="13"/>
  <c r="I16" i="13"/>
  <c r="H16" i="13"/>
  <c r="G16" i="13"/>
  <c r="F16" i="13"/>
  <c r="E16" i="13"/>
  <c r="D16" i="13"/>
  <c r="C16" i="13"/>
  <c r="B16" i="13"/>
  <c r="A16" i="13"/>
  <c r="L15" i="13"/>
  <c r="K15" i="13"/>
  <c r="J15" i="13"/>
  <c r="I15" i="13"/>
  <c r="H15" i="13"/>
  <c r="G15" i="13"/>
  <c r="F15" i="13"/>
  <c r="E15" i="13"/>
  <c r="D15" i="13"/>
  <c r="C15" i="13"/>
  <c r="B15" i="13"/>
  <c r="A15" i="13"/>
  <c r="L14" i="13"/>
  <c r="K14" i="13"/>
  <c r="J14" i="13"/>
  <c r="I14" i="13"/>
  <c r="H14" i="13"/>
  <c r="G14" i="13"/>
  <c r="F14" i="13"/>
  <c r="E14" i="13"/>
  <c r="D14" i="13"/>
  <c r="C14" i="13"/>
  <c r="B14" i="13"/>
  <c r="A14" i="13"/>
  <c r="L13" i="13"/>
  <c r="K13" i="13"/>
  <c r="J13" i="13"/>
  <c r="I13" i="13"/>
  <c r="H13" i="13"/>
  <c r="G13" i="13"/>
  <c r="F13" i="13"/>
  <c r="E13" i="13"/>
  <c r="D13" i="13"/>
  <c r="C13" i="13"/>
  <c r="B13" i="13"/>
  <c r="A13" i="13"/>
  <c r="L12" i="13"/>
  <c r="K12" i="13"/>
  <c r="J12" i="13"/>
  <c r="I12" i="13"/>
  <c r="H12" i="13"/>
  <c r="G12" i="13"/>
  <c r="F12" i="13"/>
  <c r="E12" i="13"/>
  <c r="D12" i="13"/>
  <c r="C12" i="13"/>
  <c r="B12" i="13"/>
  <c r="A12" i="13"/>
  <c r="L11" i="13"/>
  <c r="K11" i="13"/>
  <c r="J11" i="13"/>
  <c r="I11" i="13"/>
  <c r="H11" i="13"/>
  <c r="G11" i="13"/>
  <c r="F11" i="13"/>
  <c r="E11" i="13"/>
  <c r="D11" i="13"/>
  <c r="C11" i="13"/>
  <c r="B11" i="13"/>
  <c r="A11" i="13"/>
  <c r="L10" i="13"/>
  <c r="K10" i="13"/>
  <c r="J10" i="13"/>
  <c r="I10" i="13"/>
  <c r="H10" i="13"/>
  <c r="G10" i="13"/>
  <c r="F10" i="13"/>
  <c r="E10" i="13"/>
  <c r="D10" i="13"/>
  <c r="C10" i="13"/>
  <c r="B10" i="13"/>
  <c r="A10" i="13"/>
  <c r="L9" i="13"/>
  <c r="K9" i="13"/>
  <c r="J9" i="13"/>
  <c r="I9" i="13"/>
  <c r="H9" i="13"/>
  <c r="G9" i="13"/>
  <c r="F9" i="13"/>
  <c r="E9" i="13"/>
  <c r="D9" i="13"/>
  <c r="C9" i="13"/>
  <c r="B9" i="13"/>
  <c r="A9" i="13"/>
  <c r="L8" i="13"/>
  <c r="K8" i="13"/>
  <c r="J8" i="13"/>
  <c r="I8" i="13"/>
  <c r="H8" i="13"/>
  <c r="G8" i="13"/>
  <c r="F8" i="13"/>
  <c r="E8" i="13"/>
  <c r="D8" i="13"/>
  <c r="C8" i="13"/>
  <c r="B8" i="13"/>
  <c r="A8" i="13"/>
  <c r="L7" i="13"/>
  <c r="K7" i="13"/>
  <c r="J7" i="13"/>
  <c r="I7" i="13"/>
  <c r="H7" i="13"/>
  <c r="G7" i="13"/>
  <c r="F7" i="13"/>
  <c r="E7" i="13"/>
  <c r="D7" i="13"/>
  <c r="C7" i="13"/>
  <c r="B7" i="13"/>
  <c r="A7" i="13"/>
  <c r="L6" i="13"/>
  <c r="K6" i="13"/>
  <c r="J6" i="13"/>
  <c r="I6" i="13"/>
  <c r="H6" i="13"/>
  <c r="G6" i="13"/>
  <c r="F6" i="13"/>
  <c r="E6" i="13"/>
  <c r="D6" i="13"/>
  <c r="C6" i="13"/>
  <c r="B6" i="13"/>
  <c r="A6" i="13"/>
  <c r="L5" i="13"/>
  <c r="K5" i="13"/>
  <c r="J5" i="13"/>
  <c r="I5" i="13"/>
  <c r="H5" i="13"/>
  <c r="G5" i="13"/>
  <c r="F5" i="13"/>
  <c r="E5" i="13"/>
  <c r="D5" i="13"/>
  <c r="C5" i="13"/>
  <c r="B5" i="13"/>
  <c r="A5" i="13"/>
  <c r="L4" i="13"/>
  <c r="K4" i="13"/>
  <c r="J4" i="13"/>
  <c r="I4" i="13"/>
  <c r="H4" i="13"/>
  <c r="G4" i="13"/>
  <c r="F4" i="13"/>
  <c r="E4" i="13"/>
  <c r="D4" i="13"/>
  <c r="C4" i="13"/>
  <c r="B4" i="13"/>
  <c r="A4" i="13"/>
  <c r="L3" i="13"/>
  <c r="K3" i="13"/>
  <c r="J3" i="13"/>
  <c r="I3" i="13"/>
  <c r="H3" i="13"/>
  <c r="G3" i="13"/>
  <c r="F3" i="13"/>
  <c r="E3" i="13"/>
  <c r="D3" i="13"/>
  <c r="C3" i="13"/>
  <c r="B3" i="13"/>
  <c r="A3" i="13"/>
  <c r="L2" i="13"/>
  <c r="K2" i="13"/>
  <c r="J2" i="13"/>
  <c r="I2" i="13"/>
  <c r="H2" i="13"/>
  <c r="G2" i="13"/>
  <c r="F2" i="13"/>
  <c r="E2" i="13"/>
  <c r="D2" i="13"/>
  <c r="C2" i="13"/>
  <c r="B2" i="13"/>
  <c r="A2" i="13"/>
  <c r="L27" i="12"/>
  <c r="K27" i="12"/>
  <c r="J27" i="12"/>
  <c r="I27" i="12"/>
  <c r="H27" i="12"/>
  <c r="G27" i="12"/>
  <c r="F27" i="12"/>
  <c r="E27" i="12"/>
  <c r="D27" i="12"/>
  <c r="C27" i="12"/>
  <c r="B27" i="12"/>
  <c r="A27" i="12"/>
  <c r="L26" i="12"/>
  <c r="K26" i="12"/>
  <c r="J26" i="12"/>
  <c r="I26" i="12"/>
  <c r="H26" i="12"/>
  <c r="G26" i="12"/>
  <c r="F26" i="12"/>
  <c r="E26" i="12"/>
  <c r="D26" i="12"/>
  <c r="C26" i="12"/>
  <c r="B26" i="12"/>
  <c r="A26" i="12"/>
  <c r="L25" i="12"/>
  <c r="K25" i="12"/>
  <c r="J25" i="12"/>
  <c r="I25" i="12"/>
  <c r="H25" i="12"/>
  <c r="G25" i="12"/>
  <c r="F25" i="12"/>
  <c r="E25" i="12"/>
  <c r="D25" i="12"/>
  <c r="C25" i="12"/>
  <c r="B25" i="12"/>
  <c r="A25" i="12"/>
  <c r="L24" i="12"/>
  <c r="K24" i="12"/>
  <c r="J24" i="12"/>
  <c r="I24" i="12"/>
  <c r="H24" i="12"/>
  <c r="G24" i="12"/>
  <c r="F24" i="12"/>
  <c r="E24" i="12"/>
  <c r="D24" i="12"/>
  <c r="C24" i="12"/>
  <c r="B24" i="12"/>
  <c r="A24" i="12"/>
  <c r="L23" i="12"/>
  <c r="K23" i="12"/>
  <c r="J23" i="12"/>
  <c r="I23" i="12"/>
  <c r="H23" i="12"/>
  <c r="G23" i="12"/>
  <c r="F23" i="12"/>
  <c r="E23" i="12"/>
  <c r="D23" i="12"/>
  <c r="C23" i="12"/>
  <c r="B23" i="12"/>
  <c r="A23" i="12"/>
  <c r="L22" i="12"/>
  <c r="K22" i="12"/>
  <c r="J22" i="12"/>
  <c r="I22" i="12"/>
  <c r="H22" i="12"/>
  <c r="G22" i="12"/>
  <c r="F22" i="12"/>
  <c r="E22" i="12"/>
  <c r="D22" i="12"/>
  <c r="C22" i="12"/>
  <c r="B22" i="12"/>
  <c r="A22" i="12"/>
  <c r="L21" i="12"/>
  <c r="K21" i="12"/>
  <c r="J21" i="12"/>
  <c r="I21" i="12"/>
  <c r="H21" i="12"/>
  <c r="G21" i="12"/>
  <c r="F21" i="12"/>
  <c r="E21" i="12"/>
  <c r="D21" i="12"/>
  <c r="C21" i="12"/>
  <c r="B21" i="12"/>
  <c r="A21" i="12"/>
  <c r="L20" i="12"/>
  <c r="K20" i="12"/>
  <c r="J20" i="12"/>
  <c r="I20" i="12"/>
  <c r="H20" i="12"/>
  <c r="G20" i="12"/>
  <c r="F20" i="12"/>
  <c r="E20" i="12"/>
  <c r="D20" i="12"/>
  <c r="C20" i="12"/>
  <c r="B20" i="12"/>
  <c r="A20" i="12"/>
  <c r="L19" i="12"/>
  <c r="K19" i="12"/>
  <c r="J19" i="12"/>
  <c r="I19" i="12"/>
  <c r="H19" i="12"/>
  <c r="G19" i="12"/>
  <c r="F19" i="12"/>
  <c r="E19" i="12"/>
  <c r="D19" i="12"/>
  <c r="C19" i="12"/>
  <c r="B19" i="12"/>
  <c r="A19" i="12"/>
  <c r="L18" i="12"/>
  <c r="K18" i="12"/>
  <c r="J18" i="12"/>
  <c r="I18" i="12"/>
  <c r="H18" i="12"/>
  <c r="G18" i="12"/>
  <c r="F18" i="12"/>
  <c r="E18" i="12"/>
  <c r="D18" i="12"/>
  <c r="C18" i="12"/>
  <c r="B18" i="12"/>
  <c r="A18" i="12"/>
  <c r="L17" i="12"/>
  <c r="K17" i="12"/>
  <c r="J17" i="12"/>
  <c r="I17" i="12"/>
  <c r="H17" i="12"/>
  <c r="G17" i="12"/>
  <c r="F17" i="12"/>
  <c r="E17" i="12"/>
  <c r="D17" i="12"/>
  <c r="C17" i="12"/>
  <c r="B17" i="12"/>
  <c r="A17" i="12"/>
  <c r="L16" i="12"/>
  <c r="K16" i="12"/>
  <c r="J16" i="12"/>
  <c r="I16" i="12"/>
  <c r="H16" i="12"/>
  <c r="G16" i="12"/>
  <c r="F16" i="12"/>
  <c r="E16" i="12"/>
  <c r="D16" i="12"/>
  <c r="C16" i="12"/>
  <c r="B16" i="12"/>
  <c r="A16" i="12"/>
  <c r="L15" i="12"/>
  <c r="K15" i="12"/>
  <c r="J15" i="12"/>
  <c r="I15" i="12"/>
  <c r="H15" i="12"/>
  <c r="G15" i="12"/>
  <c r="F15" i="12"/>
  <c r="E15" i="12"/>
  <c r="D15" i="12"/>
  <c r="C15" i="12"/>
  <c r="B15" i="12"/>
  <c r="A15" i="12"/>
  <c r="L14" i="12"/>
  <c r="K14" i="12"/>
  <c r="J14" i="12"/>
  <c r="I14" i="12"/>
  <c r="H14" i="12"/>
  <c r="G14" i="12"/>
  <c r="F14" i="12"/>
  <c r="E14" i="12"/>
  <c r="D14" i="12"/>
  <c r="C14" i="12"/>
  <c r="B14" i="12"/>
  <c r="A14" i="12"/>
  <c r="L13" i="12"/>
  <c r="K13" i="12"/>
  <c r="J13" i="12"/>
  <c r="I13" i="12"/>
  <c r="H13" i="12"/>
  <c r="G13" i="12"/>
  <c r="F13" i="12"/>
  <c r="E13" i="12"/>
  <c r="D13" i="12"/>
  <c r="C13" i="12"/>
  <c r="B13" i="12"/>
  <c r="A13" i="12"/>
  <c r="L12" i="12"/>
  <c r="K12" i="12"/>
  <c r="J12" i="12"/>
  <c r="I12" i="12"/>
  <c r="H12" i="12"/>
  <c r="G12" i="12"/>
  <c r="F12" i="12"/>
  <c r="E12" i="12"/>
  <c r="D12" i="12"/>
  <c r="C12" i="12"/>
  <c r="B12" i="12"/>
  <c r="A12" i="12"/>
  <c r="L11" i="12"/>
  <c r="K11" i="12"/>
  <c r="J11" i="12"/>
  <c r="I11" i="12"/>
  <c r="H11" i="12"/>
  <c r="G11" i="12"/>
  <c r="F11" i="12"/>
  <c r="E11" i="12"/>
  <c r="D11" i="12"/>
  <c r="C11" i="12"/>
  <c r="B11" i="12"/>
  <c r="A11" i="12"/>
  <c r="L10" i="12"/>
  <c r="K10" i="12"/>
  <c r="J10" i="12"/>
  <c r="I10" i="12"/>
  <c r="H10" i="12"/>
  <c r="G10" i="12"/>
  <c r="F10" i="12"/>
  <c r="E10" i="12"/>
  <c r="D10" i="12"/>
  <c r="C10" i="12"/>
  <c r="B10" i="12"/>
  <c r="A10" i="12"/>
  <c r="L9" i="12"/>
  <c r="K9" i="12"/>
  <c r="J9" i="12"/>
  <c r="I9" i="12"/>
  <c r="H9" i="12"/>
  <c r="G9" i="12"/>
  <c r="F9" i="12"/>
  <c r="E9" i="12"/>
  <c r="D9" i="12"/>
  <c r="C9" i="12"/>
  <c r="B9" i="12"/>
  <c r="A9" i="12"/>
  <c r="L8" i="12"/>
  <c r="K8" i="12"/>
  <c r="J8" i="12"/>
  <c r="I8" i="12"/>
  <c r="H8" i="12"/>
  <c r="G8" i="12"/>
  <c r="F8" i="12"/>
  <c r="E8" i="12"/>
  <c r="D8" i="12"/>
  <c r="C8" i="12"/>
  <c r="B8" i="12"/>
  <c r="A8" i="12"/>
  <c r="L7" i="12"/>
  <c r="K7" i="12"/>
  <c r="J7" i="12"/>
  <c r="I7" i="12"/>
  <c r="H7" i="12"/>
  <c r="G7" i="12"/>
  <c r="F7" i="12"/>
  <c r="E7" i="12"/>
  <c r="D7" i="12"/>
  <c r="C7" i="12"/>
  <c r="B7" i="12"/>
  <c r="A7" i="12"/>
  <c r="L6" i="12"/>
  <c r="K6" i="12"/>
  <c r="J6" i="12"/>
  <c r="I6" i="12"/>
  <c r="H6" i="12"/>
  <c r="G6" i="12"/>
  <c r="F6" i="12"/>
  <c r="E6" i="12"/>
  <c r="D6" i="12"/>
  <c r="C6" i="12"/>
  <c r="B6" i="12"/>
  <c r="A6" i="12"/>
  <c r="L5" i="12"/>
  <c r="K5" i="12"/>
  <c r="J5" i="12"/>
  <c r="I5" i="12"/>
  <c r="H5" i="12"/>
  <c r="G5" i="12"/>
  <c r="F5" i="12"/>
  <c r="E5" i="12"/>
  <c r="D5" i="12"/>
  <c r="C5" i="12"/>
  <c r="B5" i="12"/>
  <c r="A5" i="12"/>
  <c r="L4" i="12"/>
  <c r="K4" i="12"/>
  <c r="J4" i="12"/>
  <c r="I4" i="12"/>
  <c r="H4" i="12"/>
  <c r="G4" i="12"/>
  <c r="F4" i="12"/>
  <c r="E4" i="12"/>
  <c r="D4" i="12"/>
  <c r="C4" i="12"/>
  <c r="B4" i="12"/>
  <c r="A4" i="12"/>
  <c r="L3" i="12"/>
  <c r="K3" i="12"/>
  <c r="J3" i="12"/>
  <c r="I3" i="12"/>
  <c r="H3" i="12"/>
  <c r="G3" i="12"/>
  <c r="F3" i="12"/>
  <c r="E3" i="12"/>
  <c r="D3" i="12"/>
  <c r="C3" i="12"/>
  <c r="B3" i="12"/>
  <c r="A3" i="12"/>
  <c r="L2" i="12"/>
  <c r="K2" i="12"/>
  <c r="J2" i="12"/>
  <c r="I2" i="12"/>
  <c r="H2" i="12"/>
  <c r="G2" i="12"/>
  <c r="F2" i="12"/>
  <c r="E2" i="12"/>
  <c r="D2" i="12"/>
  <c r="C2" i="12"/>
  <c r="B2" i="12"/>
  <c r="A2" i="12"/>
  <c r="L27" i="11"/>
  <c r="K27" i="11"/>
  <c r="J27" i="11"/>
  <c r="I27" i="11"/>
  <c r="H27" i="11"/>
  <c r="G27" i="11"/>
  <c r="F27" i="11"/>
  <c r="E27" i="11"/>
  <c r="D27" i="11"/>
  <c r="C27" i="11"/>
  <c r="B27" i="11"/>
  <c r="A27" i="11"/>
  <c r="L26" i="11"/>
  <c r="K26" i="11"/>
  <c r="J26" i="11"/>
  <c r="I26" i="11"/>
  <c r="H26" i="11"/>
  <c r="G26" i="11"/>
  <c r="F26" i="11"/>
  <c r="E26" i="11"/>
  <c r="D26" i="11"/>
  <c r="C26" i="11"/>
  <c r="B26" i="11"/>
  <c r="A26" i="11"/>
  <c r="L25" i="11"/>
  <c r="K25" i="11"/>
  <c r="J25" i="11"/>
  <c r="I25" i="11"/>
  <c r="H25" i="11"/>
  <c r="G25" i="11"/>
  <c r="F25" i="11"/>
  <c r="E25" i="11"/>
  <c r="D25" i="11"/>
  <c r="C25" i="11"/>
  <c r="B25" i="11"/>
  <c r="A25" i="11"/>
  <c r="L24" i="11"/>
  <c r="K24" i="11"/>
  <c r="J24" i="11"/>
  <c r="I24" i="11"/>
  <c r="H24" i="11"/>
  <c r="G24" i="11"/>
  <c r="F24" i="11"/>
  <c r="E24" i="11"/>
  <c r="D24" i="11"/>
  <c r="C24" i="11"/>
  <c r="B24" i="11"/>
  <c r="A24" i="11"/>
  <c r="L23" i="11"/>
  <c r="K23" i="11"/>
  <c r="J23" i="11"/>
  <c r="I23" i="11"/>
  <c r="H23" i="11"/>
  <c r="G23" i="11"/>
  <c r="F23" i="11"/>
  <c r="E23" i="11"/>
  <c r="D23" i="11"/>
  <c r="C23" i="11"/>
  <c r="B23" i="11"/>
  <c r="A23" i="11"/>
  <c r="L22" i="11"/>
  <c r="K22" i="11"/>
  <c r="J22" i="11"/>
  <c r="I22" i="11"/>
  <c r="H22" i="11"/>
  <c r="G22" i="11"/>
  <c r="F22" i="11"/>
  <c r="E22" i="11"/>
  <c r="D22" i="11"/>
  <c r="C22" i="11"/>
  <c r="B22" i="11"/>
  <c r="A22" i="11"/>
  <c r="L21" i="11"/>
  <c r="K21" i="11"/>
  <c r="J21" i="11"/>
  <c r="I21" i="11"/>
  <c r="H21" i="11"/>
  <c r="G21" i="11"/>
  <c r="F21" i="11"/>
  <c r="E21" i="11"/>
  <c r="D21" i="11"/>
  <c r="C21" i="11"/>
  <c r="B21" i="11"/>
  <c r="A21" i="11"/>
  <c r="L20" i="11"/>
  <c r="K20" i="11"/>
  <c r="J20" i="11"/>
  <c r="I20" i="11"/>
  <c r="H20" i="11"/>
  <c r="G20" i="11"/>
  <c r="F20" i="11"/>
  <c r="E20" i="11"/>
  <c r="D20" i="11"/>
  <c r="C20" i="11"/>
  <c r="B20" i="11"/>
  <c r="A20" i="11"/>
  <c r="L19" i="11"/>
  <c r="K19" i="11"/>
  <c r="J19" i="11"/>
  <c r="I19" i="11"/>
  <c r="H19" i="11"/>
  <c r="G19" i="11"/>
  <c r="F19" i="11"/>
  <c r="E19" i="11"/>
  <c r="D19" i="11"/>
  <c r="C19" i="11"/>
  <c r="B19" i="11"/>
  <c r="A19" i="11"/>
  <c r="L18" i="11"/>
  <c r="K18" i="11"/>
  <c r="J18" i="11"/>
  <c r="I18" i="11"/>
  <c r="H18" i="11"/>
  <c r="G18" i="11"/>
  <c r="F18" i="11"/>
  <c r="E18" i="11"/>
  <c r="D18" i="11"/>
  <c r="C18" i="11"/>
  <c r="B18" i="11"/>
  <c r="A18" i="11"/>
  <c r="L17" i="11"/>
  <c r="K17" i="11"/>
  <c r="J17" i="11"/>
  <c r="I17" i="11"/>
  <c r="H17" i="11"/>
  <c r="G17" i="11"/>
  <c r="F17" i="11"/>
  <c r="E17" i="11"/>
  <c r="D17" i="11"/>
  <c r="C17" i="11"/>
  <c r="B17" i="11"/>
  <c r="A17" i="11"/>
  <c r="L16" i="11"/>
  <c r="K16" i="11"/>
  <c r="J16" i="11"/>
  <c r="I16" i="11"/>
  <c r="H16" i="11"/>
  <c r="G16" i="11"/>
  <c r="F16" i="11"/>
  <c r="E16" i="11"/>
  <c r="D16" i="11"/>
  <c r="C16" i="11"/>
  <c r="B16" i="11"/>
  <c r="A16" i="11"/>
  <c r="L15" i="11"/>
  <c r="K15" i="11"/>
  <c r="J15" i="11"/>
  <c r="I15" i="11"/>
  <c r="H15" i="11"/>
  <c r="G15" i="11"/>
  <c r="F15" i="11"/>
  <c r="E15" i="11"/>
  <c r="D15" i="11"/>
  <c r="C15" i="11"/>
  <c r="B15" i="11"/>
  <c r="A15" i="11"/>
  <c r="L14" i="11"/>
  <c r="K14" i="11"/>
  <c r="J14" i="11"/>
  <c r="I14" i="11"/>
  <c r="H14" i="11"/>
  <c r="G14" i="11"/>
  <c r="F14" i="11"/>
  <c r="E14" i="11"/>
  <c r="D14" i="11"/>
  <c r="C14" i="11"/>
  <c r="B14" i="11"/>
  <c r="A14" i="11"/>
  <c r="L13" i="11"/>
  <c r="K13" i="11"/>
  <c r="J13" i="11"/>
  <c r="I13" i="11"/>
  <c r="H13" i="11"/>
  <c r="G13" i="11"/>
  <c r="F13" i="11"/>
  <c r="E13" i="11"/>
  <c r="D13" i="11"/>
  <c r="C13" i="11"/>
  <c r="B13" i="11"/>
  <c r="A13" i="11"/>
  <c r="L12" i="11"/>
  <c r="K12" i="11"/>
  <c r="J12" i="11"/>
  <c r="I12" i="11"/>
  <c r="H12" i="11"/>
  <c r="G12" i="11"/>
  <c r="F12" i="11"/>
  <c r="E12" i="11"/>
  <c r="D12" i="11"/>
  <c r="C12" i="11"/>
  <c r="B12" i="11"/>
  <c r="A12" i="11"/>
  <c r="L11" i="11"/>
  <c r="K11" i="11"/>
  <c r="J11" i="11"/>
  <c r="I11" i="11"/>
  <c r="H11" i="11"/>
  <c r="G11" i="11"/>
  <c r="F11" i="11"/>
  <c r="E11" i="11"/>
  <c r="D11" i="11"/>
  <c r="C11" i="11"/>
  <c r="B11" i="11"/>
  <c r="A11" i="11"/>
  <c r="L10" i="11"/>
  <c r="K10" i="11"/>
  <c r="J10" i="11"/>
  <c r="I10" i="11"/>
  <c r="H10" i="11"/>
  <c r="G10" i="11"/>
  <c r="F10" i="11"/>
  <c r="E10" i="11"/>
  <c r="D10" i="11"/>
  <c r="C10" i="11"/>
  <c r="B10" i="11"/>
  <c r="A10" i="11"/>
  <c r="L9" i="11"/>
  <c r="K9" i="11"/>
  <c r="J9" i="11"/>
  <c r="I9" i="11"/>
  <c r="H9" i="11"/>
  <c r="G9" i="11"/>
  <c r="F9" i="11"/>
  <c r="E9" i="11"/>
  <c r="D9" i="11"/>
  <c r="C9" i="11"/>
  <c r="B9" i="11"/>
  <c r="A9" i="11"/>
  <c r="L8" i="11"/>
  <c r="K8" i="11"/>
  <c r="J8" i="11"/>
  <c r="I8" i="11"/>
  <c r="H8" i="11"/>
  <c r="G8" i="11"/>
  <c r="F8" i="11"/>
  <c r="E8" i="11"/>
  <c r="D8" i="11"/>
  <c r="C8" i="11"/>
  <c r="B8" i="11"/>
  <c r="A8" i="11"/>
  <c r="L7" i="11"/>
  <c r="K7" i="11"/>
  <c r="J7" i="11"/>
  <c r="I7" i="11"/>
  <c r="H7" i="11"/>
  <c r="G7" i="11"/>
  <c r="F7" i="11"/>
  <c r="E7" i="11"/>
  <c r="D7" i="11"/>
  <c r="C7" i="11"/>
  <c r="B7" i="11"/>
  <c r="A7" i="11"/>
  <c r="L6" i="11"/>
  <c r="K6" i="11"/>
  <c r="J6" i="11"/>
  <c r="I6" i="11"/>
  <c r="H6" i="11"/>
  <c r="G6" i="11"/>
  <c r="F6" i="11"/>
  <c r="E6" i="11"/>
  <c r="D6" i="11"/>
  <c r="C6" i="11"/>
  <c r="B6" i="11"/>
  <c r="A6" i="11"/>
  <c r="L5" i="11"/>
  <c r="K5" i="11"/>
  <c r="J5" i="11"/>
  <c r="I5" i="11"/>
  <c r="H5" i="11"/>
  <c r="G5" i="11"/>
  <c r="F5" i="11"/>
  <c r="E5" i="11"/>
  <c r="D5" i="11"/>
  <c r="C5" i="11"/>
  <c r="B5" i="11"/>
  <c r="A5" i="11"/>
  <c r="L4" i="11"/>
  <c r="K4" i="11"/>
  <c r="J4" i="11"/>
  <c r="I4" i="11"/>
  <c r="H4" i="11"/>
  <c r="G4" i="11"/>
  <c r="F4" i="11"/>
  <c r="E4" i="11"/>
  <c r="D4" i="11"/>
  <c r="C4" i="11"/>
  <c r="B4" i="11"/>
  <c r="A4" i="11"/>
  <c r="L3" i="11"/>
  <c r="K3" i="11"/>
  <c r="J3" i="11"/>
  <c r="I3" i="11"/>
  <c r="H3" i="11"/>
  <c r="G3" i="11"/>
  <c r="F3" i="11"/>
  <c r="E3" i="11"/>
  <c r="D3" i="11"/>
  <c r="C3" i="11"/>
  <c r="B3" i="11"/>
  <c r="A3" i="11"/>
  <c r="L2" i="11"/>
  <c r="K2" i="11"/>
  <c r="J2" i="11"/>
  <c r="I2" i="11"/>
  <c r="H2" i="11"/>
  <c r="G2" i="11"/>
  <c r="F2" i="11"/>
  <c r="E2" i="11"/>
  <c r="D2" i="11"/>
  <c r="C2" i="11"/>
  <c r="B2" i="11"/>
  <c r="A2" i="11"/>
  <c r="L27" i="10"/>
  <c r="K27" i="10"/>
  <c r="J27" i="10"/>
  <c r="I27" i="10"/>
  <c r="H27" i="10"/>
  <c r="G27" i="10"/>
  <c r="F27" i="10"/>
  <c r="E27" i="10"/>
  <c r="D27" i="10"/>
  <c r="C27" i="10"/>
  <c r="B27" i="10"/>
  <c r="A27" i="10"/>
  <c r="L26" i="10"/>
  <c r="K26" i="10"/>
  <c r="J26" i="10"/>
  <c r="I26" i="10"/>
  <c r="H26" i="10"/>
  <c r="G26" i="10"/>
  <c r="F26" i="10"/>
  <c r="E26" i="10"/>
  <c r="D26" i="10"/>
  <c r="C26" i="10"/>
  <c r="B26" i="10"/>
  <c r="A26" i="10"/>
  <c r="L25" i="10"/>
  <c r="K25" i="10"/>
  <c r="J25" i="10"/>
  <c r="I25" i="10"/>
  <c r="H25" i="10"/>
  <c r="G25" i="10"/>
  <c r="F25" i="10"/>
  <c r="E25" i="10"/>
  <c r="D25" i="10"/>
  <c r="C25" i="10"/>
  <c r="B25" i="10"/>
  <c r="A25" i="10"/>
  <c r="L24" i="10"/>
  <c r="K24" i="10"/>
  <c r="J24" i="10"/>
  <c r="I24" i="10"/>
  <c r="H24" i="10"/>
  <c r="G24" i="10"/>
  <c r="F24" i="10"/>
  <c r="E24" i="10"/>
  <c r="D24" i="10"/>
  <c r="C24" i="10"/>
  <c r="B24" i="10"/>
  <c r="A24" i="10"/>
  <c r="L23" i="10"/>
  <c r="K23" i="10"/>
  <c r="J23" i="10"/>
  <c r="I23" i="10"/>
  <c r="H23" i="10"/>
  <c r="G23" i="10"/>
  <c r="F23" i="10"/>
  <c r="E23" i="10"/>
  <c r="D23" i="10"/>
  <c r="C23" i="10"/>
  <c r="B23" i="10"/>
  <c r="A23" i="10"/>
  <c r="L22" i="10"/>
  <c r="K22" i="10"/>
  <c r="J22" i="10"/>
  <c r="I22" i="10"/>
  <c r="H22" i="10"/>
  <c r="G22" i="10"/>
  <c r="F22" i="10"/>
  <c r="E22" i="10"/>
  <c r="D22" i="10"/>
  <c r="C22" i="10"/>
  <c r="B22" i="10"/>
  <c r="A22" i="10"/>
  <c r="L21" i="10"/>
  <c r="K21" i="10"/>
  <c r="J21" i="10"/>
  <c r="I21" i="10"/>
  <c r="H21" i="10"/>
  <c r="G21" i="10"/>
  <c r="F21" i="10"/>
  <c r="E21" i="10"/>
  <c r="D21" i="10"/>
  <c r="C21" i="10"/>
  <c r="B21" i="10"/>
  <c r="A21" i="10"/>
  <c r="L20" i="10"/>
  <c r="K20" i="10"/>
  <c r="J20" i="10"/>
  <c r="I20" i="10"/>
  <c r="H20" i="10"/>
  <c r="G20" i="10"/>
  <c r="F20" i="10"/>
  <c r="E20" i="10"/>
  <c r="D20" i="10"/>
  <c r="C20" i="10"/>
  <c r="B20" i="10"/>
  <c r="A20" i="10"/>
  <c r="L19" i="10"/>
  <c r="K19" i="10"/>
  <c r="J19" i="10"/>
  <c r="I19" i="10"/>
  <c r="H19" i="10"/>
  <c r="G19" i="10"/>
  <c r="F19" i="10"/>
  <c r="E19" i="10"/>
  <c r="D19" i="10"/>
  <c r="C19" i="10"/>
  <c r="B19" i="10"/>
  <c r="A19" i="10"/>
  <c r="L18" i="10"/>
  <c r="K18" i="10"/>
  <c r="J18" i="10"/>
  <c r="I18" i="10"/>
  <c r="H18" i="10"/>
  <c r="G18" i="10"/>
  <c r="F18" i="10"/>
  <c r="E18" i="10"/>
  <c r="D18" i="10"/>
  <c r="C18" i="10"/>
  <c r="B18" i="10"/>
  <c r="A18" i="10"/>
  <c r="L17" i="10"/>
  <c r="K17" i="10"/>
  <c r="J17" i="10"/>
  <c r="I17" i="10"/>
  <c r="H17" i="10"/>
  <c r="G17" i="10"/>
  <c r="F17" i="10"/>
  <c r="E17" i="10"/>
  <c r="D17" i="10"/>
  <c r="C17" i="10"/>
  <c r="B17" i="10"/>
  <c r="A17" i="10"/>
  <c r="L16" i="10"/>
  <c r="K16" i="10"/>
  <c r="J16" i="10"/>
  <c r="I16" i="10"/>
  <c r="H16" i="10"/>
  <c r="G16" i="10"/>
  <c r="F16" i="10"/>
  <c r="E16" i="10"/>
  <c r="D16" i="10"/>
  <c r="C16" i="10"/>
  <c r="B16" i="10"/>
  <c r="A16" i="10"/>
  <c r="L15" i="10"/>
  <c r="K15" i="10"/>
  <c r="J15" i="10"/>
  <c r="I15" i="10"/>
  <c r="H15" i="10"/>
  <c r="G15" i="10"/>
  <c r="F15" i="10"/>
  <c r="E15" i="10"/>
  <c r="D15" i="10"/>
  <c r="C15" i="10"/>
  <c r="B15" i="10"/>
  <c r="A15" i="10"/>
  <c r="L14" i="10"/>
  <c r="K14" i="10"/>
  <c r="J14" i="10"/>
  <c r="I14" i="10"/>
  <c r="H14" i="10"/>
  <c r="G14" i="10"/>
  <c r="F14" i="10"/>
  <c r="E14" i="10"/>
  <c r="D14" i="10"/>
  <c r="C14" i="10"/>
  <c r="B14" i="10"/>
  <c r="A14" i="10"/>
  <c r="L13" i="10"/>
  <c r="K13" i="10"/>
  <c r="J13" i="10"/>
  <c r="I13" i="10"/>
  <c r="H13" i="10"/>
  <c r="G13" i="10"/>
  <c r="F13" i="10"/>
  <c r="E13" i="10"/>
  <c r="D13" i="10"/>
  <c r="C13" i="10"/>
  <c r="B13" i="10"/>
  <c r="A13" i="10"/>
  <c r="L12" i="10"/>
  <c r="K12" i="10"/>
  <c r="J12" i="10"/>
  <c r="I12" i="10"/>
  <c r="H12" i="10"/>
  <c r="G12" i="10"/>
  <c r="F12" i="10"/>
  <c r="E12" i="10"/>
  <c r="D12" i="10"/>
  <c r="C12" i="10"/>
  <c r="B12" i="10"/>
  <c r="A12" i="10"/>
  <c r="L11" i="10"/>
  <c r="K11" i="10"/>
  <c r="J11" i="10"/>
  <c r="I11" i="10"/>
  <c r="H11" i="10"/>
  <c r="G11" i="10"/>
  <c r="F11" i="10"/>
  <c r="E11" i="10"/>
  <c r="D11" i="10"/>
  <c r="C11" i="10"/>
  <c r="B11" i="10"/>
  <c r="A11" i="10"/>
  <c r="L10" i="10"/>
  <c r="K10" i="10"/>
  <c r="J10" i="10"/>
  <c r="I10" i="10"/>
  <c r="H10" i="10"/>
  <c r="G10" i="10"/>
  <c r="F10" i="10"/>
  <c r="E10" i="10"/>
  <c r="D10" i="10"/>
  <c r="C10" i="10"/>
  <c r="B10" i="10"/>
  <c r="A10" i="10"/>
  <c r="L9" i="10"/>
  <c r="K9" i="10"/>
  <c r="J9" i="10"/>
  <c r="I9" i="10"/>
  <c r="H9" i="10"/>
  <c r="G9" i="10"/>
  <c r="F9" i="10"/>
  <c r="E9" i="10"/>
  <c r="D9" i="10"/>
  <c r="C9" i="10"/>
  <c r="B9" i="10"/>
  <c r="A9" i="10"/>
  <c r="L8" i="10"/>
  <c r="K8" i="10"/>
  <c r="J8" i="10"/>
  <c r="I8" i="10"/>
  <c r="H8" i="10"/>
  <c r="G8" i="10"/>
  <c r="F8" i="10"/>
  <c r="E8" i="10"/>
  <c r="D8" i="10"/>
  <c r="C8" i="10"/>
  <c r="B8" i="10"/>
  <c r="A8" i="10"/>
  <c r="L7" i="10"/>
  <c r="K7" i="10"/>
  <c r="J7" i="10"/>
  <c r="I7" i="10"/>
  <c r="H7" i="10"/>
  <c r="G7" i="10"/>
  <c r="F7" i="10"/>
  <c r="E7" i="10"/>
  <c r="D7" i="10"/>
  <c r="C7" i="10"/>
  <c r="B7" i="10"/>
  <c r="A7" i="10"/>
  <c r="L6" i="10"/>
  <c r="K6" i="10"/>
  <c r="J6" i="10"/>
  <c r="I6" i="10"/>
  <c r="H6" i="10"/>
  <c r="G6" i="10"/>
  <c r="F6" i="10"/>
  <c r="E6" i="10"/>
  <c r="D6" i="10"/>
  <c r="C6" i="10"/>
  <c r="B6" i="10"/>
  <c r="A6" i="10"/>
  <c r="L5" i="10"/>
  <c r="K5" i="10"/>
  <c r="J5" i="10"/>
  <c r="I5" i="10"/>
  <c r="H5" i="10"/>
  <c r="G5" i="10"/>
  <c r="F5" i="10"/>
  <c r="E5" i="10"/>
  <c r="D5" i="10"/>
  <c r="C5" i="10"/>
  <c r="B5" i="10"/>
  <c r="A5" i="10"/>
  <c r="L4" i="10"/>
  <c r="K4" i="10"/>
  <c r="J4" i="10"/>
  <c r="I4" i="10"/>
  <c r="H4" i="10"/>
  <c r="G4" i="10"/>
  <c r="F4" i="10"/>
  <c r="E4" i="10"/>
  <c r="D4" i="10"/>
  <c r="C4" i="10"/>
  <c r="B4" i="10"/>
  <c r="A4" i="10"/>
  <c r="L3" i="10"/>
  <c r="K3" i="10"/>
  <c r="J3" i="10"/>
  <c r="I3" i="10"/>
  <c r="H3" i="10"/>
  <c r="G3" i="10"/>
  <c r="F3" i="10"/>
  <c r="E3" i="10"/>
  <c r="D3" i="10"/>
  <c r="C3" i="10"/>
  <c r="B3" i="10"/>
  <c r="A3" i="10"/>
  <c r="L2" i="10"/>
  <c r="K2" i="10"/>
  <c r="J2" i="10"/>
  <c r="I2" i="10"/>
  <c r="H2" i="10"/>
  <c r="G2" i="10"/>
  <c r="F2" i="10"/>
  <c r="E2" i="10"/>
  <c r="D2" i="10"/>
  <c r="C2" i="10"/>
  <c r="B2" i="10"/>
  <c r="A2" i="10"/>
  <c r="L27" i="9"/>
  <c r="K27" i="9"/>
  <c r="J27" i="9"/>
  <c r="I27" i="9"/>
  <c r="H27" i="9"/>
  <c r="G27" i="9"/>
  <c r="F27" i="9"/>
  <c r="E27" i="9"/>
  <c r="D27" i="9"/>
  <c r="C27" i="9"/>
  <c r="B27" i="9"/>
  <c r="A27" i="9"/>
  <c r="L26" i="9"/>
  <c r="K26" i="9"/>
  <c r="J26" i="9"/>
  <c r="I26" i="9"/>
  <c r="H26" i="9"/>
  <c r="G26" i="9"/>
  <c r="F26" i="9"/>
  <c r="E26" i="9"/>
  <c r="D26" i="9"/>
  <c r="C26" i="9"/>
  <c r="B26" i="9"/>
  <c r="A26" i="9"/>
  <c r="L25" i="9"/>
  <c r="K25" i="9"/>
  <c r="J25" i="9"/>
  <c r="I25" i="9"/>
  <c r="H25" i="9"/>
  <c r="G25" i="9"/>
  <c r="F25" i="9"/>
  <c r="E25" i="9"/>
  <c r="D25" i="9"/>
  <c r="C25" i="9"/>
  <c r="B25" i="9"/>
  <c r="A25" i="9"/>
  <c r="L24" i="9"/>
  <c r="K24" i="9"/>
  <c r="J24" i="9"/>
  <c r="I24" i="9"/>
  <c r="H24" i="9"/>
  <c r="G24" i="9"/>
  <c r="F24" i="9"/>
  <c r="E24" i="9"/>
  <c r="D24" i="9"/>
  <c r="C24" i="9"/>
  <c r="B24" i="9"/>
  <c r="A24" i="9"/>
  <c r="L23" i="9"/>
  <c r="K23" i="9"/>
  <c r="J23" i="9"/>
  <c r="I23" i="9"/>
  <c r="H23" i="9"/>
  <c r="G23" i="9"/>
  <c r="F23" i="9"/>
  <c r="E23" i="9"/>
  <c r="D23" i="9"/>
  <c r="C23" i="9"/>
  <c r="B23" i="9"/>
  <c r="A23" i="9"/>
  <c r="L22" i="9"/>
  <c r="K22" i="9"/>
  <c r="J22" i="9"/>
  <c r="I22" i="9"/>
  <c r="H22" i="9"/>
  <c r="G22" i="9"/>
  <c r="F22" i="9"/>
  <c r="E22" i="9"/>
  <c r="D22" i="9"/>
  <c r="C22" i="9"/>
  <c r="B22" i="9"/>
  <c r="A22" i="9"/>
  <c r="L21" i="9"/>
  <c r="K21" i="9"/>
  <c r="J21" i="9"/>
  <c r="I21" i="9"/>
  <c r="H21" i="9"/>
  <c r="G21" i="9"/>
  <c r="F21" i="9"/>
  <c r="E21" i="9"/>
  <c r="D21" i="9"/>
  <c r="C21" i="9"/>
  <c r="B21" i="9"/>
  <c r="A21" i="9"/>
  <c r="L20" i="9"/>
  <c r="K20" i="9"/>
  <c r="J20" i="9"/>
  <c r="I20" i="9"/>
  <c r="H20" i="9"/>
  <c r="G20" i="9"/>
  <c r="F20" i="9"/>
  <c r="E20" i="9"/>
  <c r="D20" i="9"/>
  <c r="C20" i="9"/>
  <c r="B20" i="9"/>
  <c r="A20" i="9"/>
  <c r="L19" i="9"/>
  <c r="K19" i="9"/>
  <c r="J19" i="9"/>
  <c r="I19" i="9"/>
  <c r="H19" i="9"/>
  <c r="G19" i="9"/>
  <c r="F19" i="9"/>
  <c r="E19" i="9"/>
  <c r="D19" i="9"/>
  <c r="C19" i="9"/>
  <c r="B19" i="9"/>
  <c r="A19" i="9"/>
  <c r="L18" i="9"/>
  <c r="K18" i="9"/>
  <c r="J18" i="9"/>
  <c r="I18" i="9"/>
  <c r="H18" i="9"/>
  <c r="G18" i="9"/>
  <c r="F18" i="9"/>
  <c r="E18" i="9"/>
  <c r="D18" i="9"/>
  <c r="C18" i="9"/>
  <c r="B18" i="9"/>
  <c r="A18" i="9"/>
  <c r="L17" i="9"/>
  <c r="K17" i="9"/>
  <c r="J17" i="9"/>
  <c r="I17" i="9"/>
  <c r="H17" i="9"/>
  <c r="G17" i="9"/>
  <c r="F17" i="9"/>
  <c r="E17" i="9"/>
  <c r="D17" i="9"/>
  <c r="C17" i="9"/>
  <c r="B17" i="9"/>
  <c r="A17" i="9"/>
  <c r="L16" i="9"/>
  <c r="K16" i="9"/>
  <c r="J16" i="9"/>
  <c r="I16" i="9"/>
  <c r="H16" i="9"/>
  <c r="G16" i="9"/>
  <c r="F16" i="9"/>
  <c r="E16" i="9"/>
  <c r="D16" i="9"/>
  <c r="C16" i="9"/>
  <c r="B16" i="9"/>
  <c r="A16" i="9"/>
  <c r="L15" i="9"/>
  <c r="K15" i="9"/>
  <c r="J15" i="9"/>
  <c r="I15" i="9"/>
  <c r="H15" i="9"/>
  <c r="G15" i="9"/>
  <c r="F15" i="9"/>
  <c r="E15" i="9"/>
  <c r="D15" i="9"/>
  <c r="C15" i="9"/>
  <c r="B15" i="9"/>
  <c r="A15" i="9"/>
  <c r="L14" i="9"/>
  <c r="K14" i="9"/>
  <c r="J14" i="9"/>
  <c r="I14" i="9"/>
  <c r="H14" i="9"/>
  <c r="G14" i="9"/>
  <c r="F14" i="9"/>
  <c r="E14" i="9"/>
  <c r="D14" i="9"/>
  <c r="C14" i="9"/>
  <c r="B14" i="9"/>
  <c r="A14" i="9"/>
  <c r="L13" i="9"/>
  <c r="K13" i="9"/>
  <c r="J13" i="9"/>
  <c r="I13" i="9"/>
  <c r="H13" i="9"/>
  <c r="G13" i="9"/>
  <c r="F13" i="9"/>
  <c r="E13" i="9"/>
  <c r="D13" i="9"/>
  <c r="C13" i="9"/>
  <c r="B13" i="9"/>
  <c r="A13" i="9"/>
  <c r="L12" i="9"/>
  <c r="K12" i="9"/>
  <c r="J12" i="9"/>
  <c r="I12" i="9"/>
  <c r="H12" i="9"/>
  <c r="G12" i="9"/>
  <c r="F12" i="9"/>
  <c r="E12" i="9"/>
  <c r="D12" i="9"/>
  <c r="C12" i="9"/>
  <c r="B12" i="9"/>
  <c r="A12" i="9"/>
  <c r="L11" i="9"/>
  <c r="K11" i="9"/>
  <c r="J11" i="9"/>
  <c r="I11" i="9"/>
  <c r="H11" i="9"/>
  <c r="G11" i="9"/>
  <c r="F11" i="9"/>
  <c r="E11" i="9"/>
  <c r="D11" i="9"/>
  <c r="C11" i="9"/>
  <c r="B11" i="9"/>
  <c r="A11" i="9"/>
  <c r="L10" i="9"/>
  <c r="K10" i="9"/>
  <c r="J10" i="9"/>
  <c r="I10" i="9"/>
  <c r="H10" i="9"/>
  <c r="G10" i="9"/>
  <c r="F10" i="9"/>
  <c r="E10" i="9"/>
  <c r="D10" i="9"/>
  <c r="C10" i="9"/>
  <c r="B10" i="9"/>
  <c r="A10" i="9"/>
  <c r="L9" i="9"/>
  <c r="K9" i="9"/>
  <c r="J9" i="9"/>
  <c r="I9" i="9"/>
  <c r="H9" i="9"/>
  <c r="G9" i="9"/>
  <c r="F9" i="9"/>
  <c r="E9" i="9"/>
  <c r="D9" i="9"/>
  <c r="C9" i="9"/>
  <c r="B9" i="9"/>
  <c r="A9" i="9"/>
  <c r="L8" i="9"/>
  <c r="K8" i="9"/>
  <c r="J8" i="9"/>
  <c r="I8" i="9"/>
  <c r="H8" i="9"/>
  <c r="G8" i="9"/>
  <c r="F8" i="9"/>
  <c r="E8" i="9"/>
  <c r="D8" i="9"/>
  <c r="C8" i="9"/>
  <c r="B8" i="9"/>
  <c r="A8" i="9"/>
  <c r="L7" i="9"/>
  <c r="K7" i="9"/>
  <c r="J7" i="9"/>
  <c r="I7" i="9"/>
  <c r="H7" i="9"/>
  <c r="G7" i="9"/>
  <c r="F7" i="9"/>
  <c r="E7" i="9"/>
  <c r="D7" i="9"/>
  <c r="C7" i="9"/>
  <c r="B7" i="9"/>
  <c r="A7" i="9"/>
  <c r="L6" i="9"/>
  <c r="K6" i="9"/>
  <c r="J6" i="9"/>
  <c r="I6" i="9"/>
  <c r="H6" i="9"/>
  <c r="G6" i="9"/>
  <c r="F6" i="9"/>
  <c r="E6" i="9"/>
  <c r="D6" i="9"/>
  <c r="C6" i="9"/>
  <c r="B6" i="9"/>
  <c r="A6" i="9"/>
  <c r="L5" i="9"/>
  <c r="K5" i="9"/>
  <c r="J5" i="9"/>
  <c r="I5" i="9"/>
  <c r="H5" i="9"/>
  <c r="G5" i="9"/>
  <c r="F5" i="9"/>
  <c r="E5" i="9"/>
  <c r="D5" i="9"/>
  <c r="C5" i="9"/>
  <c r="B5" i="9"/>
  <c r="A5" i="9"/>
  <c r="L4" i="9"/>
  <c r="K4" i="9"/>
  <c r="J4" i="9"/>
  <c r="I4" i="9"/>
  <c r="H4" i="9"/>
  <c r="G4" i="9"/>
  <c r="F4" i="9"/>
  <c r="E4" i="9"/>
  <c r="D4" i="9"/>
  <c r="C4" i="9"/>
  <c r="B4" i="9"/>
  <c r="A4" i="9"/>
  <c r="L3" i="9"/>
  <c r="K3" i="9"/>
  <c r="J3" i="9"/>
  <c r="I3" i="9"/>
  <c r="H3" i="9"/>
  <c r="G3" i="9"/>
  <c r="F3" i="9"/>
  <c r="E3" i="9"/>
  <c r="D3" i="9"/>
  <c r="C3" i="9"/>
  <c r="B3" i="9"/>
  <c r="A3" i="9"/>
  <c r="L2" i="9"/>
  <c r="K2" i="9"/>
  <c r="J2" i="9"/>
  <c r="I2" i="9"/>
  <c r="H2" i="9"/>
  <c r="G2" i="9"/>
  <c r="F2" i="9"/>
  <c r="E2" i="9"/>
  <c r="D2" i="9"/>
  <c r="C2" i="9"/>
  <c r="B2" i="9"/>
  <c r="A2" i="9"/>
  <c r="L27" i="8"/>
  <c r="K27" i="8"/>
  <c r="J27" i="8"/>
  <c r="I27" i="8"/>
  <c r="H27" i="8"/>
  <c r="G27" i="8"/>
  <c r="F27" i="8"/>
  <c r="E27" i="8"/>
  <c r="D27" i="8"/>
  <c r="C27" i="8"/>
  <c r="B27" i="8"/>
  <c r="A27" i="8"/>
  <c r="L26" i="8"/>
  <c r="K26" i="8"/>
  <c r="J26" i="8"/>
  <c r="I26" i="8"/>
  <c r="H26" i="8"/>
  <c r="G26" i="8"/>
  <c r="F26" i="8"/>
  <c r="E26" i="8"/>
  <c r="D26" i="8"/>
  <c r="C26" i="8"/>
  <c r="B26" i="8"/>
  <c r="A26" i="8"/>
  <c r="L25" i="8"/>
  <c r="K25" i="8"/>
  <c r="J25" i="8"/>
  <c r="I25" i="8"/>
  <c r="H25" i="8"/>
  <c r="G25" i="8"/>
  <c r="F25" i="8"/>
  <c r="E25" i="8"/>
  <c r="D25" i="8"/>
  <c r="C25" i="8"/>
  <c r="B25" i="8"/>
  <c r="A25" i="8"/>
  <c r="L24" i="8"/>
  <c r="K24" i="8"/>
  <c r="J24" i="8"/>
  <c r="I24" i="8"/>
  <c r="H24" i="8"/>
  <c r="G24" i="8"/>
  <c r="F24" i="8"/>
  <c r="E24" i="8"/>
  <c r="D24" i="8"/>
  <c r="C24" i="8"/>
  <c r="B24" i="8"/>
  <c r="A24" i="8"/>
  <c r="L23" i="8"/>
  <c r="K23" i="8"/>
  <c r="J23" i="8"/>
  <c r="I23" i="8"/>
  <c r="H23" i="8"/>
  <c r="G23" i="8"/>
  <c r="F23" i="8"/>
  <c r="E23" i="8"/>
  <c r="D23" i="8"/>
  <c r="C23" i="8"/>
  <c r="B23" i="8"/>
  <c r="A23" i="8"/>
  <c r="L22" i="8"/>
  <c r="K22" i="8"/>
  <c r="J22" i="8"/>
  <c r="I22" i="8"/>
  <c r="H22" i="8"/>
  <c r="G22" i="8"/>
  <c r="F22" i="8"/>
  <c r="E22" i="8"/>
  <c r="D22" i="8"/>
  <c r="C22" i="8"/>
  <c r="B22" i="8"/>
  <c r="A22" i="8"/>
  <c r="L21" i="8"/>
  <c r="K21" i="8"/>
  <c r="J21" i="8"/>
  <c r="I21" i="8"/>
  <c r="H21" i="8"/>
  <c r="G21" i="8"/>
  <c r="F21" i="8"/>
  <c r="E21" i="8"/>
  <c r="D21" i="8"/>
  <c r="C21" i="8"/>
  <c r="B21" i="8"/>
  <c r="A21" i="8"/>
  <c r="L20" i="8"/>
  <c r="K20" i="8"/>
  <c r="J20" i="8"/>
  <c r="I20" i="8"/>
  <c r="H20" i="8"/>
  <c r="G20" i="8"/>
  <c r="F20" i="8"/>
  <c r="E20" i="8"/>
  <c r="D20" i="8"/>
  <c r="C20" i="8"/>
  <c r="B20" i="8"/>
  <c r="A20" i="8"/>
  <c r="L19" i="8"/>
  <c r="K19" i="8"/>
  <c r="J19" i="8"/>
  <c r="I19" i="8"/>
  <c r="H19" i="8"/>
  <c r="G19" i="8"/>
  <c r="F19" i="8"/>
  <c r="E19" i="8"/>
  <c r="D19" i="8"/>
  <c r="C19" i="8"/>
  <c r="B19" i="8"/>
  <c r="A19" i="8"/>
  <c r="L18" i="8"/>
  <c r="K18" i="8"/>
  <c r="J18" i="8"/>
  <c r="I18" i="8"/>
  <c r="H18" i="8"/>
  <c r="G18" i="8"/>
  <c r="F18" i="8"/>
  <c r="E18" i="8"/>
  <c r="D18" i="8"/>
  <c r="C18" i="8"/>
  <c r="B18" i="8"/>
  <c r="A18" i="8"/>
  <c r="L17" i="8"/>
  <c r="K17" i="8"/>
  <c r="J17" i="8"/>
  <c r="I17" i="8"/>
  <c r="H17" i="8"/>
  <c r="G17" i="8"/>
  <c r="F17" i="8"/>
  <c r="E17" i="8"/>
  <c r="D17" i="8"/>
  <c r="C17" i="8"/>
  <c r="B17" i="8"/>
  <c r="A17" i="8"/>
  <c r="L16" i="8"/>
  <c r="K16" i="8"/>
  <c r="J16" i="8"/>
  <c r="I16" i="8"/>
  <c r="H16" i="8"/>
  <c r="G16" i="8"/>
  <c r="F16" i="8"/>
  <c r="E16" i="8"/>
  <c r="D16" i="8"/>
  <c r="C16" i="8"/>
  <c r="B16" i="8"/>
  <c r="A16" i="8"/>
  <c r="L15" i="8"/>
  <c r="K15" i="8"/>
  <c r="J15" i="8"/>
  <c r="I15" i="8"/>
  <c r="H15" i="8"/>
  <c r="G15" i="8"/>
  <c r="F15" i="8"/>
  <c r="E15" i="8"/>
  <c r="D15" i="8"/>
  <c r="C15" i="8"/>
  <c r="B15" i="8"/>
  <c r="A15" i="8"/>
  <c r="L14" i="8"/>
  <c r="K14" i="8"/>
  <c r="J14" i="8"/>
  <c r="I14" i="8"/>
  <c r="H14" i="8"/>
  <c r="G14" i="8"/>
  <c r="F14" i="8"/>
  <c r="E14" i="8"/>
  <c r="D14" i="8"/>
  <c r="C14" i="8"/>
  <c r="B14" i="8"/>
  <c r="A14" i="8"/>
  <c r="L13" i="8"/>
  <c r="K13" i="8"/>
  <c r="J13" i="8"/>
  <c r="I13" i="8"/>
  <c r="H13" i="8"/>
  <c r="G13" i="8"/>
  <c r="F13" i="8"/>
  <c r="E13" i="8"/>
  <c r="D13" i="8"/>
  <c r="C13" i="8"/>
  <c r="B13" i="8"/>
  <c r="A13" i="8"/>
  <c r="L12" i="8"/>
  <c r="K12" i="8"/>
  <c r="J12" i="8"/>
  <c r="I12" i="8"/>
  <c r="H12" i="8"/>
  <c r="G12" i="8"/>
  <c r="F12" i="8"/>
  <c r="E12" i="8"/>
  <c r="D12" i="8"/>
  <c r="C12" i="8"/>
  <c r="B12" i="8"/>
  <c r="A12" i="8"/>
  <c r="L11" i="8"/>
  <c r="K11" i="8"/>
  <c r="J11" i="8"/>
  <c r="I11" i="8"/>
  <c r="H11" i="8"/>
  <c r="G11" i="8"/>
  <c r="F11" i="8"/>
  <c r="E11" i="8"/>
  <c r="D11" i="8"/>
  <c r="C11" i="8"/>
  <c r="B11" i="8"/>
  <c r="A11" i="8"/>
  <c r="L10" i="8"/>
  <c r="K10" i="8"/>
  <c r="J10" i="8"/>
  <c r="I10" i="8"/>
  <c r="H10" i="8"/>
  <c r="G10" i="8"/>
  <c r="F10" i="8"/>
  <c r="E10" i="8"/>
  <c r="D10" i="8"/>
  <c r="C10" i="8"/>
  <c r="B10" i="8"/>
  <c r="A10" i="8"/>
  <c r="L9" i="8"/>
  <c r="K9" i="8"/>
  <c r="J9" i="8"/>
  <c r="I9" i="8"/>
  <c r="H9" i="8"/>
  <c r="G9" i="8"/>
  <c r="F9" i="8"/>
  <c r="E9" i="8"/>
  <c r="D9" i="8"/>
  <c r="C9" i="8"/>
  <c r="B9" i="8"/>
  <c r="A9" i="8"/>
  <c r="L8" i="8"/>
  <c r="K8" i="8"/>
  <c r="J8" i="8"/>
  <c r="I8" i="8"/>
  <c r="H8" i="8"/>
  <c r="G8" i="8"/>
  <c r="F8" i="8"/>
  <c r="E8" i="8"/>
  <c r="D8" i="8"/>
  <c r="C8" i="8"/>
  <c r="B8" i="8"/>
  <c r="A8" i="8"/>
  <c r="L7" i="8"/>
  <c r="K7" i="8"/>
  <c r="J7" i="8"/>
  <c r="I7" i="8"/>
  <c r="H7" i="8"/>
  <c r="G7" i="8"/>
  <c r="F7" i="8"/>
  <c r="E7" i="8"/>
  <c r="D7" i="8"/>
  <c r="C7" i="8"/>
  <c r="B7" i="8"/>
  <c r="A7" i="8"/>
  <c r="L6" i="8"/>
  <c r="K6" i="8"/>
  <c r="J6" i="8"/>
  <c r="I6" i="8"/>
  <c r="H6" i="8"/>
  <c r="G6" i="8"/>
  <c r="F6" i="8"/>
  <c r="E6" i="8"/>
  <c r="D6" i="8"/>
  <c r="C6" i="8"/>
  <c r="B6" i="8"/>
  <c r="A6" i="8"/>
  <c r="L5" i="8"/>
  <c r="K5" i="8"/>
  <c r="J5" i="8"/>
  <c r="I5" i="8"/>
  <c r="H5" i="8"/>
  <c r="G5" i="8"/>
  <c r="F5" i="8"/>
  <c r="E5" i="8"/>
  <c r="D5" i="8"/>
  <c r="C5" i="8"/>
  <c r="B5" i="8"/>
  <c r="A5" i="8"/>
  <c r="L4" i="8"/>
  <c r="K4" i="8"/>
  <c r="J4" i="8"/>
  <c r="I4" i="8"/>
  <c r="H4" i="8"/>
  <c r="G4" i="8"/>
  <c r="F4" i="8"/>
  <c r="E4" i="8"/>
  <c r="D4" i="8"/>
  <c r="C4" i="8"/>
  <c r="B4" i="8"/>
  <c r="A4" i="8"/>
  <c r="L3" i="8"/>
  <c r="K3" i="8"/>
  <c r="J3" i="8"/>
  <c r="I3" i="8"/>
  <c r="H3" i="8"/>
  <c r="G3" i="8"/>
  <c r="F3" i="8"/>
  <c r="E3" i="8"/>
  <c r="D3" i="8"/>
  <c r="C3" i="8"/>
  <c r="B3" i="8"/>
  <c r="A3" i="8"/>
  <c r="L2" i="8"/>
  <c r="K2" i="8"/>
  <c r="J2" i="8"/>
  <c r="I2" i="8"/>
  <c r="H2" i="8"/>
  <c r="G2" i="8"/>
  <c r="F2" i="8"/>
  <c r="E2" i="8"/>
  <c r="D2" i="8"/>
  <c r="C2" i="8"/>
  <c r="B2" i="8"/>
  <c r="A2" i="8"/>
  <c r="L27" i="7"/>
  <c r="K27" i="7"/>
  <c r="J27" i="7"/>
  <c r="I27" i="7"/>
  <c r="H27" i="7"/>
  <c r="G27" i="7"/>
  <c r="F27" i="7"/>
  <c r="E27" i="7"/>
  <c r="D27" i="7"/>
  <c r="C27" i="7"/>
  <c r="B27" i="7"/>
  <c r="A27" i="7"/>
  <c r="L26" i="7"/>
  <c r="K26" i="7"/>
  <c r="J26" i="7"/>
  <c r="I26" i="7"/>
  <c r="H26" i="7"/>
  <c r="G26" i="7"/>
  <c r="F26" i="7"/>
  <c r="E26" i="7"/>
  <c r="D26" i="7"/>
  <c r="C26" i="7"/>
  <c r="B26" i="7"/>
  <c r="A26" i="7"/>
  <c r="L25" i="7"/>
  <c r="K25" i="7"/>
  <c r="J25" i="7"/>
  <c r="I25" i="7"/>
  <c r="H25" i="7"/>
  <c r="G25" i="7"/>
  <c r="F25" i="7"/>
  <c r="E25" i="7"/>
  <c r="D25" i="7"/>
  <c r="C25" i="7"/>
  <c r="B25" i="7"/>
  <c r="A25" i="7"/>
  <c r="L24" i="7"/>
  <c r="K24" i="7"/>
  <c r="J24" i="7"/>
  <c r="I24" i="7"/>
  <c r="H24" i="7"/>
  <c r="G24" i="7"/>
  <c r="F24" i="7"/>
  <c r="E24" i="7"/>
  <c r="D24" i="7"/>
  <c r="C24" i="7"/>
  <c r="B24" i="7"/>
  <c r="A24" i="7"/>
  <c r="L23" i="7"/>
  <c r="K23" i="7"/>
  <c r="J23" i="7"/>
  <c r="I23" i="7"/>
  <c r="H23" i="7"/>
  <c r="G23" i="7"/>
  <c r="F23" i="7"/>
  <c r="E23" i="7"/>
  <c r="D23" i="7"/>
  <c r="C23" i="7"/>
  <c r="B23" i="7"/>
  <c r="A23" i="7"/>
  <c r="L22" i="7"/>
  <c r="K22" i="7"/>
  <c r="J22" i="7"/>
  <c r="I22" i="7"/>
  <c r="H22" i="7"/>
  <c r="G22" i="7"/>
  <c r="F22" i="7"/>
  <c r="E22" i="7"/>
  <c r="D22" i="7"/>
  <c r="C22" i="7"/>
  <c r="B22" i="7"/>
  <c r="A22" i="7"/>
  <c r="L21" i="7"/>
  <c r="K21" i="7"/>
  <c r="J21" i="7"/>
  <c r="I21" i="7"/>
  <c r="H21" i="7"/>
  <c r="G21" i="7"/>
  <c r="F21" i="7"/>
  <c r="E21" i="7"/>
  <c r="D21" i="7"/>
  <c r="C21" i="7"/>
  <c r="B21" i="7"/>
  <c r="A21" i="7"/>
  <c r="L20" i="7"/>
  <c r="K20" i="7"/>
  <c r="J20" i="7"/>
  <c r="I20" i="7"/>
  <c r="H20" i="7"/>
  <c r="G20" i="7"/>
  <c r="F20" i="7"/>
  <c r="E20" i="7"/>
  <c r="D20" i="7"/>
  <c r="C20" i="7"/>
  <c r="B20" i="7"/>
  <c r="A20" i="7"/>
  <c r="L19" i="7"/>
  <c r="K19" i="7"/>
  <c r="J19" i="7"/>
  <c r="I19" i="7"/>
  <c r="H19" i="7"/>
  <c r="G19" i="7"/>
  <c r="F19" i="7"/>
  <c r="E19" i="7"/>
  <c r="D19" i="7"/>
  <c r="C19" i="7"/>
  <c r="B19" i="7"/>
  <c r="A19" i="7"/>
  <c r="L18" i="7"/>
  <c r="K18" i="7"/>
  <c r="J18" i="7"/>
  <c r="I18" i="7"/>
  <c r="H18" i="7"/>
  <c r="G18" i="7"/>
  <c r="F18" i="7"/>
  <c r="E18" i="7"/>
  <c r="D18" i="7"/>
  <c r="C18" i="7"/>
  <c r="B18" i="7"/>
  <c r="A18" i="7"/>
  <c r="L17" i="7"/>
  <c r="K17" i="7"/>
  <c r="J17" i="7"/>
  <c r="I17" i="7"/>
  <c r="H17" i="7"/>
  <c r="G17" i="7"/>
  <c r="F17" i="7"/>
  <c r="E17" i="7"/>
  <c r="D17" i="7"/>
  <c r="C17" i="7"/>
  <c r="B17" i="7"/>
  <c r="A17" i="7"/>
  <c r="L16" i="7"/>
  <c r="K16" i="7"/>
  <c r="J16" i="7"/>
  <c r="I16" i="7"/>
  <c r="H16" i="7"/>
  <c r="G16" i="7"/>
  <c r="F16" i="7"/>
  <c r="E16" i="7"/>
  <c r="D16" i="7"/>
  <c r="C16" i="7"/>
  <c r="B16" i="7"/>
  <c r="A16" i="7"/>
  <c r="L15" i="7"/>
  <c r="K15" i="7"/>
  <c r="J15" i="7"/>
  <c r="I15" i="7"/>
  <c r="H15" i="7"/>
  <c r="G15" i="7"/>
  <c r="F15" i="7"/>
  <c r="E15" i="7"/>
  <c r="D15" i="7"/>
  <c r="C15" i="7"/>
  <c r="B15" i="7"/>
  <c r="A15" i="7"/>
  <c r="L14" i="7"/>
  <c r="K14" i="7"/>
  <c r="J14" i="7"/>
  <c r="I14" i="7"/>
  <c r="H14" i="7"/>
  <c r="G14" i="7"/>
  <c r="F14" i="7"/>
  <c r="E14" i="7"/>
  <c r="D14" i="7"/>
  <c r="C14" i="7"/>
  <c r="B14" i="7"/>
  <c r="A14" i="7"/>
  <c r="L13" i="7"/>
  <c r="K13" i="7"/>
  <c r="J13" i="7"/>
  <c r="I13" i="7"/>
  <c r="H13" i="7"/>
  <c r="G13" i="7"/>
  <c r="F13" i="7"/>
  <c r="E13" i="7"/>
  <c r="D13" i="7"/>
  <c r="C13" i="7"/>
  <c r="B13" i="7"/>
  <c r="A13" i="7"/>
  <c r="L12" i="7"/>
  <c r="K12" i="7"/>
  <c r="J12" i="7"/>
  <c r="I12" i="7"/>
  <c r="H12" i="7"/>
  <c r="G12" i="7"/>
  <c r="F12" i="7"/>
  <c r="E12" i="7"/>
  <c r="D12" i="7"/>
  <c r="C12" i="7"/>
  <c r="B12" i="7"/>
  <c r="A12" i="7"/>
  <c r="L11" i="7"/>
  <c r="K11" i="7"/>
  <c r="J11" i="7"/>
  <c r="I11" i="7"/>
  <c r="H11" i="7"/>
  <c r="G11" i="7"/>
  <c r="F11" i="7"/>
  <c r="E11" i="7"/>
  <c r="D11" i="7"/>
  <c r="C11" i="7"/>
  <c r="B11" i="7"/>
  <c r="A11" i="7"/>
  <c r="L10" i="7"/>
  <c r="K10" i="7"/>
  <c r="J10" i="7"/>
  <c r="I10" i="7"/>
  <c r="H10" i="7"/>
  <c r="G10" i="7"/>
  <c r="F10" i="7"/>
  <c r="E10" i="7"/>
  <c r="D10" i="7"/>
  <c r="C10" i="7"/>
  <c r="B10" i="7"/>
  <c r="A10" i="7"/>
  <c r="L9" i="7"/>
  <c r="K9" i="7"/>
  <c r="J9" i="7"/>
  <c r="I9" i="7"/>
  <c r="H9" i="7"/>
  <c r="G9" i="7"/>
  <c r="F9" i="7"/>
  <c r="E9" i="7"/>
  <c r="D9" i="7"/>
  <c r="C9" i="7"/>
  <c r="B9" i="7"/>
  <c r="A9" i="7"/>
  <c r="L8" i="7"/>
  <c r="K8" i="7"/>
  <c r="J8" i="7"/>
  <c r="I8" i="7"/>
  <c r="H8" i="7"/>
  <c r="G8" i="7"/>
  <c r="F8" i="7"/>
  <c r="E8" i="7"/>
  <c r="D8" i="7"/>
  <c r="C8" i="7"/>
  <c r="B8" i="7"/>
  <c r="A8" i="7"/>
  <c r="L7" i="7"/>
  <c r="K7" i="7"/>
  <c r="J7" i="7"/>
  <c r="I7" i="7"/>
  <c r="H7" i="7"/>
  <c r="G7" i="7"/>
  <c r="F7" i="7"/>
  <c r="E7" i="7"/>
  <c r="D7" i="7"/>
  <c r="C7" i="7"/>
  <c r="B7" i="7"/>
  <c r="A7" i="7"/>
  <c r="L6" i="7"/>
  <c r="K6" i="7"/>
  <c r="J6" i="7"/>
  <c r="I6" i="7"/>
  <c r="H6" i="7"/>
  <c r="G6" i="7"/>
  <c r="F6" i="7"/>
  <c r="E6" i="7"/>
  <c r="D6" i="7"/>
  <c r="C6" i="7"/>
  <c r="B6" i="7"/>
  <c r="A6" i="7"/>
  <c r="L5" i="7"/>
  <c r="K5" i="7"/>
  <c r="J5" i="7"/>
  <c r="I5" i="7"/>
  <c r="H5" i="7"/>
  <c r="G5" i="7"/>
  <c r="F5" i="7"/>
  <c r="E5" i="7"/>
  <c r="D5" i="7"/>
  <c r="C5" i="7"/>
  <c r="B5" i="7"/>
  <c r="A5" i="7"/>
  <c r="L4" i="7"/>
  <c r="K4" i="7"/>
  <c r="J4" i="7"/>
  <c r="I4" i="7"/>
  <c r="H4" i="7"/>
  <c r="G4" i="7"/>
  <c r="F4" i="7"/>
  <c r="E4" i="7"/>
  <c r="D4" i="7"/>
  <c r="C4" i="7"/>
  <c r="B4" i="7"/>
  <c r="A4" i="7"/>
  <c r="L3" i="7"/>
  <c r="K3" i="7"/>
  <c r="J3" i="7"/>
  <c r="I3" i="7"/>
  <c r="H3" i="7"/>
  <c r="G3" i="7"/>
  <c r="F3" i="7"/>
  <c r="E3" i="7"/>
  <c r="D3" i="7"/>
  <c r="C3" i="7"/>
  <c r="B3" i="7"/>
  <c r="A3" i="7"/>
  <c r="L2" i="7"/>
  <c r="K2" i="7"/>
  <c r="J2" i="7"/>
  <c r="I2" i="7"/>
  <c r="H2" i="7"/>
  <c r="G2" i="7"/>
  <c r="F2" i="7"/>
  <c r="E2" i="7"/>
  <c r="D2" i="7"/>
  <c r="C2" i="7"/>
  <c r="B2" i="7"/>
  <c r="A2" i="7"/>
  <c r="L27" i="6"/>
  <c r="K27" i="6"/>
  <c r="J27" i="6"/>
  <c r="I27" i="6"/>
  <c r="H27" i="6"/>
  <c r="G27" i="6"/>
  <c r="F27" i="6"/>
  <c r="E27" i="6"/>
  <c r="D27" i="6"/>
  <c r="C27" i="6"/>
  <c r="B27" i="6"/>
  <c r="A27" i="6"/>
  <c r="L26" i="6"/>
  <c r="K26" i="6"/>
  <c r="J26" i="6"/>
  <c r="I26" i="6"/>
  <c r="H26" i="6"/>
  <c r="G26" i="6"/>
  <c r="F26" i="6"/>
  <c r="E26" i="6"/>
  <c r="D26" i="6"/>
  <c r="C26" i="6"/>
  <c r="B26" i="6"/>
  <c r="A26" i="6"/>
  <c r="L25" i="6"/>
  <c r="K25" i="6"/>
  <c r="J25" i="6"/>
  <c r="I25" i="6"/>
  <c r="H25" i="6"/>
  <c r="G25" i="6"/>
  <c r="F25" i="6"/>
  <c r="E25" i="6"/>
  <c r="D25" i="6"/>
  <c r="C25" i="6"/>
  <c r="B25" i="6"/>
  <c r="A25" i="6"/>
  <c r="L24" i="6"/>
  <c r="K24" i="6"/>
  <c r="J24" i="6"/>
  <c r="I24" i="6"/>
  <c r="H24" i="6"/>
  <c r="G24" i="6"/>
  <c r="F24" i="6"/>
  <c r="E24" i="6"/>
  <c r="D24" i="6"/>
  <c r="C24" i="6"/>
  <c r="B24" i="6"/>
  <c r="A24" i="6"/>
  <c r="L23" i="6"/>
  <c r="K23" i="6"/>
  <c r="J23" i="6"/>
  <c r="I23" i="6"/>
  <c r="H23" i="6"/>
  <c r="G23" i="6"/>
  <c r="F23" i="6"/>
  <c r="E23" i="6"/>
  <c r="D23" i="6"/>
  <c r="C23" i="6"/>
  <c r="B23" i="6"/>
  <c r="A23" i="6"/>
  <c r="L22" i="6"/>
  <c r="K22" i="6"/>
  <c r="J22" i="6"/>
  <c r="I22" i="6"/>
  <c r="H22" i="6"/>
  <c r="G22" i="6"/>
  <c r="F22" i="6"/>
  <c r="E22" i="6"/>
  <c r="D22" i="6"/>
  <c r="C22" i="6"/>
  <c r="B22" i="6"/>
  <c r="A22" i="6"/>
  <c r="L21" i="6"/>
  <c r="K21" i="6"/>
  <c r="J21" i="6"/>
  <c r="I21" i="6"/>
  <c r="H21" i="6"/>
  <c r="G21" i="6"/>
  <c r="F21" i="6"/>
  <c r="E21" i="6"/>
  <c r="D21" i="6"/>
  <c r="C21" i="6"/>
  <c r="B21" i="6"/>
  <c r="A21" i="6"/>
  <c r="L20" i="6"/>
  <c r="K20" i="6"/>
  <c r="J20" i="6"/>
  <c r="I20" i="6"/>
  <c r="H20" i="6"/>
  <c r="G20" i="6"/>
  <c r="F20" i="6"/>
  <c r="E20" i="6"/>
  <c r="D20" i="6"/>
  <c r="C20" i="6"/>
  <c r="B20" i="6"/>
  <c r="A20" i="6"/>
  <c r="L19" i="6"/>
  <c r="K19" i="6"/>
  <c r="J19" i="6"/>
  <c r="I19" i="6"/>
  <c r="H19" i="6"/>
  <c r="G19" i="6"/>
  <c r="F19" i="6"/>
  <c r="E19" i="6"/>
  <c r="D19" i="6"/>
  <c r="C19" i="6"/>
  <c r="B19" i="6"/>
  <c r="A19" i="6"/>
  <c r="L18" i="6"/>
  <c r="K18" i="6"/>
  <c r="J18" i="6"/>
  <c r="I18" i="6"/>
  <c r="H18" i="6"/>
  <c r="G18" i="6"/>
  <c r="F18" i="6"/>
  <c r="E18" i="6"/>
  <c r="D18" i="6"/>
  <c r="C18" i="6"/>
  <c r="B18" i="6"/>
  <c r="A18" i="6"/>
  <c r="L17" i="6"/>
  <c r="K17" i="6"/>
  <c r="J17" i="6"/>
  <c r="I17" i="6"/>
  <c r="H17" i="6"/>
  <c r="G17" i="6"/>
  <c r="F17" i="6"/>
  <c r="E17" i="6"/>
  <c r="D17" i="6"/>
  <c r="C17" i="6"/>
  <c r="B17" i="6"/>
  <c r="A17" i="6"/>
  <c r="L16" i="6"/>
  <c r="K16" i="6"/>
  <c r="J16" i="6"/>
  <c r="I16" i="6"/>
  <c r="H16" i="6"/>
  <c r="G16" i="6"/>
  <c r="F16" i="6"/>
  <c r="E16" i="6"/>
  <c r="D16" i="6"/>
  <c r="C16" i="6"/>
  <c r="B16" i="6"/>
  <c r="A16" i="6"/>
  <c r="L15" i="6"/>
  <c r="K15" i="6"/>
  <c r="J15" i="6"/>
  <c r="I15" i="6"/>
  <c r="H15" i="6"/>
  <c r="G15" i="6"/>
  <c r="F15" i="6"/>
  <c r="E15" i="6"/>
  <c r="D15" i="6"/>
  <c r="C15" i="6"/>
  <c r="B15" i="6"/>
  <c r="A15" i="6"/>
  <c r="L14" i="6"/>
  <c r="K14" i="6"/>
  <c r="J14" i="6"/>
  <c r="I14" i="6"/>
  <c r="H14" i="6"/>
  <c r="G14" i="6"/>
  <c r="F14" i="6"/>
  <c r="E14" i="6"/>
  <c r="D14" i="6"/>
  <c r="C14" i="6"/>
  <c r="B14" i="6"/>
  <c r="A14" i="6"/>
  <c r="L13" i="6"/>
  <c r="K13" i="6"/>
  <c r="J13" i="6"/>
  <c r="I13" i="6"/>
  <c r="H13" i="6"/>
  <c r="G13" i="6"/>
  <c r="F13" i="6"/>
  <c r="E13" i="6"/>
  <c r="D13" i="6"/>
  <c r="C13" i="6"/>
  <c r="B13" i="6"/>
  <c r="A13" i="6"/>
  <c r="L12" i="6"/>
  <c r="K12" i="6"/>
  <c r="J12" i="6"/>
  <c r="I12" i="6"/>
  <c r="H12" i="6"/>
  <c r="G12" i="6"/>
  <c r="F12" i="6"/>
  <c r="E12" i="6"/>
  <c r="D12" i="6"/>
  <c r="C12" i="6"/>
  <c r="B12" i="6"/>
  <c r="A12" i="6"/>
  <c r="L11" i="6"/>
  <c r="K11" i="6"/>
  <c r="J11" i="6"/>
  <c r="I11" i="6"/>
  <c r="H11" i="6"/>
  <c r="G11" i="6"/>
  <c r="F11" i="6"/>
  <c r="E11" i="6"/>
  <c r="D11" i="6"/>
  <c r="C11" i="6"/>
  <c r="B11" i="6"/>
  <c r="A11" i="6"/>
  <c r="L10" i="6"/>
  <c r="K10" i="6"/>
  <c r="J10" i="6"/>
  <c r="I10" i="6"/>
  <c r="H10" i="6"/>
  <c r="G10" i="6"/>
  <c r="F10" i="6"/>
  <c r="E10" i="6"/>
  <c r="D10" i="6"/>
  <c r="C10" i="6"/>
  <c r="B10" i="6"/>
  <c r="A10" i="6"/>
  <c r="L9" i="6"/>
  <c r="K9" i="6"/>
  <c r="J9" i="6"/>
  <c r="I9" i="6"/>
  <c r="H9" i="6"/>
  <c r="G9" i="6"/>
  <c r="F9" i="6"/>
  <c r="E9" i="6"/>
  <c r="D9" i="6"/>
  <c r="C9" i="6"/>
  <c r="B9" i="6"/>
  <c r="A9" i="6"/>
  <c r="L8" i="6"/>
  <c r="K8" i="6"/>
  <c r="J8" i="6"/>
  <c r="I8" i="6"/>
  <c r="H8" i="6"/>
  <c r="G8" i="6"/>
  <c r="F8" i="6"/>
  <c r="E8" i="6"/>
  <c r="D8" i="6"/>
  <c r="C8" i="6"/>
  <c r="B8" i="6"/>
  <c r="A8" i="6"/>
  <c r="L7" i="6"/>
  <c r="K7" i="6"/>
  <c r="J7" i="6"/>
  <c r="I7" i="6"/>
  <c r="H7" i="6"/>
  <c r="G7" i="6"/>
  <c r="F7" i="6"/>
  <c r="E7" i="6"/>
  <c r="D7" i="6"/>
  <c r="C7" i="6"/>
  <c r="B7" i="6"/>
  <c r="A7" i="6"/>
  <c r="L6" i="6"/>
  <c r="K6" i="6"/>
  <c r="J6" i="6"/>
  <c r="I6" i="6"/>
  <c r="H6" i="6"/>
  <c r="G6" i="6"/>
  <c r="F6" i="6"/>
  <c r="E6" i="6"/>
  <c r="D6" i="6"/>
  <c r="C6" i="6"/>
  <c r="B6" i="6"/>
  <c r="A6" i="6"/>
  <c r="L5" i="6"/>
  <c r="K5" i="6"/>
  <c r="J5" i="6"/>
  <c r="I5" i="6"/>
  <c r="H5" i="6"/>
  <c r="G5" i="6"/>
  <c r="F5" i="6"/>
  <c r="E5" i="6"/>
  <c r="D5" i="6"/>
  <c r="C5" i="6"/>
  <c r="B5" i="6"/>
  <c r="A5" i="6"/>
  <c r="L4" i="6"/>
  <c r="K4" i="6"/>
  <c r="J4" i="6"/>
  <c r="I4" i="6"/>
  <c r="H4" i="6"/>
  <c r="G4" i="6"/>
  <c r="F4" i="6"/>
  <c r="E4" i="6"/>
  <c r="D4" i="6"/>
  <c r="C4" i="6"/>
  <c r="B4" i="6"/>
  <c r="A4" i="6"/>
  <c r="L3" i="6"/>
  <c r="K3" i="6"/>
  <c r="J3" i="6"/>
  <c r="I3" i="6"/>
  <c r="H3" i="6"/>
  <c r="G3" i="6"/>
  <c r="F3" i="6"/>
  <c r="E3" i="6"/>
  <c r="D3" i="6"/>
  <c r="C3" i="6"/>
  <c r="B3" i="6"/>
  <c r="A3" i="6"/>
  <c r="L2" i="6"/>
  <c r="K2" i="6"/>
  <c r="J2" i="6"/>
  <c r="I2" i="6"/>
  <c r="H2" i="6"/>
  <c r="G2" i="6"/>
  <c r="F2" i="6"/>
  <c r="E2" i="6"/>
  <c r="D2" i="6"/>
  <c r="C2" i="6"/>
  <c r="B2" i="6"/>
  <c r="A2" i="6"/>
  <c r="L27" i="5"/>
  <c r="K27" i="5"/>
  <c r="J27" i="5"/>
  <c r="I27" i="5"/>
  <c r="H27" i="5"/>
  <c r="G27" i="5"/>
  <c r="F27" i="5"/>
  <c r="E27" i="5"/>
  <c r="D27" i="5"/>
  <c r="C27" i="5"/>
  <c r="B27" i="5"/>
  <c r="A27" i="5"/>
  <c r="L26" i="5"/>
  <c r="K26" i="5"/>
  <c r="J26" i="5"/>
  <c r="I26" i="5"/>
  <c r="H26" i="5"/>
  <c r="G26" i="5"/>
  <c r="F26" i="5"/>
  <c r="E26" i="5"/>
  <c r="D26" i="5"/>
  <c r="C26" i="5"/>
  <c r="B26" i="5"/>
  <c r="A26" i="5"/>
  <c r="L25" i="5"/>
  <c r="K25" i="5"/>
  <c r="J25" i="5"/>
  <c r="I25" i="5"/>
  <c r="H25" i="5"/>
  <c r="G25" i="5"/>
  <c r="F25" i="5"/>
  <c r="E25" i="5"/>
  <c r="D25" i="5"/>
  <c r="C25" i="5"/>
  <c r="B25" i="5"/>
  <c r="A25" i="5"/>
  <c r="L24" i="5"/>
  <c r="K24" i="5"/>
  <c r="J24" i="5"/>
  <c r="I24" i="5"/>
  <c r="H24" i="5"/>
  <c r="G24" i="5"/>
  <c r="F24" i="5"/>
  <c r="E24" i="5"/>
  <c r="D24" i="5"/>
  <c r="C24" i="5"/>
  <c r="B24" i="5"/>
  <c r="A24" i="5"/>
  <c r="L23" i="5"/>
  <c r="K23" i="5"/>
  <c r="J23" i="5"/>
  <c r="I23" i="5"/>
  <c r="H23" i="5"/>
  <c r="G23" i="5"/>
  <c r="F23" i="5"/>
  <c r="E23" i="5"/>
  <c r="D23" i="5"/>
  <c r="C23" i="5"/>
  <c r="B23" i="5"/>
  <c r="A23" i="5"/>
  <c r="L22" i="5"/>
  <c r="K22" i="5"/>
  <c r="J22" i="5"/>
  <c r="I22" i="5"/>
  <c r="H22" i="5"/>
  <c r="G22" i="5"/>
  <c r="F22" i="5"/>
  <c r="E22" i="5"/>
  <c r="D22" i="5"/>
  <c r="C22" i="5"/>
  <c r="B22" i="5"/>
  <c r="A22" i="5"/>
  <c r="L21" i="5"/>
  <c r="K21" i="5"/>
  <c r="J21" i="5"/>
  <c r="I21" i="5"/>
  <c r="H21" i="5"/>
  <c r="G21" i="5"/>
  <c r="F21" i="5"/>
  <c r="E21" i="5"/>
  <c r="D21" i="5"/>
  <c r="C21" i="5"/>
  <c r="B21" i="5"/>
  <c r="A21" i="5"/>
  <c r="L20" i="5"/>
  <c r="K20" i="5"/>
  <c r="J20" i="5"/>
  <c r="I20" i="5"/>
  <c r="H20" i="5"/>
  <c r="G20" i="5"/>
  <c r="F20" i="5"/>
  <c r="E20" i="5"/>
  <c r="D20" i="5"/>
  <c r="C20" i="5"/>
  <c r="B20" i="5"/>
  <c r="A20" i="5"/>
  <c r="L19" i="5"/>
  <c r="K19" i="5"/>
  <c r="J19" i="5"/>
  <c r="I19" i="5"/>
  <c r="H19" i="5"/>
  <c r="G19" i="5"/>
  <c r="F19" i="5"/>
  <c r="E19" i="5"/>
  <c r="D19" i="5"/>
  <c r="C19" i="5"/>
  <c r="B19" i="5"/>
  <c r="A19" i="5"/>
  <c r="L18" i="5"/>
  <c r="K18" i="5"/>
  <c r="J18" i="5"/>
  <c r="I18" i="5"/>
  <c r="H18" i="5"/>
  <c r="G18" i="5"/>
  <c r="F18" i="5"/>
  <c r="E18" i="5"/>
  <c r="D18" i="5"/>
  <c r="C18" i="5"/>
  <c r="B18" i="5"/>
  <c r="A18" i="5"/>
  <c r="L17" i="5"/>
  <c r="K17" i="5"/>
  <c r="J17" i="5"/>
  <c r="I17" i="5"/>
  <c r="H17" i="5"/>
  <c r="G17" i="5"/>
  <c r="F17" i="5"/>
  <c r="E17" i="5"/>
  <c r="D17" i="5"/>
  <c r="C17" i="5"/>
  <c r="B17" i="5"/>
  <c r="A17" i="5"/>
  <c r="L16" i="5"/>
  <c r="K16" i="5"/>
  <c r="J16" i="5"/>
  <c r="I16" i="5"/>
  <c r="H16" i="5"/>
  <c r="G16" i="5"/>
  <c r="F16" i="5"/>
  <c r="E16" i="5"/>
  <c r="D16" i="5"/>
  <c r="C16" i="5"/>
  <c r="B16" i="5"/>
  <c r="A16" i="5"/>
  <c r="L15" i="5"/>
  <c r="K15" i="5"/>
  <c r="J15" i="5"/>
  <c r="I15" i="5"/>
  <c r="H15" i="5"/>
  <c r="G15" i="5"/>
  <c r="F15" i="5"/>
  <c r="E15" i="5"/>
  <c r="D15" i="5"/>
  <c r="C15" i="5"/>
  <c r="B15" i="5"/>
  <c r="A15" i="5"/>
  <c r="L14" i="5"/>
  <c r="K14" i="5"/>
  <c r="J14" i="5"/>
  <c r="I14" i="5"/>
  <c r="H14" i="5"/>
  <c r="G14" i="5"/>
  <c r="F14" i="5"/>
  <c r="E14" i="5"/>
  <c r="D14" i="5"/>
  <c r="C14" i="5"/>
  <c r="B14" i="5"/>
  <c r="A14" i="5"/>
  <c r="L13" i="5"/>
  <c r="K13" i="5"/>
  <c r="J13" i="5"/>
  <c r="I13" i="5"/>
  <c r="H13" i="5"/>
  <c r="G13" i="5"/>
  <c r="F13" i="5"/>
  <c r="E13" i="5"/>
  <c r="D13" i="5"/>
  <c r="C13" i="5"/>
  <c r="B13" i="5"/>
  <c r="A13" i="5"/>
  <c r="L12" i="5"/>
  <c r="K12" i="5"/>
  <c r="J12" i="5"/>
  <c r="I12" i="5"/>
  <c r="H12" i="5"/>
  <c r="G12" i="5"/>
  <c r="F12" i="5"/>
  <c r="E12" i="5"/>
  <c r="D12" i="5"/>
  <c r="C12" i="5"/>
  <c r="B12" i="5"/>
  <c r="A12" i="5"/>
  <c r="L11" i="5"/>
  <c r="K11" i="5"/>
  <c r="J11" i="5"/>
  <c r="I11" i="5"/>
  <c r="H11" i="5"/>
  <c r="G11" i="5"/>
  <c r="F11" i="5"/>
  <c r="E11" i="5"/>
  <c r="D11" i="5"/>
  <c r="C11" i="5"/>
  <c r="B11" i="5"/>
  <c r="A11" i="5"/>
  <c r="L10" i="5"/>
  <c r="K10" i="5"/>
  <c r="J10" i="5"/>
  <c r="I10" i="5"/>
  <c r="H10" i="5"/>
  <c r="G10" i="5"/>
  <c r="F10" i="5"/>
  <c r="E10" i="5"/>
  <c r="D10" i="5"/>
  <c r="C10" i="5"/>
  <c r="B10" i="5"/>
  <c r="A10" i="5"/>
  <c r="L9" i="5"/>
  <c r="K9" i="5"/>
  <c r="J9" i="5"/>
  <c r="I9" i="5"/>
  <c r="H9" i="5"/>
  <c r="G9" i="5"/>
  <c r="F9" i="5"/>
  <c r="E9" i="5"/>
  <c r="D9" i="5"/>
  <c r="C9" i="5"/>
  <c r="B9" i="5"/>
  <c r="A9" i="5"/>
  <c r="L8" i="5"/>
  <c r="K8" i="5"/>
  <c r="J8" i="5"/>
  <c r="I8" i="5"/>
  <c r="H8" i="5"/>
  <c r="G8" i="5"/>
  <c r="F8" i="5"/>
  <c r="E8" i="5"/>
  <c r="D8" i="5"/>
  <c r="C8" i="5"/>
  <c r="B8" i="5"/>
  <c r="A8" i="5"/>
  <c r="L7" i="5"/>
  <c r="K7" i="5"/>
  <c r="J7" i="5"/>
  <c r="I7" i="5"/>
  <c r="H7" i="5"/>
  <c r="G7" i="5"/>
  <c r="F7" i="5"/>
  <c r="E7" i="5"/>
  <c r="D7" i="5"/>
  <c r="C7" i="5"/>
  <c r="B7" i="5"/>
  <c r="A7" i="5"/>
  <c r="L6" i="5"/>
  <c r="K6" i="5"/>
  <c r="J6" i="5"/>
  <c r="I6" i="5"/>
  <c r="H6" i="5"/>
  <c r="G6" i="5"/>
  <c r="F6" i="5"/>
  <c r="E6" i="5"/>
  <c r="D6" i="5"/>
  <c r="C6" i="5"/>
  <c r="B6" i="5"/>
  <c r="A6" i="5"/>
  <c r="L5" i="5"/>
  <c r="K5" i="5"/>
  <c r="J5" i="5"/>
  <c r="I5" i="5"/>
  <c r="H5" i="5"/>
  <c r="G5" i="5"/>
  <c r="F5" i="5"/>
  <c r="E5" i="5"/>
  <c r="D5" i="5"/>
  <c r="C5" i="5"/>
  <c r="B5" i="5"/>
  <c r="A5" i="5"/>
  <c r="L4" i="5"/>
  <c r="K4" i="5"/>
  <c r="J4" i="5"/>
  <c r="I4" i="5"/>
  <c r="H4" i="5"/>
  <c r="G4" i="5"/>
  <c r="F4" i="5"/>
  <c r="E4" i="5"/>
  <c r="D4" i="5"/>
  <c r="C4" i="5"/>
  <c r="B4" i="5"/>
  <c r="A4" i="5"/>
  <c r="L3" i="5"/>
  <c r="K3" i="5"/>
  <c r="J3" i="5"/>
  <c r="I3" i="5"/>
  <c r="H3" i="5"/>
  <c r="G3" i="5"/>
  <c r="F3" i="5"/>
  <c r="E3" i="5"/>
  <c r="D3" i="5"/>
  <c r="C3" i="5"/>
  <c r="B3" i="5"/>
  <c r="A3" i="5"/>
  <c r="L2" i="5"/>
  <c r="K2" i="5"/>
  <c r="J2" i="5"/>
  <c r="I2" i="5"/>
  <c r="H2" i="5"/>
  <c r="G2" i="5"/>
  <c r="F2" i="5"/>
  <c r="E2" i="5"/>
  <c r="D2" i="5"/>
  <c r="C2" i="5"/>
  <c r="B2" i="5"/>
  <c r="A2" i="5"/>
  <c r="L27" i="4"/>
  <c r="K27" i="4"/>
  <c r="J27" i="4"/>
  <c r="I27" i="4"/>
  <c r="H27" i="4"/>
  <c r="G27" i="4"/>
  <c r="F27" i="4"/>
  <c r="E27" i="4"/>
  <c r="D27" i="4"/>
  <c r="C27" i="4"/>
  <c r="B27" i="4"/>
  <c r="A27" i="4"/>
  <c r="L26" i="4"/>
  <c r="K26" i="4"/>
  <c r="J26" i="4"/>
  <c r="I26" i="4"/>
  <c r="H26" i="4"/>
  <c r="G26" i="4"/>
  <c r="F26" i="4"/>
  <c r="E26" i="4"/>
  <c r="D26" i="4"/>
  <c r="C26" i="4"/>
  <c r="B26" i="4"/>
  <c r="A26" i="4"/>
  <c r="L25" i="4"/>
  <c r="K25" i="4"/>
  <c r="J25" i="4"/>
  <c r="I25" i="4"/>
  <c r="H25" i="4"/>
  <c r="G25" i="4"/>
  <c r="F25" i="4"/>
  <c r="E25" i="4"/>
  <c r="D25" i="4"/>
  <c r="C25" i="4"/>
  <c r="B25" i="4"/>
  <c r="A25" i="4"/>
  <c r="L24" i="4"/>
  <c r="K24" i="4"/>
  <c r="J24" i="4"/>
  <c r="I24" i="4"/>
  <c r="H24" i="4"/>
  <c r="G24" i="4"/>
  <c r="F24" i="4"/>
  <c r="E24" i="4"/>
  <c r="D24" i="4"/>
  <c r="C24" i="4"/>
  <c r="B24" i="4"/>
  <c r="A24" i="4"/>
  <c r="L23" i="4"/>
  <c r="K23" i="4"/>
  <c r="J23" i="4"/>
  <c r="I23" i="4"/>
  <c r="H23" i="4"/>
  <c r="G23" i="4"/>
  <c r="F23" i="4"/>
  <c r="E23" i="4"/>
  <c r="D23" i="4"/>
  <c r="C23" i="4"/>
  <c r="B23" i="4"/>
  <c r="A23" i="4"/>
  <c r="L22" i="4"/>
  <c r="K22" i="4"/>
  <c r="J22" i="4"/>
  <c r="I22" i="4"/>
  <c r="H22" i="4"/>
  <c r="G22" i="4"/>
  <c r="F22" i="4"/>
  <c r="E22" i="4"/>
  <c r="D22" i="4"/>
  <c r="C22" i="4"/>
  <c r="B22" i="4"/>
  <c r="A22" i="4"/>
  <c r="L21" i="4"/>
  <c r="K21" i="4"/>
  <c r="J21" i="4"/>
  <c r="I21" i="4"/>
  <c r="H21" i="4"/>
  <c r="G21" i="4"/>
  <c r="F21" i="4"/>
  <c r="E21" i="4"/>
  <c r="D21" i="4"/>
  <c r="C21" i="4"/>
  <c r="B21" i="4"/>
  <c r="A21" i="4"/>
  <c r="L20" i="4"/>
  <c r="K20" i="4"/>
  <c r="J20" i="4"/>
  <c r="I20" i="4"/>
  <c r="H20" i="4"/>
  <c r="G20" i="4"/>
  <c r="F20" i="4"/>
  <c r="E20" i="4"/>
  <c r="D20" i="4"/>
  <c r="C20" i="4"/>
  <c r="B20" i="4"/>
  <c r="A20" i="4"/>
  <c r="L19" i="4"/>
  <c r="K19" i="4"/>
  <c r="J19" i="4"/>
  <c r="I19" i="4"/>
  <c r="H19" i="4"/>
  <c r="G19" i="4"/>
  <c r="F19" i="4"/>
  <c r="E19" i="4"/>
  <c r="D19" i="4"/>
  <c r="C19" i="4"/>
  <c r="B19" i="4"/>
  <c r="A19" i="4"/>
  <c r="L18" i="4"/>
  <c r="K18" i="4"/>
  <c r="J18" i="4"/>
  <c r="I18" i="4"/>
  <c r="H18" i="4"/>
  <c r="G18" i="4"/>
  <c r="F18" i="4"/>
  <c r="E18" i="4"/>
  <c r="D18" i="4"/>
  <c r="C18" i="4"/>
  <c r="B18" i="4"/>
  <c r="A18" i="4"/>
  <c r="L17" i="4"/>
  <c r="K17" i="4"/>
  <c r="J17" i="4"/>
  <c r="I17" i="4"/>
  <c r="H17" i="4"/>
  <c r="G17" i="4"/>
  <c r="F17" i="4"/>
  <c r="E17" i="4"/>
  <c r="D17" i="4"/>
  <c r="C17" i="4"/>
  <c r="B17" i="4"/>
  <c r="A17" i="4"/>
  <c r="L16" i="4"/>
  <c r="K16" i="4"/>
  <c r="J16" i="4"/>
  <c r="I16" i="4"/>
  <c r="H16" i="4"/>
  <c r="G16" i="4"/>
  <c r="F16" i="4"/>
  <c r="E16" i="4"/>
  <c r="D16" i="4"/>
  <c r="C16" i="4"/>
  <c r="B16" i="4"/>
  <c r="A16" i="4"/>
  <c r="L15" i="4"/>
  <c r="K15" i="4"/>
  <c r="J15" i="4"/>
  <c r="I15" i="4"/>
  <c r="H15" i="4"/>
  <c r="G15" i="4"/>
  <c r="F15" i="4"/>
  <c r="E15" i="4"/>
  <c r="D15" i="4"/>
  <c r="C15" i="4"/>
  <c r="B15" i="4"/>
  <c r="A15" i="4"/>
  <c r="L14" i="4"/>
  <c r="K14" i="4"/>
  <c r="J14" i="4"/>
  <c r="I14" i="4"/>
  <c r="H14" i="4"/>
  <c r="G14" i="4"/>
  <c r="F14" i="4"/>
  <c r="E14" i="4"/>
  <c r="D14" i="4"/>
  <c r="C14" i="4"/>
  <c r="B14" i="4"/>
  <c r="A14" i="4"/>
  <c r="L13" i="4"/>
  <c r="K13" i="4"/>
  <c r="J13" i="4"/>
  <c r="I13" i="4"/>
  <c r="H13" i="4"/>
  <c r="G13" i="4"/>
  <c r="F13" i="4"/>
  <c r="E13" i="4"/>
  <c r="D13" i="4"/>
  <c r="C13" i="4"/>
  <c r="B13" i="4"/>
  <c r="A13" i="4"/>
  <c r="L12" i="4"/>
  <c r="K12" i="4"/>
  <c r="J12" i="4"/>
  <c r="I12" i="4"/>
  <c r="H12" i="4"/>
  <c r="G12" i="4"/>
  <c r="F12" i="4"/>
  <c r="E12" i="4"/>
  <c r="D12" i="4"/>
  <c r="C12" i="4"/>
  <c r="B12" i="4"/>
  <c r="A12" i="4"/>
  <c r="L11" i="4"/>
  <c r="K11" i="4"/>
  <c r="J11" i="4"/>
  <c r="I11" i="4"/>
  <c r="H11" i="4"/>
  <c r="G11" i="4"/>
  <c r="F11" i="4"/>
  <c r="E11" i="4"/>
  <c r="D11" i="4"/>
  <c r="C11" i="4"/>
  <c r="B11" i="4"/>
  <c r="A11" i="4"/>
  <c r="L10" i="4"/>
  <c r="K10" i="4"/>
  <c r="J10" i="4"/>
  <c r="I10" i="4"/>
  <c r="H10" i="4"/>
  <c r="G10" i="4"/>
  <c r="F10" i="4"/>
  <c r="E10" i="4"/>
  <c r="D10" i="4"/>
  <c r="C10" i="4"/>
  <c r="B10" i="4"/>
  <c r="A10" i="4"/>
  <c r="L9" i="4"/>
  <c r="K9" i="4"/>
  <c r="J9" i="4"/>
  <c r="I9" i="4"/>
  <c r="H9" i="4"/>
  <c r="G9" i="4"/>
  <c r="F9" i="4"/>
  <c r="E9" i="4"/>
  <c r="D9" i="4"/>
  <c r="C9" i="4"/>
  <c r="B9" i="4"/>
  <c r="A9" i="4"/>
  <c r="L8" i="4"/>
  <c r="K8" i="4"/>
  <c r="J8" i="4"/>
  <c r="I8" i="4"/>
  <c r="H8" i="4"/>
  <c r="G8" i="4"/>
  <c r="F8" i="4"/>
  <c r="E8" i="4"/>
  <c r="D8" i="4"/>
  <c r="C8" i="4"/>
  <c r="B8" i="4"/>
  <c r="A8" i="4"/>
  <c r="L7" i="4"/>
  <c r="K7" i="4"/>
  <c r="J7" i="4"/>
  <c r="I7" i="4"/>
  <c r="H7" i="4"/>
  <c r="G7" i="4"/>
  <c r="F7" i="4"/>
  <c r="E7" i="4"/>
  <c r="D7" i="4"/>
  <c r="C7" i="4"/>
  <c r="B7" i="4"/>
  <c r="A7" i="4"/>
  <c r="L6" i="4"/>
  <c r="K6" i="4"/>
  <c r="J6" i="4"/>
  <c r="I6" i="4"/>
  <c r="H6" i="4"/>
  <c r="G6" i="4"/>
  <c r="F6" i="4"/>
  <c r="E6" i="4"/>
  <c r="D6" i="4"/>
  <c r="C6" i="4"/>
  <c r="B6" i="4"/>
  <c r="A6" i="4"/>
  <c r="L5" i="4"/>
  <c r="K5" i="4"/>
  <c r="J5" i="4"/>
  <c r="I5" i="4"/>
  <c r="H5" i="4"/>
  <c r="G5" i="4"/>
  <c r="F5" i="4"/>
  <c r="E5" i="4"/>
  <c r="D5" i="4"/>
  <c r="C5" i="4"/>
  <c r="B5" i="4"/>
  <c r="A5" i="4"/>
  <c r="L4" i="4"/>
  <c r="K4" i="4"/>
  <c r="J4" i="4"/>
  <c r="I4" i="4"/>
  <c r="H4" i="4"/>
  <c r="G4" i="4"/>
  <c r="F4" i="4"/>
  <c r="E4" i="4"/>
  <c r="D4" i="4"/>
  <c r="C4" i="4"/>
  <c r="B4" i="4"/>
  <c r="A4" i="4"/>
  <c r="L3" i="4"/>
  <c r="K3" i="4"/>
  <c r="J3" i="4"/>
  <c r="I3" i="4"/>
  <c r="H3" i="4"/>
  <c r="G3" i="4"/>
  <c r="F3" i="4"/>
  <c r="E3" i="4"/>
  <c r="D3" i="4"/>
  <c r="C3" i="4"/>
  <c r="B3" i="4"/>
  <c r="A3" i="4"/>
  <c r="L2" i="4"/>
  <c r="K2" i="4"/>
  <c r="J2" i="4"/>
  <c r="I2" i="4"/>
  <c r="H2" i="4"/>
  <c r="G2" i="4"/>
  <c r="F2" i="4"/>
  <c r="E2" i="4"/>
  <c r="D2" i="4"/>
  <c r="C2" i="4"/>
  <c r="B2" i="4"/>
  <c r="A2" i="4"/>
  <c r="L27" i="3"/>
  <c r="K27" i="3"/>
  <c r="J27" i="3"/>
  <c r="I27" i="3"/>
  <c r="H27" i="3"/>
  <c r="G27" i="3"/>
  <c r="F27" i="3"/>
  <c r="E27" i="3"/>
  <c r="D27" i="3"/>
  <c r="C27" i="3"/>
  <c r="B27" i="3"/>
  <c r="A27" i="3"/>
  <c r="L26" i="3"/>
  <c r="K26" i="3"/>
  <c r="J26" i="3"/>
  <c r="I26" i="3"/>
  <c r="H26" i="3"/>
  <c r="G26" i="3"/>
  <c r="F26" i="3"/>
  <c r="E26" i="3"/>
  <c r="D26" i="3"/>
  <c r="C26" i="3"/>
  <c r="B26" i="3"/>
  <c r="A26" i="3"/>
  <c r="L25" i="3"/>
  <c r="K25" i="3"/>
  <c r="J25" i="3"/>
  <c r="I25" i="3"/>
  <c r="H25" i="3"/>
  <c r="G25" i="3"/>
  <c r="F25" i="3"/>
  <c r="E25" i="3"/>
  <c r="D25" i="3"/>
  <c r="C25" i="3"/>
  <c r="B25" i="3"/>
  <c r="A25" i="3"/>
  <c r="L24" i="3"/>
  <c r="K24" i="3"/>
  <c r="J24" i="3"/>
  <c r="I24" i="3"/>
  <c r="H24" i="3"/>
  <c r="G24" i="3"/>
  <c r="F24" i="3"/>
  <c r="E24" i="3"/>
  <c r="D24" i="3"/>
  <c r="C24" i="3"/>
  <c r="B24" i="3"/>
  <c r="A24" i="3"/>
  <c r="L23" i="3"/>
  <c r="K23" i="3"/>
  <c r="J23" i="3"/>
  <c r="I23" i="3"/>
  <c r="H23" i="3"/>
  <c r="G23" i="3"/>
  <c r="F23" i="3"/>
  <c r="E23" i="3"/>
  <c r="D23" i="3"/>
  <c r="C23" i="3"/>
  <c r="B23" i="3"/>
  <c r="A23" i="3"/>
  <c r="L22" i="3"/>
  <c r="K22" i="3"/>
  <c r="J22" i="3"/>
  <c r="I22" i="3"/>
  <c r="H22" i="3"/>
  <c r="G22" i="3"/>
  <c r="F22" i="3"/>
  <c r="E22" i="3"/>
  <c r="D22" i="3"/>
  <c r="C22" i="3"/>
  <c r="B22" i="3"/>
  <c r="A22" i="3"/>
  <c r="L21" i="3"/>
  <c r="K21" i="3"/>
  <c r="J21" i="3"/>
  <c r="I21" i="3"/>
  <c r="H21" i="3"/>
  <c r="G21" i="3"/>
  <c r="F21" i="3"/>
  <c r="E21" i="3"/>
  <c r="D21" i="3"/>
  <c r="C21" i="3"/>
  <c r="B21" i="3"/>
  <c r="A21" i="3"/>
  <c r="L20" i="3"/>
  <c r="K20" i="3"/>
  <c r="J20" i="3"/>
  <c r="I20" i="3"/>
  <c r="H20" i="3"/>
  <c r="G20" i="3"/>
  <c r="F20" i="3"/>
  <c r="E20" i="3"/>
  <c r="D20" i="3"/>
  <c r="C20" i="3"/>
  <c r="B20" i="3"/>
  <c r="A20" i="3"/>
  <c r="L19" i="3"/>
  <c r="K19" i="3"/>
  <c r="J19" i="3"/>
  <c r="I19" i="3"/>
  <c r="H19" i="3"/>
  <c r="G19" i="3"/>
  <c r="F19" i="3"/>
  <c r="E19" i="3"/>
  <c r="D19" i="3"/>
  <c r="C19" i="3"/>
  <c r="B19" i="3"/>
  <c r="A19" i="3"/>
  <c r="L18" i="3"/>
  <c r="K18" i="3"/>
  <c r="J18" i="3"/>
  <c r="I18" i="3"/>
  <c r="H18" i="3"/>
  <c r="G18" i="3"/>
  <c r="F18" i="3"/>
  <c r="E18" i="3"/>
  <c r="D18" i="3"/>
  <c r="C18" i="3"/>
  <c r="B18" i="3"/>
  <c r="A18" i="3"/>
  <c r="L17" i="3"/>
  <c r="K17" i="3"/>
  <c r="J17" i="3"/>
  <c r="I17" i="3"/>
  <c r="H17" i="3"/>
  <c r="G17" i="3"/>
  <c r="F17" i="3"/>
  <c r="E17" i="3"/>
  <c r="D17" i="3"/>
  <c r="C17" i="3"/>
  <c r="B17" i="3"/>
  <c r="A17" i="3"/>
  <c r="L16" i="3"/>
  <c r="K16" i="3"/>
  <c r="J16" i="3"/>
  <c r="I16" i="3"/>
  <c r="H16" i="3"/>
  <c r="G16" i="3"/>
  <c r="F16" i="3"/>
  <c r="E16" i="3"/>
  <c r="D16" i="3"/>
  <c r="C16" i="3"/>
  <c r="B16" i="3"/>
  <c r="A16" i="3"/>
  <c r="L15" i="3"/>
  <c r="K15" i="3"/>
  <c r="J15" i="3"/>
  <c r="I15" i="3"/>
  <c r="H15" i="3"/>
  <c r="G15" i="3"/>
  <c r="F15" i="3"/>
  <c r="E15" i="3"/>
  <c r="D15" i="3"/>
  <c r="C15" i="3"/>
  <c r="B15" i="3"/>
  <c r="A15" i="3"/>
  <c r="L14" i="3"/>
  <c r="K14" i="3"/>
  <c r="J14" i="3"/>
  <c r="I14" i="3"/>
  <c r="H14" i="3"/>
  <c r="G14" i="3"/>
  <c r="F14" i="3"/>
  <c r="E14" i="3"/>
  <c r="D14" i="3"/>
  <c r="C14" i="3"/>
  <c r="B14" i="3"/>
  <c r="A14" i="3"/>
  <c r="L13" i="3"/>
  <c r="K13" i="3"/>
  <c r="J13" i="3"/>
  <c r="I13" i="3"/>
  <c r="H13" i="3"/>
  <c r="G13" i="3"/>
  <c r="F13" i="3"/>
  <c r="E13" i="3"/>
  <c r="D13" i="3"/>
  <c r="C13" i="3"/>
  <c r="B13" i="3"/>
  <c r="A13" i="3"/>
  <c r="L12" i="3"/>
  <c r="K12" i="3"/>
  <c r="J12" i="3"/>
  <c r="I12" i="3"/>
  <c r="H12" i="3"/>
  <c r="G12" i="3"/>
  <c r="F12" i="3"/>
  <c r="E12" i="3"/>
  <c r="D12" i="3"/>
  <c r="C12" i="3"/>
  <c r="B12" i="3"/>
  <c r="A12" i="3"/>
  <c r="L11" i="3"/>
  <c r="K11" i="3"/>
  <c r="J11" i="3"/>
  <c r="I11" i="3"/>
  <c r="H11" i="3"/>
  <c r="G11" i="3"/>
  <c r="F11" i="3"/>
  <c r="E11" i="3"/>
  <c r="D11" i="3"/>
  <c r="C11" i="3"/>
  <c r="B11" i="3"/>
  <c r="A11" i="3"/>
  <c r="L10" i="3"/>
  <c r="K10" i="3"/>
  <c r="J10" i="3"/>
  <c r="I10" i="3"/>
  <c r="H10" i="3"/>
  <c r="G10" i="3"/>
  <c r="F10" i="3"/>
  <c r="E10" i="3"/>
  <c r="D10" i="3"/>
  <c r="C10" i="3"/>
  <c r="B10" i="3"/>
  <c r="A10" i="3"/>
  <c r="L9" i="3"/>
  <c r="K9" i="3"/>
  <c r="J9" i="3"/>
  <c r="I9" i="3"/>
  <c r="H9" i="3"/>
  <c r="G9" i="3"/>
  <c r="F9" i="3"/>
  <c r="E9" i="3"/>
  <c r="D9" i="3"/>
  <c r="C9" i="3"/>
  <c r="B9" i="3"/>
  <c r="A9" i="3"/>
  <c r="L8" i="3"/>
  <c r="K8" i="3"/>
  <c r="J8" i="3"/>
  <c r="I8" i="3"/>
  <c r="H8" i="3"/>
  <c r="G8" i="3"/>
  <c r="F8" i="3"/>
  <c r="E8" i="3"/>
  <c r="D8" i="3"/>
  <c r="C8" i="3"/>
  <c r="B8" i="3"/>
  <c r="A8" i="3"/>
  <c r="L7" i="3"/>
  <c r="K7" i="3"/>
  <c r="J7" i="3"/>
  <c r="I7" i="3"/>
  <c r="H7" i="3"/>
  <c r="G7" i="3"/>
  <c r="F7" i="3"/>
  <c r="E7" i="3"/>
  <c r="D7" i="3"/>
  <c r="C7" i="3"/>
  <c r="B7" i="3"/>
  <c r="A7" i="3"/>
  <c r="L6" i="3"/>
  <c r="K6" i="3"/>
  <c r="J6" i="3"/>
  <c r="I6" i="3"/>
  <c r="H6" i="3"/>
  <c r="G6" i="3"/>
  <c r="F6" i="3"/>
  <c r="E6" i="3"/>
  <c r="D6" i="3"/>
  <c r="C6" i="3"/>
  <c r="B6" i="3"/>
  <c r="A6" i="3"/>
  <c r="L5" i="3"/>
  <c r="K5" i="3"/>
  <c r="J5" i="3"/>
  <c r="I5" i="3"/>
  <c r="H5" i="3"/>
  <c r="G5" i="3"/>
  <c r="F5" i="3"/>
  <c r="E5" i="3"/>
  <c r="D5" i="3"/>
  <c r="C5" i="3"/>
  <c r="B5" i="3"/>
  <c r="A5" i="3"/>
  <c r="L4" i="3"/>
  <c r="K4" i="3"/>
  <c r="J4" i="3"/>
  <c r="I4" i="3"/>
  <c r="H4" i="3"/>
  <c r="G4" i="3"/>
  <c r="F4" i="3"/>
  <c r="E4" i="3"/>
  <c r="D4" i="3"/>
  <c r="C4" i="3"/>
  <c r="B4" i="3"/>
  <c r="A4" i="3"/>
  <c r="L3" i="3"/>
  <c r="K3" i="3"/>
  <c r="J3" i="3"/>
  <c r="I3" i="3"/>
  <c r="H3" i="3"/>
  <c r="G3" i="3"/>
  <c r="F3" i="3"/>
  <c r="E3" i="3"/>
  <c r="D3" i="3"/>
  <c r="C3" i="3"/>
  <c r="B3" i="3"/>
  <c r="A3" i="3"/>
  <c r="L2" i="3"/>
  <c r="K2" i="3"/>
  <c r="J2" i="3"/>
  <c r="I2" i="3"/>
  <c r="H2" i="3"/>
  <c r="G2" i="3"/>
  <c r="F2" i="3"/>
  <c r="E2" i="3"/>
  <c r="D2" i="3"/>
  <c r="C2" i="3"/>
  <c r="B2" i="3"/>
  <c r="A2" i="3"/>
  <c r="L27" i="2"/>
  <c r="K27" i="2"/>
  <c r="J27" i="2"/>
  <c r="I27" i="2"/>
  <c r="H27" i="2"/>
  <c r="G27" i="2"/>
  <c r="F27" i="2"/>
  <c r="E27" i="2"/>
  <c r="D27" i="2"/>
  <c r="C27" i="2"/>
  <c r="B27" i="2"/>
  <c r="A27" i="2"/>
  <c r="L26" i="2"/>
  <c r="K26" i="2"/>
  <c r="J26" i="2"/>
  <c r="I26" i="2"/>
  <c r="H26" i="2"/>
  <c r="G26" i="2"/>
  <c r="F26" i="2"/>
  <c r="E26" i="2"/>
  <c r="D26" i="2"/>
  <c r="C26" i="2"/>
  <c r="B26" i="2"/>
  <c r="A26" i="2"/>
  <c r="L25" i="2"/>
  <c r="K25" i="2"/>
  <c r="J25" i="2"/>
  <c r="I25" i="2"/>
  <c r="H25" i="2"/>
  <c r="G25" i="2"/>
  <c r="F25" i="2"/>
  <c r="E25" i="2"/>
  <c r="D25" i="2"/>
  <c r="C25" i="2"/>
  <c r="B25" i="2"/>
  <c r="A25" i="2"/>
  <c r="L24" i="2"/>
  <c r="K24" i="2"/>
  <c r="J24" i="2"/>
  <c r="I24" i="2"/>
  <c r="H24" i="2"/>
  <c r="G24" i="2"/>
  <c r="F24" i="2"/>
  <c r="E24" i="2"/>
  <c r="D24" i="2"/>
  <c r="C24" i="2"/>
  <c r="B24" i="2"/>
  <c r="A24" i="2"/>
  <c r="L23" i="2"/>
  <c r="K23" i="2"/>
  <c r="J23" i="2"/>
  <c r="I23" i="2"/>
  <c r="H23" i="2"/>
  <c r="G23" i="2"/>
  <c r="F23" i="2"/>
  <c r="E23" i="2"/>
  <c r="D23" i="2"/>
  <c r="C23" i="2"/>
  <c r="B23" i="2"/>
  <c r="A23" i="2"/>
  <c r="L22" i="2"/>
  <c r="K22" i="2"/>
  <c r="J22" i="2"/>
  <c r="I22" i="2"/>
  <c r="H22" i="2"/>
  <c r="G22" i="2"/>
  <c r="F22" i="2"/>
  <c r="E22" i="2"/>
  <c r="D22" i="2"/>
  <c r="C22" i="2"/>
  <c r="B22" i="2"/>
  <c r="A22" i="2"/>
  <c r="L21" i="2"/>
  <c r="K21" i="2"/>
  <c r="J21" i="2"/>
  <c r="I21" i="2"/>
  <c r="H21" i="2"/>
  <c r="G21" i="2"/>
  <c r="F21" i="2"/>
  <c r="E21" i="2"/>
  <c r="D21" i="2"/>
  <c r="C21" i="2"/>
  <c r="B21" i="2"/>
  <c r="A21" i="2"/>
  <c r="L20" i="2"/>
  <c r="K20" i="2"/>
  <c r="J20" i="2"/>
  <c r="I20" i="2"/>
  <c r="H20" i="2"/>
  <c r="G20" i="2"/>
  <c r="F20" i="2"/>
  <c r="E20" i="2"/>
  <c r="D20" i="2"/>
  <c r="C20" i="2"/>
  <c r="B20" i="2"/>
  <c r="A20" i="2"/>
  <c r="L19" i="2"/>
  <c r="K19" i="2"/>
  <c r="J19" i="2"/>
  <c r="I19" i="2"/>
  <c r="H19" i="2"/>
  <c r="G19" i="2"/>
  <c r="F19" i="2"/>
  <c r="E19" i="2"/>
  <c r="D19" i="2"/>
  <c r="C19" i="2"/>
  <c r="B19" i="2"/>
  <c r="A19" i="2"/>
  <c r="L18" i="2"/>
  <c r="K18" i="2"/>
  <c r="J18" i="2"/>
  <c r="I18" i="2"/>
  <c r="H18" i="2"/>
  <c r="G18" i="2"/>
  <c r="F18" i="2"/>
  <c r="E18" i="2"/>
  <c r="D18" i="2"/>
  <c r="C18" i="2"/>
  <c r="B18" i="2"/>
  <c r="A18" i="2"/>
  <c r="L17" i="2"/>
  <c r="K17" i="2"/>
  <c r="J17" i="2"/>
  <c r="I17" i="2"/>
  <c r="H17" i="2"/>
  <c r="G17" i="2"/>
  <c r="F17" i="2"/>
  <c r="E17" i="2"/>
  <c r="D17" i="2"/>
  <c r="C17" i="2"/>
  <c r="B17" i="2"/>
  <c r="A17" i="2"/>
  <c r="L16" i="2"/>
  <c r="K16" i="2"/>
  <c r="J16" i="2"/>
  <c r="I16" i="2"/>
  <c r="H16" i="2"/>
  <c r="G16" i="2"/>
  <c r="F16" i="2"/>
  <c r="E16" i="2"/>
  <c r="D16" i="2"/>
  <c r="C16" i="2"/>
  <c r="B16" i="2"/>
  <c r="A16" i="2"/>
  <c r="L15" i="2"/>
  <c r="K15" i="2"/>
  <c r="J15" i="2"/>
  <c r="I15" i="2"/>
  <c r="H15" i="2"/>
  <c r="G15" i="2"/>
  <c r="F15" i="2"/>
  <c r="E15" i="2"/>
  <c r="D15" i="2"/>
  <c r="C15" i="2"/>
  <c r="B15" i="2"/>
  <c r="A15" i="2"/>
  <c r="L14" i="2"/>
  <c r="K14" i="2"/>
  <c r="J14" i="2"/>
  <c r="I14" i="2"/>
  <c r="H14" i="2"/>
  <c r="G14" i="2"/>
  <c r="F14" i="2"/>
  <c r="E14" i="2"/>
  <c r="D14" i="2"/>
  <c r="C14" i="2"/>
  <c r="B14" i="2"/>
  <c r="A14" i="2"/>
  <c r="L13" i="2"/>
  <c r="K13" i="2"/>
  <c r="J13" i="2"/>
  <c r="I13" i="2"/>
  <c r="H13" i="2"/>
  <c r="G13" i="2"/>
  <c r="F13" i="2"/>
  <c r="E13" i="2"/>
  <c r="D13" i="2"/>
  <c r="C13" i="2"/>
  <c r="B13" i="2"/>
  <c r="A13" i="2"/>
  <c r="L12" i="2"/>
  <c r="K12" i="2"/>
  <c r="J12" i="2"/>
  <c r="I12" i="2"/>
  <c r="H12" i="2"/>
  <c r="G12" i="2"/>
  <c r="F12" i="2"/>
  <c r="E12" i="2"/>
  <c r="D12" i="2"/>
  <c r="C12" i="2"/>
  <c r="B12" i="2"/>
  <c r="A12" i="2"/>
  <c r="L11" i="2"/>
  <c r="K11" i="2"/>
  <c r="J11" i="2"/>
  <c r="I11" i="2"/>
  <c r="H11" i="2"/>
  <c r="G11" i="2"/>
  <c r="F11" i="2"/>
  <c r="E11" i="2"/>
  <c r="D11" i="2"/>
  <c r="C11" i="2"/>
  <c r="B11" i="2"/>
  <c r="A11" i="2"/>
  <c r="L10" i="2"/>
  <c r="K10" i="2"/>
  <c r="J10" i="2"/>
  <c r="I10" i="2"/>
  <c r="H10" i="2"/>
  <c r="G10" i="2"/>
  <c r="F10" i="2"/>
  <c r="E10" i="2"/>
  <c r="D10" i="2"/>
  <c r="C10" i="2"/>
  <c r="B10" i="2"/>
  <c r="A10" i="2"/>
  <c r="L9" i="2"/>
  <c r="K9" i="2"/>
  <c r="J9" i="2"/>
  <c r="I9" i="2"/>
  <c r="H9" i="2"/>
  <c r="G9" i="2"/>
  <c r="F9" i="2"/>
  <c r="E9" i="2"/>
  <c r="D9" i="2"/>
  <c r="C9" i="2"/>
  <c r="B9" i="2"/>
  <c r="A9" i="2"/>
  <c r="L8" i="2"/>
  <c r="K8" i="2"/>
  <c r="J8" i="2"/>
  <c r="I8" i="2"/>
  <c r="H8" i="2"/>
  <c r="G8" i="2"/>
  <c r="F8" i="2"/>
  <c r="E8" i="2"/>
  <c r="D8" i="2"/>
  <c r="C8" i="2"/>
  <c r="B8" i="2"/>
  <c r="A8" i="2"/>
  <c r="L7" i="2"/>
  <c r="K7" i="2"/>
  <c r="J7" i="2"/>
  <c r="I7" i="2"/>
  <c r="H7" i="2"/>
  <c r="G7" i="2"/>
  <c r="F7" i="2"/>
  <c r="E7" i="2"/>
  <c r="D7" i="2"/>
  <c r="C7" i="2"/>
  <c r="B7" i="2"/>
  <c r="A7" i="2"/>
  <c r="L6" i="2"/>
  <c r="K6" i="2"/>
  <c r="J6" i="2"/>
  <c r="I6" i="2"/>
  <c r="H6" i="2"/>
  <c r="G6" i="2"/>
  <c r="F6" i="2"/>
  <c r="E6" i="2"/>
  <c r="D6" i="2"/>
  <c r="C6" i="2"/>
  <c r="B6" i="2"/>
  <c r="A6" i="2"/>
  <c r="L5" i="2"/>
  <c r="K5" i="2"/>
  <c r="J5" i="2"/>
  <c r="I5" i="2"/>
  <c r="H5" i="2"/>
  <c r="G5" i="2"/>
  <c r="F5" i="2"/>
  <c r="E5" i="2"/>
  <c r="D5" i="2"/>
  <c r="C5" i="2"/>
  <c r="B5" i="2"/>
  <c r="A5" i="2"/>
  <c r="L4" i="2"/>
  <c r="K4" i="2"/>
  <c r="J4" i="2"/>
  <c r="I4" i="2"/>
  <c r="H4" i="2"/>
  <c r="G4" i="2"/>
  <c r="F4" i="2"/>
  <c r="E4" i="2"/>
  <c r="D4" i="2"/>
  <c r="C4" i="2"/>
  <c r="B4" i="2"/>
  <c r="A4" i="2"/>
  <c r="L3" i="2"/>
  <c r="K3" i="2"/>
  <c r="J3" i="2"/>
  <c r="I3" i="2"/>
  <c r="H3" i="2"/>
  <c r="G3" i="2"/>
  <c r="F3" i="2"/>
  <c r="E3" i="2"/>
  <c r="D3" i="2"/>
  <c r="C3" i="2"/>
  <c r="B3" i="2"/>
  <c r="A3" i="2"/>
  <c r="L2" i="2"/>
  <c r="K2" i="2"/>
  <c r="J2" i="2"/>
  <c r="I2" i="2"/>
  <c r="H2" i="2"/>
  <c r="G2" i="2"/>
  <c r="F2" i="2"/>
  <c r="E2" i="2"/>
  <c r="D2" i="2"/>
  <c r="C2" i="2"/>
  <c r="B2" i="2"/>
  <c r="A2" i="2"/>
  <c r="L25" i="21" l="1"/>
  <c r="L25" i="20"/>
  <c r="L17" i="21"/>
  <c r="L17" i="20"/>
  <c r="L9" i="21"/>
  <c r="L9" i="20"/>
  <c r="J11" i="21"/>
  <c r="J4" i="21"/>
  <c r="H19" i="21"/>
  <c r="H15" i="21"/>
  <c r="H13" i="21"/>
  <c r="H11" i="21"/>
  <c r="H9" i="21"/>
  <c r="H3" i="21"/>
  <c r="F27" i="21"/>
  <c r="F27" i="20"/>
  <c r="F26" i="21"/>
  <c r="F26" i="20"/>
  <c r="F25" i="21"/>
  <c r="F24" i="21"/>
  <c r="F23" i="21"/>
  <c r="F22" i="21"/>
  <c r="F21" i="20"/>
  <c r="F20" i="20"/>
  <c r="F19" i="21"/>
  <c r="F18" i="21"/>
  <c r="F17" i="20"/>
  <c r="F16" i="21"/>
  <c r="F16" i="20"/>
  <c r="F12" i="21"/>
  <c r="F11" i="21"/>
  <c r="F11" i="20"/>
  <c r="F10" i="20"/>
  <c r="F9" i="21"/>
  <c r="F8" i="21"/>
  <c r="F7" i="20"/>
  <c r="F6" i="20"/>
  <c r="F5" i="21"/>
  <c r="F4" i="21"/>
  <c r="F3" i="21"/>
  <c r="F3" i="20"/>
  <c r="F2" i="21"/>
  <c r="D27" i="21"/>
  <c r="D26" i="21"/>
  <c r="D26" i="20"/>
  <c r="D22" i="21"/>
  <c r="D22" i="20"/>
  <c r="D20" i="20"/>
  <c r="D19" i="21"/>
  <c r="D18" i="21"/>
  <c r="D17" i="21"/>
  <c r="D16" i="21"/>
  <c r="D16" i="20"/>
  <c r="D13" i="21"/>
  <c r="D12" i="21"/>
  <c r="D12" i="20"/>
  <c r="D11" i="21"/>
  <c r="D10" i="21"/>
  <c r="D10" i="20"/>
  <c r="D6" i="21"/>
  <c r="D6" i="20"/>
  <c r="D5" i="20"/>
  <c r="D4" i="21"/>
  <c r="D4" i="20"/>
  <c r="D3" i="21"/>
  <c r="D2" i="21"/>
  <c r="D2" i="20"/>
  <c r="B26" i="21"/>
  <c r="B26" i="20"/>
  <c r="C26" i="20" s="1"/>
  <c r="B24" i="21"/>
  <c r="B24" i="20"/>
  <c r="B22" i="21"/>
  <c r="B22" i="20"/>
  <c r="C22" i="20" s="1"/>
  <c r="B20" i="21"/>
  <c r="B20" i="20"/>
  <c r="C20" i="20" s="1"/>
  <c r="B18" i="21"/>
  <c r="B18" i="20"/>
  <c r="B16" i="21"/>
  <c r="B16" i="20"/>
  <c r="C16" i="20" s="1"/>
  <c r="B14" i="21"/>
  <c r="B14" i="20"/>
  <c r="B12" i="21"/>
  <c r="B12" i="20"/>
  <c r="C12" i="20" s="1"/>
  <c r="B10" i="21"/>
  <c r="B10" i="20"/>
  <c r="B8" i="21"/>
  <c r="B8" i="20"/>
  <c r="B6" i="21"/>
  <c r="B6" i="20"/>
  <c r="C6" i="20" s="1"/>
  <c r="B4" i="21"/>
  <c r="B4" i="20"/>
  <c r="C4" i="20" s="1"/>
  <c r="B2" i="21"/>
  <c r="B2" i="20"/>
  <c r="B3" i="21"/>
  <c r="C3" i="21"/>
  <c r="E3" i="21"/>
  <c r="G3" i="21"/>
  <c r="I3" i="21"/>
  <c r="J3" i="21"/>
  <c r="K3" i="21"/>
  <c r="L3" i="21"/>
  <c r="M3" i="21"/>
  <c r="N3" i="21"/>
  <c r="O3" i="21"/>
  <c r="P3" i="21"/>
  <c r="Q3" i="21"/>
  <c r="C4" i="21"/>
  <c r="E4" i="21"/>
  <c r="G4" i="21"/>
  <c r="H4" i="21"/>
  <c r="I4" i="21"/>
  <c r="K4" i="21"/>
  <c r="L4" i="21"/>
  <c r="M4" i="21"/>
  <c r="N4" i="21"/>
  <c r="O4" i="21"/>
  <c r="P4" i="21"/>
  <c r="Q4" i="21"/>
  <c r="B5" i="21"/>
  <c r="C5" i="21"/>
  <c r="D5" i="21"/>
  <c r="E5" i="21"/>
  <c r="G5" i="21"/>
  <c r="H5" i="21"/>
  <c r="I5" i="21"/>
  <c r="J5" i="21"/>
  <c r="K5" i="21"/>
  <c r="L5" i="21"/>
  <c r="M5" i="21"/>
  <c r="N5" i="21"/>
  <c r="O5" i="21"/>
  <c r="P5" i="21"/>
  <c r="Q5" i="21"/>
  <c r="C6" i="21"/>
  <c r="E6" i="21"/>
  <c r="F6" i="21"/>
  <c r="G6" i="21"/>
  <c r="H6" i="21"/>
  <c r="I6" i="21"/>
  <c r="J6" i="21"/>
  <c r="K6" i="21"/>
  <c r="L6" i="21"/>
  <c r="M6" i="21"/>
  <c r="N6" i="21"/>
  <c r="O6" i="21"/>
  <c r="P6" i="21"/>
  <c r="Q6" i="21"/>
  <c r="B7" i="21"/>
  <c r="C7" i="21"/>
  <c r="D7" i="21"/>
  <c r="E7" i="21"/>
  <c r="F7" i="21"/>
  <c r="G7" i="21"/>
  <c r="H7" i="21"/>
  <c r="I7" i="21"/>
  <c r="J7" i="21"/>
  <c r="K7" i="21"/>
  <c r="L7" i="21"/>
  <c r="M7" i="21"/>
  <c r="N7" i="21"/>
  <c r="O7" i="21"/>
  <c r="P7" i="21"/>
  <c r="Q7" i="21"/>
  <c r="C8" i="21"/>
  <c r="D8" i="21"/>
  <c r="E8" i="21"/>
  <c r="G8" i="21"/>
  <c r="H8" i="21"/>
  <c r="I8" i="21"/>
  <c r="J8" i="21"/>
  <c r="K8" i="21"/>
  <c r="L8" i="21"/>
  <c r="M8" i="21"/>
  <c r="N8" i="21"/>
  <c r="O8" i="21"/>
  <c r="P8" i="21"/>
  <c r="Q8" i="21"/>
  <c r="B9" i="21"/>
  <c r="C9" i="21"/>
  <c r="D9" i="21"/>
  <c r="E9" i="21"/>
  <c r="G9" i="21"/>
  <c r="I9" i="21"/>
  <c r="J9" i="21"/>
  <c r="K9" i="21"/>
  <c r="M9" i="21"/>
  <c r="N9" i="21"/>
  <c r="O9" i="21"/>
  <c r="P9" i="21"/>
  <c r="Q9" i="21"/>
  <c r="C10" i="21"/>
  <c r="E10" i="21"/>
  <c r="F10" i="21"/>
  <c r="G10" i="21"/>
  <c r="H10" i="21"/>
  <c r="I10" i="21"/>
  <c r="J10" i="21"/>
  <c r="K10" i="21"/>
  <c r="L10" i="21"/>
  <c r="M10" i="21"/>
  <c r="N10" i="21"/>
  <c r="O10" i="21"/>
  <c r="P10" i="21"/>
  <c r="Q10" i="21"/>
  <c r="B11" i="21"/>
  <c r="C11" i="21"/>
  <c r="E11" i="21"/>
  <c r="G11" i="21"/>
  <c r="I11" i="21"/>
  <c r="K11" i="21"/>
  <c r="L11" i="21"/>
  <c r="M11" i="21"/>
  <c r="N11" i="21"/>
  <c r="O11" i="21"/>
  <c r="P11" i="21"/>
  <c r="Q11" i="21"/>
  <c r="C12" i="21"/>
  <c r="E12" i="21"/>
  <c r="G12" i="21"/>
  <c r="H12" i="21"/>
  <c r="I12" i="21"/>
  <c r="J12" i="21"/>
  <c r="K12" i="21"/>
  <c r="L12" i="21"/>
  <c r="M12" i="21"/>
  <c r="N12" i="21"/>
  <c r="O12" i="21"/>
  <c r="P12" i="21"/>
  <c r="Q12" i="21"/>
  <c r="B13" i="21"/>
  <c r="C13" i="21"/>
  <c r="E13" i="21"/>
  <c r="F13" i="21"/>
  <c r="G13" i="21"/>
  <c r="I13" i="21"/>
  <c r="J13" i="21"/>
  <c r="K13" i="21"/>
  <c r="L13" i="21"/>
  <c r="M13" i="21"/>
  <c r="N13" i="21"/>
  <c r="O13" i="21"/>
  <c r="P13" i="21"/>
  <c r="Q13" i="21"/>
  <c r="C14" i="21"/>
  <c r="D14" i="21"/>
  <c r="E14" i="21"/>
  <c r="F14" i="21"/>
  <c r="G14" i="21"/>
  <c r="H14" i="21"/>
  <c r="I14" i="21"/>
  <c r="J14" i="21"/>
  <c r="K14" i="21"/>
  <c r="L14" i="21"/>
  <c r="M14" i="21"/>
  <c r="N14" i="21"/>
  <c r="O14" i="21"/>
  <c r="P14" i="21"/>
  <c r="Q14" i="21"/>
  <c r="B15" i="21"/>
  <c r="C15" i="21"/>
  <c r="D15" i="21"/>
  <c r="E15" i="21"/>
  <c r="F15" i="21"/>
  <c r="G15" i="21"/>
  <c r="I15" i="21"/>
  <c r="J15" i="21"/>
  <c r="K15" i="21"/>
  <c r="L15" i="21"/>
  <c r="M15" i="21"/>
  <c r="N15" i="21"/>
  <c r="O15" i="21"/>
  <c r="P15" i="21"/>
  <c r="Q15" i="21"/>
  <c r="C16" i="21"/>
  <c r="E16" i="21"/>
  <c r="G16" i="21"/>
  <c r="H16" i="21"/>
  <c r="I16" i="21"/>
  <c r="J16" i="21"/>
  <c r="K16" i="21"/>
  <c r="L16" i="21"/>
  <c r="M16" i="21"/>
  <c r="N16" i="21"/>
  <c r="O16" i="21"/>
  <c r="P16" i="21"/>
  <c r="Q16" i="21"/>
  <c r="B17" i="21"/>
  <c r="C17" i="21"/>
  <c r="E17" i="21"/>
  <c r="F17" i="21"/>
  <c r="G17" i="21"/>
  <c r="H17" i="21"/>
  <c r="I17" i="21"/>
  <c r="J17" i="21"/>
  <c r="K17" i="21"/>
  <c r="M17" i="21"/>
  <c r="N17" i="21"/>
  <c r="O17" i="21"/>
  <c r="P17" i="21"/>
  <c r="Q17" i="21"/>
  <c r="C18" i="21"/>
  <c r="E18" i="21"/>
  <c r="G18" i="21"/>
  <c r="H18" i="21"/>
  <c r="I18" i="21"/>
  <c r="J18" i="21"/>
  <c r="K18" i="21"/>
  <c r="L18" i="21"/>
  <c r="M18" i="21"/>
  <c r="N18" i="21"/>
  <c r="O18" i="21"/>
  <c r="P18" i="21"/>
  <c r="Q18" i="21"/>
  <c r="B19" i="21"/>
  <c r="C19" i="21"/>
  <c r="E19" i="21"/>
  <c r="G19" i="21"/>
  <c r="I19" i="21"/>
  <c r="J19" i="21"/>
  <c r="K19" i="21"/>
  <c r="L19" i="21"/>
  <c r="M19" i="21"/>
  <c r="N19" i="21"/>
  <c r="O19" i="21"/>
  <c r="P19" i="21"/>
  <c r="Q19" i="21"/>
  <c r="C20" i="21"/>
  <c r="D20" i="21"/>
  <c r="E20" i="21"/>
  <c r="F20" i="21"/>
  <c r="G20" i="21"/>
  <c r="H20" i="21"/>
  <c r="I20" i="21"/>
  <c r="J20" i="21"/>
  <c r="K20" i="21"/>
  <c r="L20" i="21"/>
  <c r="M20" i="21"/>
  <c r="N20" i="21"/>
  <c r="O20" i="21"/>
  <c r="P20" i="21"/>
  <c r="Q20" i="21"/>
  <c r="B21" i="21"/>
  <c r="C21" i="21"/>
  <c r="D21" i="21"/>
  <c r="E21" i="21"/>
  <c r="F21" i="21"/>
  <c r="G21" i="21"/>
  <c r="H21" i="21"/>
  <c r="I21" i="21"/>
  <c r="J21" i="21"/>
  <c r="K21" i="21"/>
  <c r="L21" i="21"/>
  <c r="M21" i="21"/>
  <c r="N21" i="21"/>
  <c r="O21" i="21"/>
  <c r="P21" i="21"/>
  <c r="Q21" i="21"/>
  <c r="C22" i="21"/>
  <c r="E22" i="21"/>
  <c r="G22" i="21"/>
  <c r="H22" i="21"/>
  <c r="I22" i="21"/>
  <c r="J22" i="21"/>
  <c r="K22" i="21"/>
  <c r="L22" i="21"/>
  <c r="M22" i="21"/>
  <c r="N22" i="21"/>
  <c r="O22" i="21"/>
  <c r="P22" i="21"/>
  <c r="Q22" i="21"/>
  <c r="B23" i="21"/>
  <c r="C23" i="21"/>
  <c r="D23" i="21"/>
  <c r="E23" i="21"/>
  <c r="G23" i="21"/>
  <c r="H23" i="21"/>
  <c r="I23" i="21"/>
  <c r="J23" i="21"/>
  <c r="K23" i="21"/>
  <c r="L23" i="21"/>
  <c r="M23" i="21"/>
  <c r="N23" i="21"/>
  <c r="O23" i="21"/>
  <c r="P23" i="21"/>
  <c r="Q23" i="21"/>
  <c r="C24" i="21"/>
  <c r="D24" i="21"/>
  <c r="E24" i="21"/>
  <c r="G24" i="21"/>
  <c r="H24" i="21"/>
  <c r="I24" i="21"/>
  <c r="J24" i="21"/>
  <c r="K24" i="21"/>
  <c r="L24" i="21"/>
  <c r="M24" i="21"/>
  <c r="N24" i="21"/>
  <c r="O24" i="21"/>
  <c r="P24" i="21"/>
  <c r="Q24" i="21"/>
  <c r="B25" i="21"/>
  <c r="C25" i="21"/>
  <c r="D25" i="21"/>
  <c r="E25" i="21"/>
  <c r="G25" i="21"/>
  <c r="H25" i="21"/>
  <c r="I25" i="21"/>
  <c r="J25" i="21"/>
  <c r="K25" i="21"/>
  <c r="M25" i="21"/>
  <c r="N25" i="21"/>
  <c r="O25" i="21"/>
  <c r="P25" i="21"/>
  <c r="Q25" i="21"/>
  <c r="C26" i="21"/>
  <c r="E26" i="21"/>
  <c r="G26" i="21"/>
  <c r="H26" i="21"/>
  <c r="I26" i="21"/>
  <c r="J26" i="21"/>
  <c r="K26" i="21"/>
  <c r="L26" i="21"/>
  <c r="M26" i="21"/>
  <c r="N26" i="21"/>
  <c r="O26" i="21"/>
  <c r="P26" i="21"/>
  <c r="Q26" i="21"/>
  <c r="B27" i="21"/>
  <c r="C27" i="21"/>
  <c r="E27" i="21"/>
  <c r="G27" i="21"/>
  <c r="H27" i="21"/>
  <c r="I27" i="21"/>
  <c r="J27" i="21"/>
  <c r="K27" i="21"/>
  <c r="L27" i="21"/>
  <c r="M27" i="21"/>
  <c r="N27" i="21"/>
  <c r="O27" i="21"/>
  <c r="P27" i="21"/>
  <c r="Q27" i="21"/>
  <c r="Q2" i="21"/>
  <c r="P2" i="21"/>
  <c r="O2" i="21"/>
  <c r="N2" i="21"/>
  <c r="M2" i="21"/>
  <c r="L2" i="21"/>
  <c r="K2" i="21"/>
  <c r="J2" i="21"/>
  <c r="I2" i="21"/>
  <c r="H2" i="21"/>
  <c r="G2" i="21"/>
  <c r="E2" i="21"/>
  <c r="C2" i="21"/>
  <c r="A27" i="21"/>
  <c r="A26" i="21"/>
  <c r="A25" i="21"/>
  <c r="A24" i="21"/>
  <c r="A23" i="21"/>
  <c r="A22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A4" i="21"/>
  <c r="A3" i="21"/>
  <c r="A2" i="21"/>
  <c r="B3" i="20"/>
  <c r="C3" i="20" s="1"/>
  <c r="D3" i="20"/>
  <c r="E3" i="20"/>
  <c r="G3" i="20"/>
  <c r="H3" i="20"/>
  <c r="I3" i="20"/>
  <c r="J3" i="20"/>
  <c r="K3" i="20"/>
  <c r="L3" i="20"/>
  <c r="M3" i="20"/>
  <c r="N3" i="20"/>
  <c r="O3" i="20"/>
  <c r="P3" i="20"/>
  <c r="Q3" i="20"/>
  <c r="E4" i="20"/>
  <c r="F4" i="20"/>
  <c r="G4" i="20"/>
  <c r="H4" i="20"/>
  <c r="I4" i="20"/>
  <c r="J4" i="20"/>
  <c r="K4" i="20"/>
  <c r="L4" i="20"/>
  <c r="M4" i="20"/>
  <c r="N4" i="20"/>
  <c r="O4" i="20"/>
  <c r="P4" i="20"/>
  <c r="Q4" i="20"/>
  <c r="B5" i="20"/>
  <c r="C5" i="20" s="1"/>
  <c r="E5" i="20"/>
  <c r="F5" i="20"/>
  <c r="G5" i="20"/>
  <c r="H5" i="20"/>
  <c r="I5" i="20"/>
  <c r="J5" i="20"/>
  <c r="K5" i="20"/>
  <c r="L5" i="20"/>
  <c r="M5" i="20"/>
  <c r="N5" i="20"/>
  <c r="O5" i="20"/>
  <c r="P5" i="20"/>
  <c r="Q5" i="20"/>
  <c r="E6" i="20"/>
  <c r="G6" i="20"/>
  <c r="H6" i="20"/>
  <c r="I6" i="20"/>
  <c r="J6" i="20"/>
  <c r="K6" i="20"/>
  <c r="L6" i="20"/>
  <c r="M6" i="20"/>
  <c r="N6" i="20"/>
  <c r="O6" i="20"/>
  <c r="P6" i="20"/>
  <c r="Q6" i="20"/>
  <c r="B7" i="20"/>
  <c r="D7" i="20"/>
  <c r="E7" i="20"/>
  <c r="G7" i="20"/>
  <c r="H7" i="20"/>
  <c r="I7" i="20"/>
  <c r="J7" i="20"/>
  <c r="K7" i="20"/>
  <c r="L7" i="20"/>
  <c r="M7" i="20"/>
  <c r="N7" i="20"/>
  <c r="O7" i="20"/>
  <c r="P7" i="20"/>
  <c r="Q7" i="20"/>
  <c r="D8" i="20"/>
  <c r="E8" i="20"/>
  <c r="F8" i="20"/>
  <c r="G8" i="20"/>
  <c r="H8" i="20"/>
  <c r="I8" i="20"/>
  <c r="J8" i="20"/>
  <c r="K8" i="20"/>
  <c r="L8" i="20"/>
  <c r="M8" i="20"/>
  <c r="N8" i="20"/>
  <c r="O8" i="20"/>
  <c r="P8" i="20"/>
  <c r="Q8" i="20"/>
  <c r="B9" i="20"/>
  <c r="D9" i="20"/>
  <c r="E9" i="20"/>
  <c r="F9" i="20"/>
  <c r="G9" i="20"/>
  <c r="H9" i="20"/>
  <c r="I9" i="20"/>
  <c r="J9" i="20"/>
  <c r="K9" i="20"/>
  <c r="M9" i="20"/>
  <c r="N9" i="20"/>
  <c r="O9" i="20"/>
  <c r="P9" i="20"/>
  <c r="Q9" i="20"/>
  <c r="E10" i="20"/>
  <c r="G10" i="20"/>
  <c r="H10" i="20"/>
  <c r="I10" i="20"/>
  <c r="J10" i="20"/>
  <c r="K10" i="20"/>
  <c r="L10" i="20"/>
  <c r="M10" i="20"/>
  <c r="N10" i="20"/>
  <c r="O10" i="20"/>
  <c r="P10" i="20"/>
  <c r="Q10" i="20"/>
  <c r="B11" i="20"/>
  <c r="C11" i="20" s="1"/>
  <c r="D11" i="20"/>
  <c r="E11" i="20"/>
  <c r="G11" i="20"/>
  <c r="H11" i="20"/>
  <c r="I11" i="20"/>
  <c r="J11" i="20"/>
  <c r="K11" i="20"/>
  <c r="L11" i="20"/>
  <c r="M11" i="20"/>
  <c r="N11" i="20"/>
  <c r="O11" i="20"/>
  <c r="P11" i="20"/>
  <c r="Q11" i="20"/>
  <c r="E12" i="20"/>
  <c r="F12" i="20"/>
  <c r="G12" i="20"/>
  <c r="H12" i="20"/>
  <c r="I12" i="20"/>
  <c r="J12" i="20"/>
  <c r="K12" i="20"/>
  <c r="L12" i="20"/>
  <c r="M12" i="20"/>
  <c r="N12" i="20"/>
  <c r="O12" i="20"/>
  <c r="P12" i="20"/>
  <c r="Q12" i="20"/>
  <c r="B13" i="20"/>
  <c r="C13" i="20" s="1"/>
  <c r="D13" i="20"/>
  <c r="E13" i="20"/>
  <c r="F13" i="20"/>
  <c r="G13" i="20"/>
  <c r="H13" i="20"/>
  <c r="I13" i="20"/>
  <c r="J13" i="20"/>
  <c r="K13" i="20"/>
  <c r="L13" i="20"/>
  <c r="M13" i="20"/>
  <c r="N13" i="20"/>
  <c r="O13" i="20"/>
  <c r="P13" i="20"/>
  <c r="Q13" i="20"/>
  <c r="D14" i="20"/>
  <c r="E14" i="20"/>
  <c r="F14" i="20"/>
  <c r="G14" i="20"/>
  <c r="H14" i="20"/>
  <c r="I14" i="20"/>
  <c r="J14" i="20"/>
  <c r="K14" i="20"/>
  <c r="L14" i="20"/>
  <c r="M14" i="20"/>
  <c r="N14" i="20"/>
  <c r="O14" i="20"/>
  <c r="P14" i="20"/>
  <c r="Q14" i="20"/>
  <c r="B15" i="20"/>
  <c r="C15" i="20" s="1"/>
  <c r="D15" i="20"/>
  <c r="E15" i="20"/>
  <c r="F15" i="20"/>
  <c r="G15" i="20"/>
  <c r="H15" i="20"/>
  <c r="I15" i="20"/>
  <c r="J15" i="20"/>
  <c r="K15" i="20"/>
  <c r="L15" i="20"/>
  <c r="M15" i="20"/>
  <c r="N15" i="20"/>
  <c r="O15" i="20"/>
  <c r="P15" i="20"/>
  <c r="Q15" i="20"/>
  <c r="E16" i="20"/>
  <c r="G16" i="20"/>
  <c r="H16" i="20"/>
  <c r="I16" i="20"/>
  <c r="J16" i="20"/>
  <c r="K16" i="20"/>
  <c r="L16" i="20"/>
  <c r="M16" i="20"/>
  <c r="N16" i="20"/>
  <c r="O16" i="20"/>
  <c r="P16" i="20"/>
  <c r="Q16" i="20"/>
  <c r="B17" i="20"/>
  <c r="D17" i="20"/>
  <c r="E17" i="20"/>
  <c r="G17" i="20"/>
  <c r="H17" i="20"/>
  <c r="I17" i="20"/>
  <c r="J17" i="20"/>
  <c r="K17" i="20"/>
  <c r="M17" i="20"/>
  <c r="N17" i="20"/>
  <c r="O17" i="20"/>
  <c r="P17" i="20"/>
  <c r="Q17" i="20"/>
  <c r="D18" i="20"/>
  <c r="E18" i="20"/>
  <c r="F18" i="20"/>
  <c r="G18" i="20"/>
  <c r="H18" i="20"/>
  <c r="I18" i="20"/>
  <c r="J18" i="20"/>
  <c r="K18" i="20"/>
  <c r="L18" i="20"/>
  <c r="M18" i="20"/>
  <c r="N18" i="20"/>
  <c r="O18" i="20"/>
  <c r="P18" i="20"/>
  <c r="Q18" i="20"/>
  <c r="B19" i="20"/>
  <c r="D19" i="20"/>
  <c r="E19" i="20"/>
  <c r="F19" i="20"/>
  <c r="G19" i="20"/>
  <c r="H19" i="20"/>
  <c r="I19" i="20"/>
  <c r="J19" i="20"/>
  <c r="K19" i="20"/>
  <c r="L19" i="20"/>
  <c r="M19" i="20"/>
  <c r="N19" i="20"/>
  <c r="O19" i="20"/>
  <c r="P19" i="20"/>
  <c r="Q19" i="20"/>
  <c r="E20" i="20"/>
  <c r="G20" i="20"/>
  <c r="H20" i="20"/>
  <c r="I20" i="20"/>
  <c r="J20" i="20"/>
  <c r="K20" i="20"/>
  <c r="L20" i="20"/>
  <c r="M20" i="20"/>
  <c r="N20" i="20"/>
  <c r="O20" i="20"/>
  <c r="P20" i="20"/>
  <c r="Q20" i="20"/>
  <c r="B21" i="20"/>
  <c r="C21" i="20" s="1"/>
  <c r="D21" i="20"/>
  <c r="E21" i="20"/>
  <c r="G21" i="20"/>
  <c r="H21" i="20"/>
  <c r="I21" i="20"/>
  <c r="J21" i="20"/>
  <c r="K21" i="20"/>
  <c r="L21" i="20"/>
  <c r="M21" i="20"/>
  <c r="N21" i="20"/>
  <c r="O21" i="20"/>
  <c r="P21" i="20"/>
  <c r="Q21" i="20"/>
  <c r="E22" i="20"/>
  <c r="F22" i="20"/>
  <c r="G22" i="20"/>
  <c r="H22" i="20"/>
  <c r="I22" i="20"/>
  <c r="J22" i="20"/>
  <c r="K22" i="20"/>
  <c r="L22" i="20"/>
  <c r="M22" i="20"/>
  <c r="N22" i="20"/>
  <c r="O22" i="20"/>
  <c r="P22" i="20"/>
  <c r="Q22" i="20"/>
  <c r="B23" i="20"/>
  <c r="D23" i="20"/>
  <c r="E23" i="20"/>
  <c r="F23" i="20"/>
  <c r="G23" i="20"/>
  <c r="H23" i="20"/>
  <c r="I23" i="20"/>
  <c r="J23" i="20"/>
  <c r="K23" i="20"/>
  <c r="L23" i="20"/>
  <c r="M23" i="20"/>
  <c r="N23" i="20"/>
  <c r="O23" i="20"/>
  <c r="P23" i="20"/>
  <c r="Q23" i="20"/>
  <c r="D24" i="20"/>
  <c r="E24" i="20"/>
  <c r="F24" i="20"/>
  <c r="G24" i="20"/>
  <c r="H24" i="20"/>
  <c r="I24" i="20"/>
  <c r="J24" i="20"/>
  <c r="K24" i="20"/>
  <c r="L24" i="20"/>
  <c r="M24" i="20"/>
  <c r="N24" i="20"/>
  <c r="O24" i="20"/>
  <c r="P24" i="20"/>
  <c r="Q24" i="20"/>
  <c r="B25" i="20"/>
  <c r="D25" i="20"/>
  <c r="E25" i="20"/>
  <c r="F25" i="20"/>
  <c r="G25" i="20"/>
  <c r="H25" i="20"/>
  <c r="I25" i="20"/>
  <c r="J25" i="20"/>
  <c r="K25" i="20"/>
  <c r="M25" i="20"/>
  <c r="N25" i="20"/>
  <c r="O25" i="20"/>
  <c r="P25" i="20"/>
  <c r="Q25" i="20"/>
  <c r="E26" i="20"/>
  <c r="G26" i="20"/>
  <c r="H26" i="20"/>
  <c r="I26" i="20"/>
  <c r="J26" i="20"/>
  <c r="K26" i="20"/>
  <c r="L26" i="20"/>
  <c r="M26" i="20"/>
  <c r="N26" i="20"/>
  <c r="O26" i="20"/>
  <c r="P26" i="20"/>
  <c r="Q26" i="20"/>
  <c r="B27" i="20"/>
  <c r="C27" i="20" s="1"/>
  <c r="D27" i="20"/>
  <c r="E27" i="20"/>
  <c r="G27" i="20"/>
  <c r="H27" i="20"/>
  <c r="I27" i="20"/>
  <c r="J27" i="20"/>
  <c r="K27" i="20"/>
  <c r="L27" i="20"/>
  <c r="M27" i="20"/>
  <c r="N27" i="20"/>
  <c r="O27" i="20"/>
  <c r="P27" i="20"/>
  <c r="Q27" i="20"/>
  <c r="Q2" i="20"/>
  <c r="P2" i="20"/>
  <c r="O2" i="20"/>
  <c r="N2" i="20"/>
  <c r="M2" i="20"/>
  <c r="L2" i="20"/>
  <c r="K2" i="20"/>
  <c r="J2" i="20"/>
  <c r="I2" i="20"/>
  <c r="H2" i="20"/>
  <c r="G2" i="20"/>
  <c r="F2" i="20"/>
  <c r="E2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A4" i="20"/>
  <c r="A3" i="20"/>
  <c r="A2" i="20"/>
  <c r="C25" i="20" l="1"/>
  <c r="C19" i="20"/>
  <c r="C9" i="20"/>
  <c r="C14" i="20"/>
  <c r="C23" i="20"/>
  <c r="C8" i="20"/>
  <c r="C24" i="20"/>
  <c r="C17" i="20"/>
  <c r="C7" i="20"/>
  <c r="C2" i="20"/>
  <c r="C10" i="20"/>
  <c r="C18" i="20"/>
  <c r="B3" i="19"/>
  <c r="C3" i="19" s="1"/>
  <c r="D3" i="19"/>
  <c r="E3" i="19"/>
  <c r="F3" i="19"/>
  <c r="G3" i="19"/>
  <c r="H3" i="19"/>
  <c r="I3" i="19"/>
  <c r="J3" i="19"/>
  <c r="K3" i="19"/>
  <c r="L3" i="19"/>
  <c r="M3" i="19"/>
  <c r="N3" i="19"/>
  <c r="O3" i="19"/>
  <c r="P3" i="19"/>
  <c r="Q3" i="19"/>
  <c r="B4" i="19"/>
  <c r="D4" i="19"/>
  <c r="E4" i="19"/>
  <c r="F4" i="19"/>
  <c r="G4" i="19"/>
  <c r="H4" i="19"/>
  <c r="I4" i="19"/>
  <c r="J4" i="19"/>
  <c r="K4" i="19"/>
  <c r="L4" i="19"/>
  <c r="M4" i="19"/>
  <c r="N4" i="19"/>
  <c r="O4" i="19"/>
  <c r="P4" i="19"/>
  <c r="Q4" i="19"/>
  <c r="B5" i="19"/>
  <c r="D5" i="19"/>
  <c r="E5" i="19"/>
  <c r="F5" i="19"/>
  <c r="G5" i="19"/>
  <c r="H5" i="19"/>
  <c r="I5" i="19"/>
  <c r="J5" i="19"/>
  <c r="K5" i="19"/>
  <c r="L5" i="19"/>
  <c r="M5" i="19"/>
  <c r="N5" i="19"/>
  <c r="O5" i="19"/>
  <c r="P5" i="19"/>
  <c r="Q5" i="19"/>
  <c r="B6" i="19"/>
  <c r="D6" i="19"/>
  <c r="E6" i="19"/>
  <c r="F6" i="19"/>
  <c r="G6" i="19"/>
  <c r="H6" i="19"/>
  <c r="I6" i="19"/>
  <c r="J6" i="19"/>
  <c r="K6" i="19"/>
  <c r="L6" i="19"/>
  <c r="M6" i="19"/>
  <c r="N6" i="19"/>
  <c r="O6" i="19"/>
  <c r="P6" i="19"/>
  <c r="Q6" i="19"/>
  <c r="B7" i="19"/>
  <c r="D7" i="19"/>
  <c r="E7" i="19"/>
  <c r="F7" i="19"/>
  <c r="G7" i="19"/>
  <c r="H7" i="19"/>
  <c r="I7" i="19"/>
  <c r="J7" i="19"/>
  <c r="K7" i="19"/>
  <c r="L7" i="19"/>
  <c r="M7" i="19"/>
  <c r="N7" i="19"/>
  <c r="O7" i="19"/>
  <c r="P7" i="19"/>
  <c r="Q7" i="19"/>
  <c r="B8" i="19"/>
  <c r="C8" i="19" s="1"/>
  <c r="D8" i="19"/>
  <c r="E8" i="19"/>
  <c r="F8" i="19"/>
  <c r="G8" i="19"/>
  <c r="H8" i="19"/>
  <c r="I8" i="19"/>
  <c r="J8" i="19"/>
  <c r="K8" i="19"/>
  <c r="L8" i="19"/>
  <c r="M8" i="19"/>
  <c r="N8" i="19"/>
  <c r="O8" i="19"/>
  <c r="P8" i="19"/>
  <c r="Q8" i="19"/>
  <c r="B9" i="19"/>
  <c r="D9" i="19"/>
  <c r="E9" i="19"/>
  <c r="F9" i="19"/>
  <c r="G9" i="19"/>
  <c r="H9" i="19"/>
  <c r="I9" i="19"/>
  <c r="J9" i="19"/>
  <c r="K9" i="19"/>
  <c r="L9" i="19"/>
  <c r="M9" i="19"/>
  <c r="N9" i="19"/>
  <c r="O9" i="19"/>
  <c r="P9" i="19"/>
  <c r="Q9" i="19"/>
  <c r="B10" i="19"/>
  <c r="D10" i="19"/>
  <c r="E10" i="19"/>
  <c r="F10" i="19"/>
  <c r="G10" i="19"/>
  <c r="H10" i="19"/>
  <c r="I10" i="19"/>
  <c r="J10" i="19"/>
  <c r="K10" i="19"/>
  <c r="L10" i="19"/>
  <c r="M10" i="19"/>
  <c r="N10" i="19"/>
  <c r="O10" i="19"/>
  <c r="P10" i="19"/>
  <c r="Q10" i="19"/>
  <c r="B11" i="19"/>
  <c r="C11" i="19" s="1"/>
  <c r="D11" i="19"/>
  <c r="E11" i="19"/>
  <c r="F11" i="19"/>
  <c r="G11" i="19"/>
  <c r="H11" i="19"/>
  <c r="I11" i="19"/>
  <c r="J11" i="19"/>
  <c r="K11" i="19"/>
  <c r="L11" i="19"/>
  <c r="M11" i="19"/>
  <c r="N11" i="19"/>
  <c r="O11" i="19"/>
  <c r="P11" i="19"/>
  <c r="Q11" i="19"/>
  <c r="B12" i="19"/>
  <c r="D12" i="19"/>
  <c r="E12" i="19"/>
  <c r="F12" i="19"/>
  <c r="G12" i="19"/>
  <c r="H12" i="19"/>
  <c r="I12" i="19"/>
  <c r="J12" i="19"/>
  <c r="K12" i="19"/>
  <c r="L12" i="19"/>
  <c r="M12" i="19"/>
  <c r="N12" i="19"/>
  <c r="O12" i="19"/>
  <c r="P12" i="19"/>
  <c r="Q12" i="19"/>
  <c r="B13" i="19"/>
  <c r="D13" i="19"/>
  <c r="E13" i="19"/>
  <c r="F13" i="19"/>
  <c r="G13" i="19"/>
  <c r="H13" i="19"/>
  <c r="I13" i="19"/>
  <c r="J13" i="19"/>
  <c r="K13" i="19"/>
  <c r="L13" i="19"/>
  <c r="M13" i="19"/>
  <c r="N13" i="19"/>
  <c r="O13" i="19"/>
  <c r="P13" i="19"/>
  <c r="Q13" i="19"/>
  <c r="B14" i="19"/>
  <c r="D14" i="19"/>
  <c r="E14" i="19"/>
  <c r="F14" i="19"/>
  <c r="G14" i="19"/>
  <c r="H14" i="19"/>
  <c r="I14" i="19"/>
  <c r="J14" i="19"/>
  <c r="K14" i="19"/>
  <c r="L14" i="19"/>
  <c r="M14" i="19"/>
  <c r="N14" i="19"/>
  <c r="O14" i="19"/>
  <c r="P14" i="19"/>
  <c r="Q14" i="19"/>
  <c r="B15" i="19"/>
  <c r="D15" i="19"/>
  <c r="E15" i="19"/>
  <c r="F15" i="19"/>
  <c r="G15" i="19"/>
  <c r="H15" i="19"/>
  <c r="I15" i="19"/>
  <c r="J15" i="19"/>
  <c r="K15" i="19"/>
  <c r="L15" i="19"/>
  <c r="M15" i="19"/>
  <c r="N15" i="19"/>
  <c r="O15" i="19"/>
  <c r="P15" i="19"/>
  <c r="Q15" i="19"/>
  <c r="B16" i="19"/>
  <c r="C16" i="19" s="1"/>
  <c r="D16" i="19"/>
  <c r="E16" i="19"/>
  <c r="F16" i="19"/>
  <c r="G16" i="19"/>
  <c r="H16" i="19"/>
  <c r="I16" i="19"/>
  <c r="J16" i="19"/>
  <c r="K16" i="19"/>
  <c r="L16" i="19"/>
  <c r="M16" i="19"/>
  <c r="N16" i="19"/>
  <c r="O16" i="19"/>
  <c r="P16" i="19"/>
  <c r="Q16" i="19"/>
  <c r="B17" i="19"/>
  <c r="D17" i="19"/>
  <c r="E17" i="19"/>
  <c r="F17" i="19"/>
  <c r="G17" i="19"/>
  <c r="H17" i="19"/>
  <c r="I17" i="19"/>
  <c r="J17" i="19"/>
  <c r="K17" i="19"/>
  <c r="L17" i="19"/>
  <c r="M17" i="19"/>
  <c r="N17" i="19"/>
  <c r="O17" i="19"/>
  <c r="P17" i="19"/>
  <c r="Q17" i="19"/>
  <c r="B18" i="19"/>
  <c r="D18" i="19"/>
  <c r="E18" i="19"/>
  <c r="F18" i="19"/>
  <c r="G18" i="19"/>
  <c r="H18" i="19"/>
  <c r="I18" i="19"/>
  <c r="J18" i="19"/>
  <c r="K18" i="19"/>
  <c r="L18" i="19"/>
  <c r="M18" i="19"/>
  <c r="N18" i="19"/>
  <c r="O18" i="19"/>
  <c r="P18" i="19"/>
  <c r="Q18" i="19"/>
  <c r="B19" i="19"/>
  <c r="C19" i="19" s="1"/>
  <c r="D19" i="19"/>
  <c r="E19" i="19"/>
  <c r="F19" i="19"/>
  <c r="G19" i="19"/>
  <c r="H19" i="19"/>
  <c r="I19" i="19"/>
  <c r="J19" i="19"/>
  <c r="K19" i="19"/>
  <c r="L19" i="19"/>
  <c r="M19" i="19"/>
  <c r="N19" i="19"/>
  <c r="O19" i="19"/>
  <c r="P19" i="19"/>
  <c r="Q19" i="19"/>
  <c r="B20" i="19"/>
  <c r="D20" i="19"/>
  <c r="E20" i="19"/>
  <c r="F20" i="19"/>
  <c r="G20" i="19"/>
  <c r="H20" i="19"/>
  <c r="I20" i="19"/>
  <c r="J20" i="19"/>
  <c r="K20" i="19"/>
  <c r="L20" i="19"/>
  <c r="M20" i="19"/>
  <c r="N20" i="19"/>
  <c r="O20" i="19"/>
  <c r="P20" i="19"/>
  <c r="Q20" i="19"/>
  <c r="B21" i="19"/>
  <c r="D21" i="19"/>
  <c r="E21" i="19"/>
  <c r="F21" i="19"/>
  <c r="G21" i="19"/>
  <c r="H21" i="19"/>
  <c r="I21" i="19"/>
  <c r="J21" i="19"/>
  <c r="K21" i="19"/>
  <c r="L21" i="19"/>
  <c r="M21" i="19"/>
  <c r="N21" i="19"/>
  <c r="O21" i="19"/>
  <c r="P21" i="19"/>
  <c r="Q21" i="19"/>
  <c r="B22" i="19"/>
  <c r="D22" i="19"/>
  <c r="E22" i="19"/>
  <c r="F22" i="19"/>
  <c r="G22" i="19"/>
  <c r="H22" i="19"/>
  <c r="I22" i="19"/>
  <c r="J22" i="19"/>
  <c r="K22" i="19"/>
  <c r="L22" i="19"/>
  <c r="M22" i="19"/>
  <c r="N22" i="19"/>
  <c r="O22" i="19"/>
  <c r="P22" i="19"/>
  <c r="Q22" i="19"/>
  <c r="B23" i="19"/>
  <c r="D23" i="19"/>
  <c r="E23" i="19"/>
  <c r="F23" i="19"/>
  <c r="G23" i="19"/>
  <c r="H23" i="19"/>
  <c r="I23" i="19"/>
  <c r="J23" i="19"/>
  <c r="K23" i="19"/>
  <c r="L23" i="19"/>
  <c r="M23" i="19"/>
  <c r="N23" i="19"/>
  <c r="O23" i="19"/>
  <c r="P23" i="19"/>
  <c r="Q23" i="19"/>
  <c r="B24" i="19"/>
  <c r="C24" i="19" s="1"/>
  <c r="D24" i="19"/>
  <c r="E24" i="19"/>
  <c r="F24" i="19"/>
  <c r="G24" i="19"/>
  <c r="H24" i="19"/>
  <c r="I24" i="19"/>
  <c r="J24" i="19"/>
  <c r="K24" i="19"/>
  <c r="L24" i="19"/>
  <c r="M24" i="19"/>
  <c r="N24" i="19"/>
  <c r="O24" i="19"/>
  <c r="P24" i="19"/>
  <c r="Q24" i="19"/>
  <c r="B25" i="19"/>
  <c r="D25" i="19"/>
  <c r="E25" i="19"/>
  <c r="F25" i="19"/>
  <c r="G25" i="19"/>
  <c r="H25" i="19"/>
  <c r="I25" i="19"/>
  <c r="J25" i="19"/>
  <c r="K25" i="19"/>
  <c r="L25" i="19"/>
  <c r="M25" i="19"/>
  <c r="N25" i="19"/>
  <c r="O25" i="19"/>
  <c r="P25" i="19"/>
  <c r="Q25" i="19"/>
  <c r="B26" i="19"/>
  <c r="D26" i="19"/>
  <c r="E26" i="19"/>
  <c r="F26" i="19"/>
  <c r="G26" i="19"/>
  <c r="H26" i="19"/>
  <c r="I26" i="19"/>
  <c r="J26" i="19"/>
  <c r="K26" i="19"/>
  <c r="L26" i="19"/>
  <c r="M26" i="19"/>
  <c r="N26" i="19"/>
  <c r="O26" i="19"/>
  <c r="P26" i="19"/>
  <c r="Q26" i="19"/>
  <c r="B27" i="19"/>
  <c r="C27" i="19" s="1"/>
  <c r="D27" i="19"/>
  <c r="E27" i="19"/>
  <c r="F27" i="19"/>
  <c r="G27" i="19"/>
  <c r="H27" i="19"/>
  <c r="I27" i="19"/>
  <c r="J27" i="19"/>
  <c r="K27" i="19"/>
  <c r="L27" i="19"/>
  <c r="M27" i="19"/>
  <c r="N27" i="19"/>
  <c r="O27" i="19"/>
  <c r="P27" i="19"/>
  <c r="Q27" i="19"/>
  <c r="Q2" i="19"/>
  <c r="P2" i="19"/>
  <c r="O2" i="19"/>
  <c r="N2" i="19"/>
  <c r="L2" i="19"/>
  <c r="M2" i="19"/>
  <c r="K2" i="19"/>
  <c r="J2" i="19"/>
  <c r="I2" i="19"/>
  <c r="H2" i="19"/>
  <c r="G2" i="19"/>
  <c r="F2" i="19"/>
  <c r="E2" i="19"/>
  <c r="D2" i="19"/>
  <c r="B2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7" i="19"/>
  <c r="A6" i="19"/>
  <c r="A5" i="19"/>
  <c r="A4" i="19"/>
  <c r="A3" i="19"/>
  <c r="A2" i="19"/>
  <c r="B3" i="18"/>
  <c r="C3" i="18" s="1"/>
  <c r="D3" i="18"/>
  <c r="E3" i="18"/>
  <c r="F3" i="18"/>
  <c r="G3" i="18"/>
  <c r="H3" i="18"/>
  <c r="I3" i="18"/>
  <c r="J3" i="18"/>
  <c r="K3" i="18"/>
  <c r="L3" i="18"/>
  <c r="M3" i="18"/>
  <c r="N3" i="18"/>
  <c r="O3" i="18"/>
  <c r="P3" i="18"/>
  <c r="Q3" i="18"/>
  <c r="B4" i="18"/>
  <c r="D4" i="18"/>
  <c r="E4" i="18"/>
  <c r="F4" i="18"/>
  <c r="G4" i="18"/>
  <c r="H4" i="18"/>
  <c r="I4" i="18"/>
  <c r="J4" i="18"/>
  <c r="K4" i="18"/>
  <c r="L4" i="18"/>
  <c r="M4" i="18"/>
  <c r="N4" i="18"/>
  <c r="O4" i="18"/>
  <c r="P4" i="18"/>
  <c r="Q4" i="18"/>
  <c r="B5" i="18"/>
  <c r="D5" i="18"/>
  <c r="E5" i="18"/>
  <c r="F5" i="18"/>
  <c r="G5" i="18"/>
  <c r="H5" i="18"/>
  <c r="I5" i="18"/>
  <c r="J5" i="18"/>
  <c r="K5" i="18"/>
  <c r="L5" i="18"/>
  <c r="M5" i="18"/>
  <c r="N5" i="18"/>
  <c r="O5" i="18"/>
  <c r="P5" i="18"/>
  <c r="Q5" i="18"/>
  <c r="B6" i="18"/>
  <c r="D6" i="18"/>
  <c r="E6" i="18"/>
  <c r="F6" i="18"/>
  <c r="G6" i="18"/>
  <c r="H6" i="18"/>
  <c r="I6" i="18"/>
  <c r="J6" i="18"/>
  <c r="K6" i="18"/>
  <c r="L6" i="18"/>
  <c r="M6" i="18"/>
  <c r="N6" i="18"/>
  <c r="O6" i="18"/>
  <c r="P6" i="18"/>
  <c r="Q6" i="18"/>
  <c r="B7" i="18"/>
  <c r="D7" i="18"/>
  <c r="E7" i="18"/>
  <c r="F7" i="18"/>
  <c r="G7" i="18"/>
  <c r="H7" i="18"/>
  <c r="I7" i="18"/>
  <c r="J7" i="18"/>
  <c r="K7" i="18"/>
  <c r="L7" i="18"/>
  <c r="M7" i="18"/>
  <c r="N7" i="18"/>
  <c r="O7" i="18"/>
  <c r="P7" i="18"/>
  <c r="Q7" i="18"/>
  <c r="B8" i="18"/>
  <c r="C8" i="18" s="1"/>
  <c r="D8" i="18"/>
  <c r="E8" i="18"/>
  <c r="F8" i="18"/>
  <c r="G8" i="18"/>
  <c r="H8" i="18"/>
  <c r="I8" i="18"/>
  <c r="J8" i="18"/>
  <c r="K8" i="18"/>
  <c r="L8" i="18"/>
  <c r="M8" i="18"/>
  <c r="N8" i="18"/>
  <c r="O8" i="18"/>
  <c r="P8" i="18"/>
  <c r="Q8" i="18"/>
  <c r="B9" i="18"/>
  <c r="D9" i="18"/>
  <c r="E9" i="18"/>
  <c r="F9" i="18"/>
  <c r="G9" i="18"/>
  <c r="H9" i="18"/>
  <c r="I9" i="18"/>
  <c r="J9" i="18"/>
  <c r="K9" i="18"/>
  <c r="L9" i="18"/>
  <c r="M9" i="18"/>
  <c r="N9" i="18"/>
  <c r="O9" i="18"/>
  <c r="P9" i="18"/>
  <c r="Q9" i="18"/>
  <c r="B10" i="18"/>
  <c r="D10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Q10" i="18"/>
  <c r="B11" i="18"/>
  <c r="C11" i="18" s="1"/>
  <c r="D11" i="18"/>
  <c r="E11" i="18"/>
  <c r="F11" i="18"/>
  <c r="G11" i="18"/>
  <c r="H11" i="18"/>
  <c r="I11" i="18"/>
  <c r="J11" i="18"/>
  <c r="K11" i="18"/>
  <c r="L11" i="18"/>
  <c r="M11" i="18"/>
  <c r="N11" i="18"/>
  <c r="O11" i="18"/>
  <c r="P11" i="18"/>
  <c r="Q11" i="18"/>
  <c r="B12" i="18"/>
  <c r="D12" i="18"/>
  <c r="E12" i="18"/>
  <c r="F12" i="18"/>
  <c r="G12" i="18"/>
  <c r="H12" i="18"/>
  <c r="I12" i="18"/>
  <c r="J12" i="18"/>
  <c r="K12" i="18"/>
  <c r="L12" i="18"/>
  <c r="M12" i="18"/>
  <c r="N12" i="18"/>
  <c r="O12" i="18"/>
  <c r="P12" i="18"/>
  <c r="Q12" i="18"/>
  <c r="B13" i="18"/>
  <c r="D13" i="18"/>
  <c r="E13" i="18"/>
  <c r="F13" i="18"/>
  <c r="G13" i="18"/>
  <c r="H13" i="18"/>
  <c r="I13" i="18"/>
  <c r="J13" i="18"/>
  <c r="K13" i="18"/>
  <c r="L13" i="18"/>
  <c r="M13" i="18"/>
  <c r="N13" i="18"/>
  <c r="O13" i="18"/>
  <c r="P13" i="18"/>
  <c r="Q13" i="18"/>
  <c r="B14" i="18"/>
  <c r="D14" i="18"/>
  <c r="E14" i="18"/>
  <c r="F14" i="18"/>
  <c r="G14" i="18"/>
  <c r="H14" i="18"/>
  <c r="I14" i="18"/>
  <c r="J14" i="18"/>
  <c r="K14" i="18"/>
  <c r="L14" i="18"/>
  <c r="M14" i="18"/>
  <c r="N14" i="18"/>
  <c r="O14" i="18"/>
  <c r="P14" i="18"/>
  <c r="Q14" i="18"/>
  <c r="B15" i="18"/>
  <c r="D15" i="18"/>
  <c r="E15" i="18"/>
  <c r="F15" i="18"/>
  <c r="G15" i="18"/>
  <c r="H15" i="18"/>
  <c r="I15" i="18"/>
  <c r="J15" i="18"/>
  <c r="K15" i="18"/>
  <c r="L15" i="18"/>
  <c r="M15" i="18"/>
  <c r="N15" i="18"/>
  <c r="O15" i="18"/>
  <c r="P15" i="18"/>
  <c r="Q15" i="18"/>
  <c r="B16" i="18"/>
  <c r="C16" i="18" s="1"/>
  <c r="D16" i="18"/>
  <c r="E16" i="18"/>
  <c r="F16" i="18"/>
  <c r="G16" i="18"/>
  <c r="H16" i="18"/>
  <c r="I16" i="18"/>
  <c r="J16" i="18"/>
  <c r="K16" i="18"/>
  <c r="L16" i="18"/>
  <c r="M16" i="18"/>
  <c r="N16" i="18"/>
  <c r="O16" i="18"/>
  <c r="P16" i="18"/>
  <c r="Q16" i="18"/>
  <c r="B17" i="18"/>
  <c r="D17" i="18"/>
  <c r="E17" i="18"/>
  <c r="F17" i="18"/>
  <c r="G17" i="18"/>
  <c r="H17" i="18"/>
  <c r="I17" i="18"/>
  <c r="J17" i="18"/>
  <c r="K17" i="18"/>
  <c r="L17" i="18"/>
  <c r="M17" i="18"/>
  <c r="N17" i="18"/>
  <c r="O17" i="18"/>
  <c r="P17" i="18"/>
  <c r="Q17" i="18"/>
  <c r="B18" i="18"/>
  <c r="D18" i="18"/>
  <c r="E18" i="18"/>
  <c r="F18" i="18"/>
  <c r="G18" i="18"/>
  <c r="H18" i="18"/>
  <c r="I18" i="18"/>
  <c r="J18" i="18"/>
  <c r="K18" i="18"/>
  <c r="L18" i="18"/>
  <c r="M18" i="18"/>
  <c r="N18" i="18"/>
  <c r="O18" i="18"/>
  <c r="P18" i="18"/>
  <c r="Q18" i="18"/>
  <c r="B19" i="18"/>
  <c r="C19" i="18" s="1"/>
  <c r="D19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B20" i="18"/>
  <c r="D20" i="18"/>
  <c r="E20" i="18"/>
  <c r="F20" i="18"/>
  <c r="G20" i="18"/>
  <c r="H20" i="18"/>
  <c r="I20" i="18"/>
  <c r="J20" i="18"/>
  <c r="K20" i="18"/>
  <c r="L20" i="18"/>
  <c r="M20" i="18"/>
  <c r="N20" i="18"/>
  <c r="O20" i="18"/>
  <c r="P20" i="18"/>
  <c r="Q20" i="18"/>
  <c r="B21" i="18"/>
  <c r="D21" i="18"/>
  <c r="E21" i="18"/>
  <c r="F21" i="18"/>
  <c r="G21" i="18"/>
  <c r="H21" i="18"/>
  <c r="I21" i="18"/>
  <c r="J21" i="18"/>
  <c r="K21" i="18"/>
  <c r="L21" i="18"/>
  <c r="M21" i="18"/>
  <c r="N21" i="18"/>
  <c r="O21" i="18"/>
  <c r="P21" i="18"/>
  <c r="Q21" i="18"/>
  <c r="B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P22" i="18"/>
  <c r="Q22" i="18"/>
  <c r="B23" i="18"/>
  <c r="D23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B24" i="18"/>
  <c r="C24" i="18" s="1"/>
  <c r="D24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B25" i="18"/>
  <c r="D25" i="18"/>
  <c r="E25" i="18"/>
  <c r="F25" i="18"/>
  <c r="G25" i="18"/>
  <c r="H25" i="18"/>
  <c r="I25" i="18"/>
  <c r="J25" i="18"/>
  <c r="K25" i="18"/>
  <c r="L25" i="18"/>
  <c r="M25" i="18"/>
  <c r="N25" i="18"/>
  <c r="O25" i="18"/>
  <c r="P25" i="18"/>
  <c r="Q25" i="18"/>
  <c r="B26" i="18"/>
  <c r="D26" i="18"/>
  <c r="E26" i="18"/>
  <c r="F26" i="18"/>
  <c r="G26" i="18"/>
  <c r="H26" i="18"/>
  <c r="I26" i="18"/>
  <c r="J26" i="18"/>
  <c r="K26" i="18"/>
  <c r="L26" i="18"/>
  <c r="M26" i="18"/>
  <c r="N26" i="18"/>
  <c r="O26" i="18"/>
  <c r="P26" i="18"/>
  <c r="Q26" i="18"/>
  <c r="B27" i="18"/>
  <c r="C27" i="18" s="1"/>
  <c r="D27" i="18"/>
  <c r="E27" i="18"/>
  <c r="F27" i="18"/>
  <c r="G27" i="18"/>
  <c r="H27" i="18"/>
  <c r="I27" i="18"/>
  <c r="J27" i="18"/>
  <c r="K27" i="18"/>
  <c r="L27" i="18"/>
  <c r="M27" i="18"/>
  <c r="N27" i="18"/>
  <c r="O27" i="18"/>
  <c r="P27" i="18"/>
  <c r="Q27" i="18"/>
  <c r="Q2" i="18"/>
  <c r="P2" i="18"/>
  <c r="O2" i="18"/>
  <c r="N2" i="18"/>
  <c r="M2" i="18"/>
  <c r="L2" i="18"/>
  <c r="K2" i="18"/>
  <c r="J2" i="18"/>
  <c r="I2" i="18"/>
  <c r="H2" i="18"/>
  <c r="G2" i="18"/>
  <c r="F2" i="18"/>
  <c r="E2" i="18"/>
  <c r="D2" i="18"/>
  <c r="B2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  <c r="A3" i="18"/>
  <c r="A2" i="18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B2" i="1"/>
  <c r="B3" i="1"/>
  <c r="C3" i="1" s="1"/>
  <c r="B4" i="1"/>
  <c r="C4" i="1" s="1"/>
  <c r="B5" i="1"/>
  <c r="C5" i="1" s="1"/>
  <c r="B6" i="1"/>
  <c r="B7" i="1"/>
  <c r="C7" i="1" s="1"/>
  <c r="B8" i="1"/>
  <c r="C8" i="1" s="1"/>
  <c r="B9" i="1"/>
  <c r="C9" i="1" s="1"/>
  <c r="B10" i="1"/>
  <c r="B11" i="1"/>
  <c r="C11" i="1" s="1"/>
  <c r="B12" i="1"/>
  <c r="C12" i="1" s="1"/>
  <c r="B13" i="1"/>
  <c r="C13" i="1" s="1"/>
  <c r="B14" i="1"/>
  <c r="B15" i="1"/>
  <c r="B16" i="1"/>
  <c r="C16" i="1" s="1"/>
  <c r="B17" i="1"/>
  <c r="C17" i="1" s="1"/>
  <c r="B18" i="1"/>
  <c r="B19" i="1"/>
  <c r="B20" i="1"/>
  <c r="C20" i="1" s="1"/>
  <c r="B21" i="1"/>
  <c r="C21" i="1" s="1"/>
  <c r="B22" i="1"/>
  <c r="B23" i="1"/>
  <c r="B24" i="1"/>
  <c r="C24" i="1" s="1"/>
  <c r="B25" i="1"/>
  <c r="C25" i="1" s="1"/>
  <c r="B26" i="1"/>
  <c r="B27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" i="1"/>
  <c r="C9" i="18" l="1"/>
  <c r="C23" i="1"/>
  <c r="C15" i="1"/>
  <c r="C26" i="18"/>
  <c r="C18" i="18"/>
  <c r="C10" i="18"/>
  <c r="C26" i="19"/>
  <c r="C18" i="19"/>
  <c r="C10" i="19"/>
  <c r="C25" i="19"/>
  <c r="C22" i="1"/>
  <c r="C20" i="18"/>
  <c r="C12" i="18"/>
  <c r="C4" i="18"/>
  <c r="C20" i="19"/>
  <c r="C12" i="19"/>
  <c r="C4" i="19"/>
  <c r="C25" i="18"/>
  <c r="C21" i="18"/>
  <c r="C13" i="18"/>
  <c r="C5" i="18"/>
  <c r="C21" i="19"/>
  <c r="C13" i="19"/>
  <c r="C5" i="19"/>
  <c r="C17" i="18"/>
  <c r="C17" i="19"/>
  <c r="C9" i="19"/>
  <c r="C14" i="1"/>
  <c r="C27" i="1"/>
  <c r="C19" i="1"/>
  <c r="C2" i="18"/>
  <c r="C22" i="18"/>
  <c r="C14" i="18"/>
  <c r="C6" i="18"/>
  <c r="C2" i="19"/>
  <c r="C22" i="19"/>
  <c r="C14" i="19"/>
  <c r="C6" i="19"/>
  <c r="C6" i="1"/>
  <c r="C26" i="1"/>
  <c r="C18" i="1"/>
  <c r="C10" i="1"/>
  <c r="C2" i="1"/>
  <c r="C23" i="18"/>
  <c r="C15" i="18"/>
  <c r="C7" i="18"/>
  <c r="C23" i="19"/>
  <c r="C15" i="19"/>
  <c r="C7" i="19"/>
</calcChain>
</file>

<file path=xl/sharedStrings.xml><?xml version="1.0" encoding="utf-8"?>
<sst xmlns="http://schemas.openxmlformats.org/spreadsheetml/2006/main" count="192" uniqueCount="12">
  <si>
    <t>VCELL(apparatus 6)</t>
  </si>
  <si>
    <t>Gross energy efficiency</t>
  </si>
  <si>
    <t>Net energy efficiency</t>
  </si>
  <si>
    <t>Heat energy efficiency</t>
  </si>
  <si>
    <t>Total energy efficiency</t>
  </si>
  <si>
    <t>Gross exergy efficiency</t>
  </si>
  <si>
    <t>Net exergy efficiency</t>
  </si>
  <si>
    <t>Heat exergy efficiency</t>
  </si>
  <si>
    <t>Total exergy efficiency</t>
  </si>
  <si>
    <t>SOFC_AC_power</t>
  </si>
  <si>
    <t>SOFC_U_O</t>
  </si>
  <si>
    <t>SOFC_i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</si>
</sst>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C2" sqref="C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0.7'!$B2</f>
        <v>36.826626509999997</v>
      </c>
      <c r="C2" s="15">
        <f>(B2+D2)/2</f>
        <v>37.352721174999999</v>
      </c>
      <c r="D2" s="15">
        <f>'FU 0.72'!$B2</f>
        <v>37.878815840000001</v>
      </c>
      <c r="E2" s="15">
        <f>'FU 0.73'!$B2</f>
        <v>38.4049105</v>
      </c>
      <c r="F2" s="15">
        <f>'FU 0.74'!$B2</f>
        <v>38.931005159999998</v>
      </c>
      <c r="G2" s="15">
        <f>'FU 0.75'!$B2</f>
        <v>39.457099829999997</v>
      </c>
      <c r="H2" s="15">
        <f>'FU 0.76'!$B2</f>
        <v>39.983194490000002</v>
      </c>
      <c r="I2" s="15">
        <f>'FU 0.77'!$B2</f>
        <v>40.509289160000002</v>
      </c>
      <c r="J2" s="15">
        <f>'FU 0.78'!$B2</f>
        <v>41.03538382</v>
      </c>
      <c r="K2" s="15">
        <f>'FU 0.79'!$B2</f>
        <v>41.561478489999999</v>
      </c>
      <c r="L2" s="15">
        <f>'FU 0.8'!$B2</f>
        <v>42.087573149999997</v>
      </c>
      <c r="M2" s="15">
        <f>'FU 0.81'!$B2</f>
        <v>42.613667810000003</v>
      </c>
      <c r="N2" s="15">
        <f>'FU 0.82'!$B2</f>
        <v>43.139762480000002</v>
      </c>
      <c r="O2" s="15">
        <f>'FU 0.83'!$B2</f>
        <v>43.66585714</v>
      </c>
      <c r="P2" s="15">
        <f>'FU 0.84'!$B2</f>
        <v>44.191951809999999</v>
      </c>
      <c r="Q2" s="15">
        <f>'FU 0.85'!$B2</f>
        <v>44.718046469999997</v>
      </c>
    </row>
    <row r="3" spans="1:17" x14ac:dyDescent="0.25">
      <c r="A3">
        <f>'FU 0.7'!A3</f>
        <v>0.61</v>
      </c>
      <c r="B3" s="15">
        <f>'FU 0.7'!$B3</f>
        <v>37.440403619999998</v>
      </c>
      <c r="C3" s="15">
        <f t="shared" ref="C3:C27" si="0">(B3+D3)/2</f>
        <v>37.975266524999995</v>
      </c>
      <c r="D3" s="15">
        <f>'FU 0.72'!$B3</f>
        <v>38.510129429999999</v>
      </c>
      <c r="E3" s="15">
        <f>'FU 0.73'!$B3</f>
        <v>39.04499234</v>
      </c>
      <c r="F3" s="15">
        <f>'FU 0.74'!$B3</f>
        <v>39.579855250000001</v>
      </c>
      <c r="G3" s="15">
        <f>'FU 0.75'!$B3</f>
        <v>40.114718160000002</v>
      </c>
      <c r="H3" s="15">
        <f>'FU 0.76'!$B3</f>
        <v>40.649581070000004</v>
      </c>
      <c r="I3" s="15">
        <f>'FU 0.77'!$B3</f>
        <v>41.184443979999998</v>
      </c>
      <c r="J3" s="15">
        <f>'FU 0.78'!$B3</f>
        <v>41.719306889999999</v>
      </c>
      <c r="K3" s="15">
        <f>'FU 0.79'!$B3</f>
        <v>42.254169789999999</v>
      </c>
      <c r="L3" s="15">
        <f>'FU 0.8'!$B3</f>
        <v>42.7890327</v>
      </c>
      <c r="M3" s="15">
        <f>'FU 0.81'!$B3</f>
        <v>43.323895610000001</v>
      </c>
      <c r="N3" s="15">
        <f>'FU 0.82'!$B3</f>
        <v>43.858758520000002</v>
      </c>
      <c r="O3" s="15">
        <f>'FU 0.83'!$B3</f>
        <v>44.393621430000003</v>
      </c>
      <c r="P3" s="15">
        <f>'FU 0.84'!$B3</f>
        <v>44.928484339999997</v>
      </c>
      <c r="Q3" s="15">
        <f>'FU 0.85'!$B3</f>
        <v>45.463347249999998</v>
      </c>
    </row>
    <row r="4" spans="1:17" x14ac:dyDescent="0.25">
      <c r="A4">
        <f>'FU 0.7'!A4</f>
        <v>0.62</v>
      </c>
      <c r="B4" s="15">
        <f>'FU 0.7'!$B4</f>
        <v>38.054180719999998</v>
      </c>
      <c r="C4" s="15">
        <f t="shared" si="0"/>
        <v>38.597811874999998</v>
      </c>
      <c r="D4" s="15">
        <f>'FU 0.72'!$B4</f>
        <v>39.141443029999998</v>
      </c>
      <c r="E4" s="15">
        <f>'FU 0.73'!$B4</f>
        <v>39.685074180000001</v>
      </c>
      <c r="F4" s="15">
        <f>'FU 0.74'!$B4</f>
        <v>40.228705339999998</v>
      </c>
      <c r="G4" s="15">
        <f>'FU 0.75'!$B4</f>
        <v>40.772336490000001</v>
      </c>
      <c r="H4" s="15">
        <f>'FU 0.76'!$B4</f>
        <v>41.315967639999997</v>
      </c>
      <c r="I4" s="15">
        <f>'FU 0.77'!$B4</f>
        <v>41.859598800000001</v>
      </c>
      <c r="J4" s="15">
        <f>'FU 0.78'!$B4</f>
        <v>42.403229949999997</v>
      </c>
      <c r="K4" s="15">
        <f>'FU 0.79'!$B4</f>
        <v>42.9468611</v>
      </c>
      <c r="L4" s="15">
        <f>'FU 0.8'!$B4</f>
        <v>43.490492260000003</v>
      </c>
      <c r="M4" s="15">
        <f>'FU 0.81'!$B4</f>
        <v>44.034123409999999</v>
      </c>
      <c r="N4" s="15">
        <f>'FU 0.82'!$B4</f>
        <v>44.577754560000002</v>
      </c>
      <c r="O4" s="15">
        <f>'FU 0.83'!$B4</f>
        <v>45.121385719999999</v>
      </c>
      <c r="P4" s="15">
        <f>'FU 0.84'!$B4</f>
        <v>45.665016870000002</v>
      </c>
      <c r="Q4" s="15">
        <f>'FU 0.85'!$B4</f>
        <v>46.208648019999998</v>
      </c>
    </row>
    <row r="5" spans="1:17" x14ac:dyDescent="0.25">
      <c r="A5">
        <f>'FU 0.7'!A5</f>
        <v>0.63</v>
      </c>
      <c r="B5" s="15">
        <f>'FU 0.7'!$B5</f>
        <v>38.667957829999999</v>
      </c>
      <c r="C5" s="15">
        <f t="shared" si="0"/>
        <v>39.220357230000005</v>
      </c>
      <c r="D5" s="15">
        <f>'FU 0.72'!$B5</f>
        <v>39.772756630000003</v>
      </c>
      <c r="E5" s="15">
        <f>'FU 0.73'!$B5</f>
        <v>40.325156020000001</v>
      </c>
      <c r="F5" s="15">
        <f>'FU 0.74'!$B5</f>
        <v>40.87755542</v>
      </c>
      <c r="G5" s="15">
        <f>'FU 0.75'!$B5</f>
        <v>41.429954819999999</v>
      </c>
      <c r="H5" s="15">
        <f>'FU 0.76'!$B5</f>
        <v>41.982354219999998</v>
      </c>
      <c r="I5" s="15">
        <f>'FU 0.77'!$B5</f>
        <v>42.534753619999996</v>
      </c>
      <c r="J5" s="15">
        <f>'FU 0.78'!$B5</f>
        <v>43.087153010000002</v>
      </c>
      <c r="K5" s="15">
        <f>'FU 0.79'!$B5</f>
        <v>43.63955241</v>
      </c>
      <c r="L5" s="15">
        <f>'FU 0.8'!$B5</f>
        <v>44.191951809999999</v>
      </c>
      <c r="M5" s="15">
        <f>'FU 0.81'!$B5</f>
        <v>44.744351209999998</v>
      </c>
      <c r="N5" s="15">
        <f>'FU 0.82'!$B5</f>
        <v>45.296750600000003</v>
      </c>
      <c r="O5" s="15">
        <f>'FU 0.83'!$B5</f>
        <v>45.849150000000002</v>
      </c>
      <c r="P5" s="15">
        <f>'FU 0.84'!$B5</f>
        <v>46.4015494</v>
      </c>
      <c r="Q5" s="15">
        <f>'FU 0.85'!$B5</f>
        <v>46.953948799999999</v>
      </c>
    </row>
    <row r="6" spans="1:17" x14ac:dyDescent="0.25">
      <c r="A6">
        <f>'FU 0.7'!A6</f>
        <v>0.64</v>
      </c>
      <c r="B6" s="15">
        <f>'FU 0.7'!$B6</f>
        <v>39.28173494</v>
      </c>
      <c r="C6" s="15">
        <f t="shared" si="0"/>
        <v>39.842902580000001</v>
      </c>
      <c r="D6" s="15">
        <f>'FU 0.72'!$B6</f>
        <v>40.404070220000001</v>
      </c>
      <c r="E6" s="15">
        <f>'FU 0.73'!$B6</f>
        <v>40.965237870000003</v>
      </c>
      <c r="F6" s="15">
        <f>'FU 0.74'!$B6</f>
        <v>41.526405509999996</v>
      </c>
      <c r="G6" s="15">
        <f>'FU 0.75'!$B6</f>
        <v>42.087573149999997</v>
      </c>
      <c r="H6" s="15">
        <f>'FU 0.76'!$B6</f>
        <v>42.648740789999998</v>
      </c>
      <c r="I6" s="15">
        <f>'FU 0.77'!$B6</f>
        <v>43.209908429999999</v>
      </c>
      <c r="J6" s="15">
        <f>'FU 0.78'!$B6</f>
        <v>43.77107608</v>
      </c>
      <c r="K6" s="15">
        <f>'FU 0.79'!$B6</f>
        <v>44.332243720000001</v>
      </c>
      <c r="L6" s="15">
        <f>'FU 0.8'!$B6</f>
        <v>44.893411360000002</v>
      </c>
      <c r="M6" s="15">
        <f>'FU 0.81'!$B6</f>
        <v>45.454579000000003</v>
      </c>
      <c r="N6" s="15">
        <f>'FU 0.82'!$B6</f>
        <v>46.015746640000003</v>
      </c>
      <c r="O6" s="15">
        <f>'FU 0.83'!$B6</f>
        <v>46.576914289999998</v>
      </c>
      <c r="P6" s="15">
        <f>'FU 0.84'!$B6</f>
        <v>47.138081929999998</v>
      </c>
      <c r="Q6" s="15">
        <f>'FU 0.85'!$B6</f>
        <v>47.699249569999999</v>
      </c>
    </row>
    <row r="7" spans="1:17" x14ac:dyDescent="0.25">
      <c r="A7">
        <f>'FU 0.7'!A7</f>
        <v>0.65</v>
      </c>
      <c r="B7" s="15">
        <f>'FU 0.7'!$B7</f>
        <v>39.895512050000001</v>
      </c>
      <c r="C7" s="15">
        <f t="shared" si="0"/>
        <v>40.465447935</v>
      </c>
      <c r="D7" s="15">
        <f>'FU 0.72'!$B7</f>
        <v>41.03538382</v>
      </c>
      <c r="E7" s="15">
        <f>'FU 0.73'!$B7</f>
        <v>41.605319710000003</v>
      </c>
      <c r="F7" s="15">
        <f>'FU 0.74'!$B7</f>
        <v>42.175255589999999</v>
      </c>
      <c r="G7" s="15">
        <f>'FU 0.75'!$B7</f>
        <v>42.745191480000003</v>
      </c>
      <c r="H7" s="15">
        <f>'FU 0.76'!$B7</f>
        <v>43.315127369999999</v>
      </c>
      <c r="I7" s="15">
        <f>'FU 0.77'!$B7</f>
        <v>43.885063250000002</v>
      </c>
      <c r="J7" s="15">
        <f>'FU 0.78'!$B7</f>
        <v>44.454999139999998</v>
      </c>
      <c r="K7" s="15">
        <f>'FU 0.79'!$B7</f>
        <v>45.024935030000002</v>
      </c>
      <c r="L7" s="15">
        <f>'FU 0.8'!$B7</f>
        <v>45.594870909999997</v>
      </c>
      <c r="M7" s="15">
        <f>'FU 0.81'!$B7</f>
        <v>46.164806800000001</v>
      </c>
      <c r="N7" s="15">
        <f>'FU 0.82'!$B7</f>
        <v>46.734742689999997</v>
      </c>
      <c r="O7" s="15">
        <f>'FU 0.83'!$B7</f>
        <v>47.30467857</v>
      </c>
      <c r="P7" s="15">
        <f>'FU 0.84'!$B7</f>
        <v>47.874614459999997</v>
      </c>
      <c r="Q7" s="15">
        <f>'FU 0.85'!$B7</f>
        <v>48.44455035</v>
      </c>
    </row>
    <row r="8" spans="1:17" x14ac:dyDescent="0.25">
      <c r="A8">
        <f>'FU 0.7'!A8</f>
        <v>0.66</v>
      </c>
      <c r="B8" s="15">
        <f>'FU 0.7'!$B8</f>
        <v>40.509289160000002</v>
      </c>
      <c r="C8" s="15">
        <f t="shared" si="0"/>
        <v>41.08799329</v>
      </c>
      <c r="D8" s="15">
        <f>'FU 0.72'!$B8</f>
        <v>41.666697419999998</v>
      </c>
      <c r="E8" s="15">
        <f>'FU 0.73'!$B8</f>
        <v>42.245401549999997</v>
      </c>
      <c r="F8" s="15">
        <f>'FU 0.74'!$B8</f>
        <v>42.824105680000002</v>
      </c>
      <c r="G8" s="15">
        <f>'FU 0.75'!$B8</f>
        <v>43.402809810000001</v>
      </c>
      <c r="H8" s="15">
        <f>'FU 0.76'!$B8</f>
        <v>43.981513939999999</v>
      </c>
      <c r="I8" s="15">
        <f>'FU 0.77'!$B8</f>
        <v>44.560218069999998</v>
      </c>
      <c r="J8" s="15">
        <f>'FU 0.78'!$B8</f>
        <v>45.138922200000003</v>
      </c>
      <c r="K8" s="15">
        <f>'FU 0.79'!$B8</f>
        <v>45.717626330000002</v>
      </c>
      <c r="L8" s="15">
        <f>'FU 0.8'!$B8</f>
        <v>46.296330470000001</v>
      </c>
      <c r="M8" s="15">
        <f>'FU 0.81'!$B8</f>
        <v>46.875034599999999</v>
      </c>
      <c r="N8" s="15">
        <f>'FU 0.82'!$B8</f>
        <v>47.453738729999998</v>
      </c>
      <c r="O8" s="15">
        <f>'FU 0.83'!$B8</f>
        <v>48.032442860000003</v>
      </c>
      <c r="P8" s="15">
        <f>'FU 0.84'!$B8</f>
        <v>48.611146990000002</v>
      </c>
      <c r="Q8" s="15">
        <f>'FU 0.85'!$B8</f>
        <v>49.18985112</v>
      </c>
    </row>
    <row r="9" spans="1:17" x14ac:dyDescent="0.25">
      <c r="A9">
        <f>'FU 0.7'!A9</f>
        <v>0.67</v>
      </c>
      <c r="B9" s="15">
        <f>'FU 0.7'!$B9</f>
        <v>41.123066270000002</v>
      </c>
      <c r="C9" s="15">
        <f t="shared" si="0"/>
        <v>41.710538645</v>
      </c>
      <c r="D9" s="15">
        <f>'FU 0.72'!$B9</f>
        <v>42.298011019999997</v>
      </c>
      <c r="E9" s="15">
        <f>'FU 0.73'!$B9</f>
        <v>42.885483389999997</v>
      </c>
      <c r="F9" s="15">
        <f>'FU 0.74'!$B9</f>
        <v>43.472955769999999</v>
      </c>
      <c r="G9" s="15">
        <f>'FU 0.75'!$B9</f>
        <v>44.060428139999999</v>
      </c>
      <c r="H9" s="15">
        <f>'FU 0.76'!$B9</f>
        <v>44.64790052</v>
      </c>
      <c r="I9" s="15">
        <f>'FU 0.77'!$B9</f>
        <v>45.235372890000001</v>
      </c>
      <c r="J9" s="15">
        <f>'FU 0.78'!$B9</f>
        <v>45.822845270000002</v>
      </c>
      <c r="K9" s="15">
        <f>'FU 0.79'!$B9</f>
        <v>46.410317640000002</v>
      </c>
      <c r="L9" s="15">
        <f>'FU 0.8'!$B9</f>
        <v>46.997790019999997</v>
      </c>
      <c r="M9" s="15">
        <f>'FU 0.81'!$B9</f>
        <v>47.585262389999997</v>
      </c>
      <c r="N9" s="15">
        <f>'FU 0.82'!$B9</f>
        <v>48.172734769999998</v>
      </c>
      <c r="O9" s="15">
        <f>'FU 0.83'!$B9</f>
        <v>48.760207139999999</v>
      </c>
      <c r="P9" s="15">
        <f>'FU 0.84'!$B9</f>
        <v>49.34767952</v>
      </c>
      <c r="Q9" s="15">
        <f>'FU 0.85'!$B9</f>
        <v>49.93515189</v>
      </c>
    </row>
    <row r="10" spans="1:17" x14ac:dyDescent="0.25">
      <c r="A10">
        <f>'FU 0.7'!A10</f>
        <v>0.68</v>
      </c>
      <c r="B10" s="15">
        <f>'FU 0.7'!$B10</f>
        <v>41.736843370000003</v>
      </c>
      <c r="C10" s="15">
        <f t="shared" si="0"/>
        <v>42.333083990000006</v>
      </c>
      <c r="D10" s="15">
        <f>'FU 0.72'!$B10</f>
        <v>42.929324610000002</v>
      </c>
      <c r="E10" s="15">
        <f>'FU 0.73'!$B10</f>
        <v>43.525565229999998</v>
      </c>
      <c r="F10" s="15">
        <f>'FU 0.74'!$B10</f>
        <v>44.121805850000001</v>
      </c>
      <c r="G10" s="15">
        <f>'FU 0.75'!$B10</f>
        <v>44.718046469999997</v>
      </c>
      <c r="H10" s="15">
        <f>'FU 0.76'!$B10</f>
        <v>45.314287090000001</v>
      </c>
      <c r="I10" s="15">
        <f>'FU 0.77'!$B10</f>
        <v>45.910527709999997</v>
      </c>
      <c r="J10" s="15">
        <f>'FU 0.78'!$B10</f>
        <v>46.50676833</v>
      </c>
      <c r="K10" s="15">
        <f>'FU 0.79'!$B10</f>
        <v>47.103008950000003</v>
      </c>
      <c r="L10" s="15">
        <f>'FU 0.8'!$B10</f>
        <v>47.699249569999999</v>
      </c>
      <c r="M10" s="15">
        <f>'FU 0.81'!$B10</f>
        <v>48.295490190000002</v>
      </c>
      <c r="N10" s="15">
        <f>'FU 0.82'!$B10</f>
        <v>48.891730809999999</v>
      </c>
      <c r="O10" s="15">
        <f>'FU 0.83'!$B10</f>
        <v>49.487971430000002</v>
      </c>
      <c r="P10" s="15">
        <f>'FU 0.84'!$B10</f>
        <v>50.084212049999998</v>
      </c>
      <c r="Q10" s="15">
        <f>'FU 0.85'!$B10</f>
        <v>50.680452670000001</v>
      </c>
    </row>
    <row r="11" spans="1:17" x14ac:dyDescent="0.25">
      <c r="A11">
        <f>'FU 0.7'!A11</f>
        <v>0.69</v>
      </c>
      <c r="B11" s="15">
        <f>'FU 0.7'!$B11</f>
        <v>42.350620480000003</v>
      </c>
      <c r="C11" s="15">
        <f t="shared" si="0"/>
        <v>42.955629345000006</v>
      </c>
      <c r="D11" s="15">
        <f>'FU 0.72'!$B11</f>
        <v>43.56063821</v>
      </c>
      <c r="E11" s="15">
        <f>'FU 0.73'!$B11</f>
        <v>44.165647069999999</v>
      </c>
      <c r="F11" s="15">
        <f>'FU 0.74'!$B11</f>
        <v>44.770655939999997</v>
      </c>
      <c r="G11" s="15">
        <f>'FU 0.75'!$B11</f>
        <v>45.375664800000003</v>
      </c>
      <c r="H11" s="15">
        <f>'FU 0.76'!$B11</f>
        <v>45.980673670000002</v>
      </c>
      <c r="I11" s="15">
        <f>'FU 0.77'!$B11</f>
        <v>46.58568253</v>
      </c>
      <c r="J11" s="15">
        <f>'FU 0.78'!$B11</f>
        <v>47.190691399999999</v>
      </c>
      <c r="K11" s="15">
        <f>'FU 0.79'!$B11</f>
        <v>47.795700259999997</v>
      </c>
      <c r="L11" s="15">
        <f>'FU 0.8'!$B11</f>
        <v>48.400709120000002</v>
      </c>
      <c r="M11" s="15">
        <f>'FU 0.81'!$B11</f>
        <v>49.005717990000001</v>
      </c>
      <c r="N11" s="15">
        <f>'FU 0.82'!$B11</f>
        <v>49.610726849999999</v>
      </c>
      <c r="O11" s="15">
        <f>'FU 0.83'!$B11</f>
        <v>50.215735719999998</v>
      </c>
      <c r="P11" s="15">
        <f>'FU 0.84'!$B11</f>
        <v>50.820744580000003</v>
      </c>
      <c r="Q11" s="15">
        <f>'FU 0.85'!$B11</f>
        <v>51.425753440000001</v>
      </c>
    </row>
    <row r="12" spans="1:17" x14ac:dyDescent="0.25">
      <c r="A12">
        <f>'FU 0.7'!A12</f>
        <v>0.7</v>
      </c>
      <c r="B12" s="15">
        <f>'FU 0.7'!$B12</f>
        <v>42.964397589999997</v>
      </c>
      <c r="C12" s="15">
        <f t="shared" si="0"/>
        <v>43.578174699999998</v>
      </c>
      <c r="D12" s="15">
        <f>'FU 0.72'!$B12</f>
        <v>44.191951809999999</v>
      </c>
      <c r="E12" s="15">
        <f>'FU 0.73'!$B12</f>
        <v>44.80572892</v>
      </c>
      <c r="F12" s="15">
        <f>'FU 0.74'!$B12</f>
        <v>45.41950602</v>
      </c>
      <c r="G12" s="15">
        <f>'FU 0.75'!$B12</f>
        <v>46.033283130000001</v>
      </c>
      <c r="H12" s="15">
        <f>'FU 0.76'!$B12</f>
        <v>46.647060240000002</v>
      </c>
      <c r="I12" s="15">
        <f>'FU 0.77'!$B12</f>
        <v>47.260837350000003</v>
      </c>
      <c r="J12" s="15">
        <f>'FU 0.78'!$B12</f>
        <v>47.874614459999997</v>
      </c>
      <c r="K12" s="15">
        <f>'FU 0.79'!$B12</f>
        <v>48.488391569999997</v>
      </c>
      <c r="L12" s="15">
        <f>'FU 0.8'!$B12</f>
        <v>49.102168679999998</v>
      </c>
      <c r="M12" s="15">
        <f>'FU 0.81'!$B12</f>
        <v>49.715945779999998</v>
      </c>
      <c r="N12" s="15">
        <f>'FU 0.82'!$B12</f>
        <v>50.329722889999999</v>
      </c>
      <c r="O12" s="15">
        <f>'FU 0.83'!$B12</f>
        <v>50.9435</v>
      </c>
      <c r="P12" s="15">
        <f>'FU 0.84'!$B12</f>
        <v>51.557277110000001</v>
      </c>
      <c r="Q12" s="15">
        <f>'FU 0.85'!$B12</f>
        <v>52.171054220000002</v>
      </c>
    </row>
    <row r="13" spans="1:17" x14ac:dyDescent="0.25">
      <c r="A13">
        <f>'FU 0.7'!A13</f>
        <v>0.71</v>
      </c>
      <c r="B13" s="15">
        <f>'FU 0.7'!$B13</f>
        <v>43.578174699999998</v>
      </c>
      <c r="C13" s="15">
        <f t="shared" si="0"/>
        <v>44.200720054999998</v>
      </c>
      <c r="D13" s="15">
        <f>'FU 0.72'!$B13</f>
        <v>44.823265409999998</v>
      </c>
      <c r="E13" s="15">
        <f>'FU 0.73'!$B13</f>
        <v>45.445810760000001</v>
      </c>
      <c r="F13" s="15">
        <f>'FU 0.74'!$B13</f>
        <v>46.068356110000003</v>
      </c>
      <c r="G13" s="15">
        <f>'FU 0.75'!$B13</f>
        <v>46.690901459999999</v>
      </c>
      <c r="H13" s="15">
        <f>'FU 0.76'!$B13</f>
        <v>47.313446820000003</v>
      </c>
      <c r="I13" s="15">
        <f>'FU 0.77'!$B13</f>
        <v>47.935992169999999</v>
      </c>
      <c r="J13" s="15">
        <f>'FU 0.78'!$B13</f>
        <v>48.558537520000002</v>
      </c>
      <c r="K13" s="15">
        <f>'FU 0.79'!$B13</f>
        <v>49.181082879999998</v>
      </c>
      <c r="L13" s="15">
        <f>'FU 0.8'!$B13</f>
        <v>49.803628230000001</v>
      </c>
      <c r="M13" s="15">
        <f>'FU 0.81'!$B13</f>
        <v>50.426173579999997</v>
      </c>
      <c r="N13" s="15">
        <f>'FU 0.82'!$B13</f>
        <v>51.04871893</v>
      </c>
      <c r="O13" s="15">
        <f>'FU 0.83'!$B13</f>
        <v>51.671264290000003</v>
      </c>
      <c r="P13" s="15">
        <f>'FU 0.84'!$B13</f>
        <v>52.293809639999999</v>
      </c>
      <c r="Q13" s="15">
        <f>'FU 0.85'!$B13</f>
        <v>52.916354990000002</v>
      </c>
    </row>
    <row r="14" spans="1:17" x14ac:dyDescent="0.25">
      <c r="A14">
        <f>'FU 0.7'!A14</f>
        <v>0.72</v>
      </c>
      <c r="B14" s="15">
        <f>'FU 0.7'!$B14</f>
        <v>44.191951809999999</v>
      </c>
      <c r="C14" s="15">
        <f t="shared" si="0"/>
        <v>44.823265405000001</v>
      </c>
      <c r="D14" s="15">
        <f>'FU 0.72'!$B14</f>
        <v>45.454579000000003</v>
      </c>
      <c r="E14" s="15">
        <f>'FU 0.73'!$B14</f>
        <v>46.085892600000001</v>
      </c>
      <c r="F14" s="15">
        <f>'FU 0.74'!$B14</f>
        <v>46.7172062</v>
      </c>
      <c r="G14" s="15">
        <f>'FU 0.75'!$B14</f>
        <v>47.348519789999997</v>
      </c>
      <c r="H14" s="15">
        <f>'FU 0.76'!$B14</f>
        <v>47.979833390000003</v>
      </c>
      <c r="I14" s="15">
        <f>'FU 0.77'!$B14</f>
        <v>48.611146990000002</v>
      </c>
      <c r="J14" s="15">
        <f>'FU 0.78'!$B14</f>
        <v>49.24246059</v>
      </c>
      <c r="K14" s="15">
        <f>'FU 0.79'!$B14</f>
        <v>49.873774179999998</v>
      </c>
      <c r="L14" s="15">
        <f>'FU 0.8'!$B14</f>
        <v>50.505087779999997</v>
      </c>
      <c r="M14" s="15">
        <f>'FU 0.81'!$B14</f>
        <v>51.136401380000002</v>
      </c>
      <c r="N14" s="15">
        <f>'FU 0.82'!$B14</f>
        <v>51.767714980000001</v>
      </c>
      <c r="O14" s="15">
        <f>'FU 0.83'!$B14</f>
        <v>52.399028569999999</v>
      </c>
      <c r="P14" s="15">
        <f>'FU 0.84'!$B14</f>
        <v>53.030342169999997</v>
      </c>
      <c r="Q14" s="15">
        <f>'FU 0.85'!$B14</f>
        <v>53.661655770000003</v>
      </c>
    </row>
    <row r="15" spans="1:17" x14ac:dyDescent="0.25">
      <c r="A15">
        <f>'FU 0.7'!A15</f>
        <v>0.73</v>
      </c>
      <c r="B15" s="15">
        <f>'FU 0.7'!$B15</f>
        <v>44.80572892</v>
      </c>
      <c r="C15" s="15">
        <f t="shared" si="0"/>
        <v>45.445810760000001</v>
      </c>
      <c r="D15" s="15">
        <f>'FU 0.72'!$B15</f>
        <v>46.085892600000001</v>
      </c>
      <c r="E15" s="15">
        <f>'FU 0.73'!$B15</f>
        <v>46.725974440000002</v>
      </c>
      <c r="F15" s="15">
        <f>'FU 0.74'!$B15</f>
        <v>47.366056280000002</v>
      </c>
      <c r="G15" s="15">
        <f>'FU 0.75'!$B15</f>
        <v>48.006138120000003</v>
      </c>
      <c r="H15" s="15">
        <f>'FU 0.76'!$B15</f>
        <v>48.646219969999997</v>
      </c>
      <c r="I15" s="15">
        <f>'FU 0.77'!$B15</f>
        <v>49.286301809999998</v>
      </c>
      <c r="J15" s="15">
        <f>'FU 0.78'!$B15</f>
        <v>49.926383649999998</v>
      </c>
      <c r="K15" s="15">
        <f>'FU 0.79'!$B15</f>
        <v>50.566465489999999</v>
      </c>
      <c r="L15" s="15">
        <f>'FU 0.8'!$B15</f>
        <v>51.206547329999999</v>
      </c>
      <c r="M15" s="15">
        <f>'FU 0.81'!$B15</f>
        <v>51.84662917</v>
      </c>
      <c r="N15" s="15">
        <f>'FU 0.82'!$B15</f>
        <v>52.486711020000001</v>
      </c>
      <c r="O15" s="15">
        <f>'FU 0.83'!$B15</f>
        <v>53.126792860000002</v>
      </c>
      <c r="P15" s="15">
        <f>'FU 0.84'!$B15</f>
        <v>53.766874700000002</v>
      </c>
      <c r="Q15" s="15">
        <f>'FU 0.85'!$B15</f>
        <v>54.406956540000003</v>
      </c>
    </row>
    <row r="16" spans="1:17" x14ac:dyDescent="0.25">
      <c r="A16">
        <f>'FU 0.7'!A16</f>
        <v>0.74</v>
      </c>
      <c r="B16" s="15">
        <f>'FU 0.7'!$B16</f>
        <v>45.41950602</v>
      </c>
      <c r="C16" s="15">
        <f t="shared" si="0"/>
        <v>46.068356109999996</v>
      </c>
      <c r="D16" s="15">
        <f>'FU 0.72'!$B16</f>
        <v>46.7172062</v>
      </c>
      <c r="E16" s="15">
        <f>'FU 0.73'!$B16</f>
        <v>47.366056280000002</v>
      </c>
      <c r="F16" s="15">
        <f>'FU 0.74'!$B16</f>
        <v>48.014906369999999</v>
      </c>
      <c r="G16" s="15">
        <f>'FU 0.75'!$B16</f>
        <v>48.663756460000002</v>
      </c>
      <c r="H16" s="15">
        <f>'FU 0.76'!$B16</f>
        <v>49.312606539999997</v>
      </c>
      <c r="I16" s="15">
        <f>'FU 0.77'!$B16</f>
        <v>49.961456630000001</v>
      </c>
      <c r="J16" s="15">
        <f>'FU 0.78'!$B16</f>
        <v>50.610306710000003</v>
      </c>
      <c r="K16" s="15">
        <f>'FU 0.79'!$B16</f>
        <v>51.2591568</v>
      </c>
      <c r="L16" s="15">
        <f>'FU 0.8'!$B16</f>
        <v>51.908006890000003</v>
      </c>
      <c r="M16" s="15">
        <f>'FU 0.81'!$B16</f>
        <v>52.556856969999998</v>
      </c>
      <c r="N16" s="15">
        <f>'FU 0.82'!$B16</f>
        <v>53.205707060000002</v>
      </c>
      <c r="O16" s="15">
        <f>'FU 0.83'!$B16</f>
        <v>53.854557139999997</v>
      </c>
      <c r="P16" s="15">
        <f>'FU 0.84'!$B16</f>
        <v>54.503407230000001</v>
      </c>
      <c r="Q16" s="15">
        <f>'FU 0.85'!$B16</f>
        <v>55.152257319999997</v>
      </c>
    </row>
    <row r="17" spans="1:17" x14ac:dyDescent="0.25">
      <c r="A17">
        <f>'FU 0.7'!A17</f>
        <v>0.75</v>
      </c>
      <c r="B17" s="15">
        <f>'FU 0.7'!$B17</f>
        <v>46.033283130000001</v>
      </c>
      <c r="C17" s="15">
        <f t="shared" si="0"/>
        <v>46.690901459999999</v>
      </c>
      <c r="D17" s="15">
        <f>'FU 0.72'!$B17</f>
        <v>47.348519789999997</v>
      </c>
      <c r="E17" s="15">
        <f>'FU 0.73'!$B17</f>
        <v>48.006138120000003</v>
      </c>
      <c r="F17" s="15">
        <f>'FU 0.74'!$B17</f>
        <v>48.663756460000002</v>
      </c>
      <c r="G17" s="15">
        <f>'FU 0.75'!$B17</f>
        <v>49.32137479</v>
      </c>
      <c r="H17" s="15">
        <f>'FU 0.76'!$B17</f>
        <v>49.978993119999998</v>
      </c>
      <c r="I17" s="15">
        <f>'FU 0.77'!$B17</f>
        <v>50.636611449999997</v>
      </c>
      <c r="J17" s="15">
        <f>'FU 0.78'!$B17</f>
        <v>51.294229780000002</v>
      </c>
      <c r="K17" s="15">
        <f>'FU 0.79'!$B17</f>
        <v>51.95184811</v>
      </c>
      <c r="L17" s="15">
        <f>'FU 0.8'!$B17</f>
        <v>52.609466439999998</v>
      </c>
      <c r="M17" s="15">
        <f>'FU 0.81'!$B17</f>
        <v>53.267084769999997</v>
      </c>
      <c r="N17" s="15">
        <f>'FU 0.82'!$B17</f>
        <v>53.924703100000002</v>
      </c>
      <c r="O17" s="15">
        <f>'FU 0.83'!$B17</f>
        <v>54.58232143</v>
      </c>
      <c r="P17" s="15">
        <f>'FU 0.84'!$B17</f>
        <v>55.239939759999999</v>
      </c>
      <c r="Q17" s="15">
        <f>'FU 0.85'!$B17</f>
        <v>55.897558089999997</v>
      </c>
    </row>
    <row r="18" spans="1:17" x14ac:dyDescent="0.25">
      <c r="A18">
        <f>'FU 0.7'!A18</f>
        <v>0.76</v>
      </c>
      <c r="B18" s="15">
        <f>'FU 0.7'!$B18</f>
        <v>46.647060240000002</v>
      </c>
      <c r="C18" s="15">
        <f t="shared" si="0"/>
        <v>47.313446815000006</v>
      </c>
      <c r="D18" s="15">
        <f>'FU 0.72'!$B18</f>
        <v>47.979833390000003</v>
      </c>
      <c r="E18" s="15">
        <f>'FU 0.73'!$B18</f>
        <v>48.646219969999997</v>
      </c>
      <c r="F18" s="15">
        <f>'FU 0.74'!$B18</f>
        <v>49.312606539999997</v>
      </c>
      <c r="G18" s="15">
        <f>'FU 0.75'!$B18</f>
        <v>49.978993119999998</v>
      </c>
      <c r="H18" s="15">
        <f>'FU 0.76'!$B18</f>
        <v>50.645379689999999</v>
      </c>
      <c r="I18" s="15">
        <f>'FU 0.77'!$B18</f>
        <v>51.31176627</v>
      </c>
      <c r="J18" s="15">
        <f>'FU 0.78'!$B18</f>
        <v>51.97815284</v>
      </c>
      <c r="K18" s="15">
        <f>'FU 0.79'!$B18</f>
        <v>52.644539420000001</v>
      </c>
      <c r="L18" s="15">
        <f>'FU 0.8'!$B18</f>
        <v>53.310925990000001</v>
      </c>
      <c r="M18" s="15">
        <f>'FU 0.81'!$B18</f>
        <v>53.977312570000002</v>
      </c>
      <c r="N18" s="15">
        <f>'FU 0.82'!$B18</f>
        <v>54.643699140000003</v>
      </c>
      <c r="O18" s="15">
        <f>'FU 0.83'!$B18</f>
        <v>55.310085719999996</v>
      </c>
      <c r="P18" s="15">
        <f>'FU 0.84'!$B18</f>
        <v>55.976472289999997</v>
      </c>
      <c r="Q18" s="15">
        <f>'FU 0.85'!$B18</f>
        <v>56.642858869999998</v>
      </c>
    </row>
    <row r="19" spans="1:17" x14ac:dyDescent="0.25">
      <c r="A19">
        <f>'FU 0.7'!A19</f>
        <v>0.77</v>
      </c>
      <c r="B19" s="15">
        <f>'FU 0.7'!$B19</f>
        <v>47.260837350000003</v>
      </c>
      <c r="C19" s="15">
        <f t="shared" si="0"/>
        <v>47.935992170000006</v>
      </c>
      <c r="D19" s="15">
        <f>'FU 0.72'!$B19</f>
        <v>48.611146990000002</v>
      </c>
      <c r="E19" s="15">
        <f>'FU 0.73'!$B19</f>
        <v>49.286301809999998</v>
      </c>
      <c r="F19" s="15">
        <f>'FU 0.74'!$B19</f>
        <v>49.961456630000001</v>
      </c>
      <c r="G19" s="15">
        <f>'FU 0.75'!$B19</f>
        <v>50.636611449999997</v>
      </c>
      <c r="H19" s="15">
        <f>'FU 0.76'!$B19</f>
        <v>51.31176627</v>
      </c>
      <c r="I19" s="15">
        <f>'FU 0.77'!$B19</f>
        <v>51.986921090000003</v>
      </c>
      <c r="J19" s="15">
        <f>'FU 0.78'!$B19</f>
        <v>52.662075899999998</v>
      </c>
      <c r="K19" s="15">
        <f>'FU 0.79'!$B19</f>
        <v>53.337230720000001</v>
      </c>
      <c r="L19" s="15">
        <f>'FU 0.8'!$B19</f>
        <v>54.012385539999997</v>
      </c>
      <c r="M19" s="15">
        <f>'FU 0.81'!$B19</f>
        <v>54.68754036</v>
      </c>
      <c r="N19" s="15">
        <f>'FU 0.82'!$B19</f>
        <v>55.362695180000003</v>
      </c>
      <c r="O19" s="15">
        <f>'FU 0.83'!$B19</f>
        <v>56.037849999999999</v>
      </c>
      <c r="P19" s="15">
        <f>'FU 0.84'!$B19</f>
        <v>56.713004820000002</v>
      </c>
      <c r="Q19" s="15">
        <f>'FU 0.85'!$B19</f>
        <v>57.388159639999998</v>
      </c>
    </row>
    <row r="20" spans="1:17" x14ac:dyDescent="0.25">
      <c r="A20">
        <f>'FU 0.7'!A20</f>
        <v>0.78</v>
      </c>
      <c r="B20" s="15">
        <f>'FU 0.7'!$B20</f>
        <v>47.874614459999997</v>
      </c>
      <c r="C20" s="15">
        <f t="shared" si="0"/>
        <v>48.558537524999998</v>
      </c>
      <c r="D20" s="15">
        <f>'FU 0.72'!$B20</f>
        <v>49.24246059</v>
      </c>
      <c r="E20" s="15">
        <f>'FU 0.73'!$B20</f>
        <v>49.926383649999998</v>
      </c>
      <c r="F20" s="15">
        <f>'FU 0.74'!$B20</f>
        <v>50.610306710000003</v>
      </c>
      <c r="G20" s="15">
        <f>'FU 0.75'!$B20</f>
        <v>51.294229780000002</v>
      </c>
      <c r="H20" s="15">
        <f>'FU 0.76'!$B20</f>
        <v>51.97815284</v>
      </c>
      <c r="I20" s="15">
        <f>'FU 0.77'!$B20</f>
        <v>52.662075899999998</v>
      </c>
      <c r="J20" s="15">
        <f>'FU 0.78'!$B20</f>
        <v>53.345998969999997</v>
      </c>
      <c r="K20" s="15">
        <f>'FU 0.79'!$B20</f>
        <v>54.029922030000002</v>
      </c>
      <c r="L20" s="15">
        <f>'FU 0.8'!$B20</f>
        <v>54.7138451</v>
      </c>
      <c r="M20" s="15">
        <f>'FU 0.81'!$B20</f>
        <v>55.397768159999998</v>
      </c>
      <c r="N20" s="15">
        <f>'FU 0.82'!$B20</f>
        <v>56.081691220000003</v>
      </c>
      <c r="O20" s="15">
        <f>'FU 0.83'!$B20</f>
        <v>56.765614290000002</v>
      </c>
      <c r="P20" s="15">
        <f>'FU 0.84'!$B20</f>
        <v>57.44953735</v>
      </c>
      <c r="Q20" s="15">
        <f>'FU 0.85'!$B20</f>
        <v>58.133460409999998</v>
      </c>
    </row>
    <row r="21" spans="1:17" x14ac:dyDescent="0.25">
      <c r="A21">
        <f>'FU 0.7'!A21</f>
        <v>0.79</v>
      </c>
      <c r="B21" s="15">
        <f>'FU 0.7'!$B21</f>
        <v>48.488391569999997</v>
      </c>
      <c r="C21" s="15">
        <f t="shared" si="0"/>
        <v>49.181082875000001</v>
      </c>
      <c r="D21" s="15">
        <f>'FU 0.72'!$B21</f>
        <v>49.873774179999998</v>
      </c>
      <c r="E21" s="15">
        <f>'FU 0.73'!$B21</f>
        <v>50.566465489999999</v>
      </c>
      <c r="F21" s="15">
        <f>'FU 0.74'!$B21</f>
        <v>51.2591568</v>
      </c>
      <c r="G21" s="15">
        <f>'FU 0.75'!$B21</f>
        <v>51.95184811</v>
      </c>
      <c r="H21" s="15">
        <f>'FU 0.76'!$B21</f>
        <v>52.644539420000001</v>
      </c>
      <c r="I21" s="15">
        <f>'FU 0.77'!$B21</f>
        <v>53.337230720000001</v>
      </c>
      <c r="J21" s="15">
        <f>'FU 0.78'!$B21</f>
        <v>54.029922030000002</v>
      </c>
      <c r="K21" s="15">
        <f>'FU 0.79'!$B21</f>
        <v>54.722613340000002</v>
      </c>
      <c r="L21" s="15">
        <f>'FU 0.8'!$B21</f>
        <v>55.415304650000003</v>
      </c>
      <c r="M21" s="15">
        <f>'FU 0.81'!$B21</f>
        <v>56.107995959999997</v>
      </c>
      <c r="N21" s="15">
        <f>'FU 0.82'!$B21</f>
        <v>56.800687259999997</v>
      </c>
      <c r="O21" s="15">
        <f>'FU 0.83'!$B21</f>
        <v>57.493378569999997</v>
      </c>
      <c r="P21" s="15">
        <f>'FU 0.84'!$B21</f>
        <v>58.186069879999998</v>
      </c>
      <c r="Q21" s="15">
        <f>'FU 0.85'!$B21</f>
        <v>58.878761189999999</v>
      </c>
    </row>
    <row r="22" spans="1:17" x14ac:dyDescent="0.25">
      <c r="A22">
        <f>'FU 0.7'!A22</f>
        <v>0.8</v>
      </c>
      <c r="B22" s="15">
        <f>'FU 0.7'!$B22</f>
        <v>49.102168679999998</v>
      </c>
      <c r="C22" s="15">
        <f t="shared" si="0"/>
        <v>49.803628230000001</v>
      </c>
      <c r="D22" s="15">
        <f>'FU 0.72'!$B22</f>
        <v>50.505087779999997</v>
      </c>
      <c r="E22" s="15">
        <f>'FU 0.73'!$B22</f>
        <v>51.206547329999999</v>
      </c>
      <c r="F22" s="15">
        <f>'FU 0.74'!$B22</f>
        <v>51.908006890000003</v>
      </c>
      <c r="G22" s="15">
        <f>'FU 0.75'!$B22</f>
        <v>52.609466439999998</v>
      </c>
      <c r="H22" s="15">
        <f>'FU 0.76'!$B22</f>
        <v>53.310925990000001</v>
      </c>
      <c r="I22" s="15">
        <f>'FU 0.77'!$B22</f>
        <v>54.012385539999997</v>
      </c>
      <c r="J22" s="15">
        <f>'FU 0.78'!$B22</f>
        <v>54.7138451</v>
      </c>
      <c r="K22" s="15">
        <f>'FU 0.79'!$B22</f>
        <v>55.415304650000003</v>
      </c>
      <c r="L22" s="15">
        <f>'FU 0.8'!$B22</f>
        <v>56.116764199999999</v>
      </c>
      <c r="M22" s="15">
        <f>'FU 0.81'!$B22</f>
        <v>56.818223750000001</v>
      </c>
      <c r="N22" s="15">
        <f>'FU 0.82'!$B22</f>
        <v>57.519683309999998</v>
      </c>
      <c r="O22" s="15">
        <f>'FU 0.83'!$B22</f>
        <v>58.22114286</v>
      </c>
      <c r="P22" s="15">
        <f>'FU 0.84'!$B22</f>
        <v>58.922602410000003</v>
      </c>
      <c r="Q22" s="15">
        <f>'FU 0.85'!$B22</f>
        <v>59.624061959999999</v>
      </c>
    </row>
    <row r="23" spans="1:17" x14ac:dyDescent="0.25">
      <c r="A23">
        <f>'FU 0.7'!A23</f>
        <v>0.81</v>
      </c>
      <c r="B23" s="15">
        <f>'FU 0.7'!$B23</f>
        <v>49.715945779999998</v>
      </c>
      <c r="C23" s="15">
        <f t="shared" si="0"/>
        <v>50.426173579999997</v>
      </c>
      <c r="D23" s="15">
        <f>'FU 0.72'!$B23</f>
        <v>51.136401380000002</v>
      </c>
      <c r="E23" s="15">
        <f>'FU 0.73'!$B23</f>
        <v>51.84662917</v>
      </c>
      <c r="F23" s="15">
        <f>'FU 0.74'!$B23</f>
        <v>52.556856969999998</v>
      </c>
      <c r="G23" s="15">
        <f>'FU 0.75'!$B23</f>
        <v>53.267084769999997</v>
      </c>
      <c r="H23" s="15">
        <f>'FU 0.76'!$B23</f>
        <v>53.977312570000002</v>
      </c>
      <c r="I23" s="15">
        <f>'FU 0.77'!$B23</f>
        <v>54.68754036</v>
      </c>
      <c r="J23" s="15">
        <f>'FU 0.78'!$B23</f>
        <v>55.397768159999998</v>
      </c>
      <c r="K23" s="15">
        <f>'FU 0.79'!$B23</f>
        <v>56.107995959999997</v>
      </c>
      <c r="L23" s="15">
        <f>'FU 0.8'!$B23</f>
        <v>56.818223750000001</v>
      </c>
      <c r="M23" s="15">
        <f>'FU 0.81'!$B23</f>
        <v>57.52845155</v>
      </c>
      <c r="N23" s="15">
        <f>'FU 0.82'!$B23</f>
        <v>58.238679349999998</v>
      </c>
      <c r="O23" s="15">
        <f>'FU 0.83'!$B23</f>
        <v>58.948907140000003</v>
      </c>
      <c r="P23" s="15">
        <f>'FU 0.84'!$B23</f>
        <v>59.659134940000001</v>
      </c>
      <c r="Q23" s="15">
        <f>'FU 0.85'!$B23</f>
        <v>60.36936274</v>
      </c>
    </row>
    <row r="24" spans="1:17" x14ac:dyDescent="0.25">
      <c r="A24">
        <f>'FU 0.7'!A24</f>
        <v>0.82</v>
      </c>
      <c r="B24" s="15">
        <f>'FU 0.7'!$B24</f>
        <v>50.329722889999999</v>
      </c>
      <c r="C24" s="15">
        <f t="shared" si="0"/>
        <v>51.048718934999997</v>
      </c>
      <c r="D24" s="15">
        <f>'FU 0.72'!$B24</f>
        <v>51.767714980000001</v>
      </c>
      <c r="E24" s="15">
        <f>'FU 0.73'!$B24</f>
        <v>52.486711020000001</v>
      </c>
      <c r="F24" s="15">
        <f>'FU 0.74'!$B24</f>
        <v>53.205707060000002</v>
      </c>
      <c r="G24" s="15">
        <f>'FU 0.75'!$B24</f>
        <v>53.924703100000002</v>
      </c>
      <c r="H24" s="15">
        <f>'FU 0.76'!$B24</f>
        <v>54.643699140000003</v>
      </c>
      <c r="I24" s="15">
        <f>'FU 0.77'!$B24</f>
        <v>55.362695180000003</v>
      </c>
      <c r="J24" s="15">
        <f>'FU 0.78'!$B24</f>
        <v>56.081691220000003</v>
      </c>
      <c r="K24" s="15">
        <f>'FU 0.79'!$B24</f>
        <v>56.800687259999997</v>
      </c>
      <c r="L24" s="15">
        <f>'FU 0.8'!$B24</f>
        <v>57.519683309999998</v>
      </c>
      <c r="M24" s="15">
        <f>'FU 0.81'!$B24</f>
        <v>58.238679349999998</v>
      </c>
      <c r="N24" s="15">
        <f>'FU 0.82'!$B24</f>
        <v>58.957675389999999</v>
      </c>
      <c r="O24" s="15">
        <f>'FU 0.83'!$B24</f>
        <v>59.676671429999999</v>
      </c>
      <c r="P24" s="15">
        <f>'FU 0.84'!$B24</f>
        <v>60.395667469999999</v>
      </c>
      <c r="Q24" s="15">
        <f>'FU 0.85'!$B24</f>
        <v>61.11466351</v>
      </c>
    </row>
    <row r="25" spans="1:17" x14ac:dyDescent="0.25">
      <c r="A25">
        <f>'FU 0.7'!A25</f>
        <v>0.83</v>
      </c>
      <c r="B25" s="15">
        <f>'FU 0.7'!$B25</f>
        <v>50.9435</v>
      </c>
      <c r="C25" s="15">
        <f t="shared" si="0"/>
        <v>51.671264284999999</v>
      </c>
      <c r="D25" s="15">
        <f>'FU 0.72'!$B25</f>
        <v>52.399028569999999</v>
      </c>
      <c r="E25" s="15">
        <f>'FU 0.73'!$B25</f>
        <v>53.126792860000002</v>
      </c>
      <c r="F25" s="15">
        <f>'FU 0.74'!$B25</f>
        <v>53.854557139999997</v>
      </c>
      <c r="G25" s="15">
        <f>'FU 0.75'!$B25</f>
        <v>54.58232143</v>
      </c>
      <c r="H25" s="15">
        <f>'FU 0.76'!$B25</f>
        <v>55.310085719999996</v>
      </c>
      <c r="I25" s="15">
        <f>'FU 0.77'!$B25</f>
        <v>56.037849999999999</v>
      </c>
      <c r="J25" s="15">
        <f>'FU 0.78'!$B25</f>
        <v>56.765614290000002</v>
      </c>
      <c r="K25" s="15">
        <f>'FU 0.79'!$B25</f>
        <v>57.493378569999997</v>
      </c>
      <c r="L25" s="15">
        <f>'FU 0.8'!$B25</f>
        <v>58.22114286</v>
      </c>
      <c r="M25" s="15">
        <f>'FU 0.81'!$B25</f>
        <v>58.948907140000003</v>
      </c>
      <c r="N25" s="15">
        <f>'FU 0.82'!$B25</f>
        <v>59.676671429999999</v>
      </c>
      <c r="O25" s="15">
        <f>'FU 0.83'!$B25</f>
        <v>60.404435720000002</v>
      </c>
      <c r="P25" s="15">
        <f>'FU 0.84'!$B25</f>
        <v>61.132199999999997</v>
      </c>
      <c r="Q25" s="15">
        <f>'FU 0.85'!$B25</f>
        <v>61.859964290000001</v>
      </c>
    </row>
    <row r="26" spans="1:17" x14ac:dyDescent="0.25">
      <c r="A26">
        <f>'FU 0.7'!A26</f>
        <v>0.84</v>
      </c>
      <c r="B26" s="15">
        <f>'FU 0.7'!$B26</f>
        <v>51.557277110000001</v>
      </c>
      <c r="C26" s="15">
        <f t="shared" si="0"/>
        <v>52.293809639999999</v>
      </c>
      <c r="D26" s="15">
        <f>'FU 0.72'!$B26</f>
        <v>53.030342169999997</v>
      </c>
      <c r="E26" s="15">
        <f>'FU 0.73'!$B26</f>
        <v>53.766874700000002</v>
      </c>
      <c r="F26" s="15">
        <f>'FU 0.74'!$B26</f>
        <v>54.503407230000001</v>
      </c>
      <c r="G26" s="15">
        <f>'FU 0.75'!$B26</f>
        <v>55.239939759999999</v>
      </c>
      <c r="H26" s="15">
        <f>'FU 0.76'!$B26</f>
        <v>55.976472289999997</v>
      </c>
      <c r="I26" s="15">
        <f>'FU 0.77'!$B26</f>
        <v>56.713004820000002</v>
      </c>
      <c r="J26" s="15">
        <f>'FU 0.78'!$B26</f>
        <v>57.44953735</v>
      </c>
      <c r="K26" s="15">
        <f>'FU 0.79'!$B26</f>
        <v>58.186069879999998</v>
      </c>
      <c r="L26" s="15">
        <f>'FU 0.8'!$B26</f>
        <v>58.922602410000003</v>
      </c>
      <c r="M26" s="15">
        <f>'FU 0.81'!$B26</f>
        <v>59.659134940000001</v>
      </c>
      <c r="N26" s="15">
        <f>'FU 0.82'!$B26</f>
        <v>60.395667469999999</v>
      </c>
      <c r="O26" s="15">
        <f>'FU 0.83'!$B26</f>
        <v>61.132199999999997</v>
      </c>
      <c r="P26" s="15">
        <f>'FU 0.84'!$B26</f>
        <v>61.868732530000003</v>
      </c>
      <c r="Q26" s="15">
        <f>'FU 0.85'!$B26</f>
        <v>62.605265060000001</v>
      </c>
    </row>
    <row r="27" spans="1:17" x14ac:dyDescent="0.25">
      <c r="A27">
        <f>'FU 0.7'!A27</f>
        <v>0.85</v>
      </c>
      <c r="B27" s="15">
        <f>'FU 0.7'!$B27</f>
        <v>52.171054220000002</v>
      </c>
      <c r="C27" s="15">
        <f t="shared" si="0"/>
        <v>52.916354995000006</v>
      </c>
      <c r="D27" s="15">
        <f>'FU 0.72'!$B27</f>
        <v>53.661655770000003</v>
      </c>
      <c r="E27" s="15">
        <f>'FU 0.73'!$B27</f>
        <v>54.406956540000003</v>
      </c>
      <c r="F27" s="15">
        <f>'FU 0.74'!$B27</f>
        <v>55.152257319999997</v>
      </c>
      <c r="G27" s="15">
        <f>'FU 0.75'!$B27</f>
        <v>55.897558089999997</v>
      </c>
      <c r="H27" s="15">
        <f>'FU 0.76'!$B27</f>
        <v>56.642858869999998</v>
      </c>
      <c r="I27" s="15">
        <f>'FU 0.77'!$B27</f>
        <v>57.388159639999998</v>
      </c>
      <c r="J27" s="15">
        <f>'FU 0.78'!$B27</f>
        <v>58.133460409999998</v>
      </c>
      <c r="K27" s="15">
        <f>'FU 0.79'!$B27</f>
        <v>58.878761189999999</v>
      </c>
      <c r="L27" s="15">
        <f>'FU 0.8'!$B27</f>
        <v>59.624061959999999</v>
      </c>
      <c r="M27" s="15">
        <f>'FU 0.81'!$B27</f>
        <v>60.36936274</v>
      </c>
      <c r="N27" s="15">
        <f>'FU 0.82'!$B27</f>
        <v>61.11466351</v>
      </c>
      <c r="O27" s="15">
        <f>'FU 0.83'!$B27</f>
        <v>61.859964290000001</v>
      </c>
      <c r="P27" s="15">
        <f>'FU 0.84'!$B27</f>
        <v>62.605265060000001</v>
      </c>
      <c r="Q27" s="15">
        <f>'FU 0.85'!$B27</f>
        <v>63.350565840000002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H18" sqref="H18"/>
    </sheetView>
  </sheetViews>
  <sheetFormatPr defaultRowHeight="15" x14ac:dyDescent="0.25"/>
  <sheetData>
    <row r="1" spans="1:12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1:12" x14ac:dyDescent="0.25">
      <c r="A2">
        <f>0.6</f>
        <v>0.6</v>
      </c>
      <c r="B2">
        <f>38.93100516</f>
        <v>38.931005159999998</v>
      </c>
      <c r="C2">
        <f>37.16451139</f>
        <v>37.164511390000001</v>
      </c>
      <c r="D2">
        <f>36.95942254</f>
        <v>36.959422539999998</v>
      </c>
      <c r="E2">
        <f>74.12393393</f>
        <v>74.123933930000007</v>
      </c>
      <c r="F2">
        <f>36.60643545</f>
        <v>36.606435449999999</v>
      </c>
      <c r="G2">
        <f>34.94541899</f>
        <v>34.94541899</v>
      </c>
      <c r="H2">
        <f>10.23529702</f>
        <v>10.235297020000001</v>
      </c>
      <c r="I2">
        <f>45.18071601</f>
        <v>45.180716009999998</v>
      </c>
      <c r="J2">
        <f>165.84952</f>
        <v>165.84952000000001</v>
      </c>
      <c r="K2">
        <f>8.2342594</f>
        <v>8.2342593999999991</v>
      </c>
      <c r="L2">
        <f>9065.9066</f>
        <v>9065.9066000000003</v>
      </c>
    </row>
    <row r="3" spans="1:12" x14ac:dyDescent="0.25">
      <c r="A3">
        <f>0.61</f>
        <v>0.61</v>
      </c>
      <c r="B3">
        <f>39.57985525</f>
        <v>39.579855250000001</v>
      </c>
      <c r="C3">
        <f>37.85796988</f>
        <v>37.857969879999999</v>
      </c>
      <c r="D3">
        <f>36.80572475</f>
        <v>36.805724750000003</v>
      </c>
      <c r="E3">
        <f>74.66369463</f>
        <v>74.663694629999995</v>
      </c>
      <c r="F3">
        <f>37.2165427</f>
        <v>37.216542699999998</v>
      </c>
      <c r="G3">
        <f>35.59747108</f>
        <v>35.597471079999998</v>
      </c>
      <c r="H3">
        <f>10.26108907</f>
        <v>10.261089070000001</v>
      </c>
      <c r="I3">
        <f>45.85856016</f>
        <v>45.858560160000003</v>
      </c>
      <c r="J3">
        <f>164.22926</f>
        <v>164.22926000000001</v>
      </c>
      <c r="K3">
        <f>8.4475919</f>
        <v>8.4475919000000008</v>
      </c>
      <c r="L3">
        <f>8830.1681</f>
        <v>8830.1681000000008</v>
      </c>
    </row>
    <row r="4" spans="1:12" x14ac:dyDescent="0.25">
      <c r="A4">
        <f>0.62</f>
        <v>0.62</v>
      </c>
      <c r="B4">
        <f>40.22870534</f>
        <v>40.228705339999998</v>
      </c>
      <c r="C4">
        <f>38.55146258</f>
        <v>38.551462579999999</v>
      </c>
      <c r="D4">
        <f>36.65191506</f>
        <v>36.65191506</v>
      </c>
      <c r="E4">
        <f>75.20337764</f>
        <v>75.203377639999999</v>
      </c>
      <c r="F4">
        <f>37.82664996</f>
        <v>37.826649959999997</v>
      </c>
      <c r="G4">
        <f>36.24955535</f>
        <v>36.249555350000001</v>
      </c>
      <c r="H4">
        <f>10.28903151</f>
        <v>10.289031509999999</v>
      </c>
      <c r="I4">
        <f>46.53858685</f>
        <v>46.538586850000002</v>
      </c>
      <c r="J4">
        <f>162.4609</f>
        <v>162.46090000000001</v>
      </c>
      <c r="K4">
        <f>8.6724494</f>
        <v>8.6724493999999996</v>
      </c>
      <c r="L4">
        <f>8594.1995</f>
        <v>8594.1995000000006</v>
      </c>
    </row>
    <row r="5" spans="1:12" x14ac:dyDescent="0.25">
      <c r="A5">
        <f>0.63</f>
        <v>0.63</v>
      </c>
      <c r="B5">
        <f>40.87755542</f>
        <v>40.87755542</v>
      </c>
      <c r="C5">
        <f>39.24499251</f>
        <v>39.244992510000003</v>
      </c>
      <c r="D5">
        <f>36.4979836</f>
        <v>36.497983599999998</v>
      </c>
      <c r="E5">
        <f>75.74297611</f>
        <v>75.742976110000001</v>
      </c>
      <c r="F5">
        <f>38.43675722</f>
        <v>38.436757219999997</v>
      </c>
      <c r="G5">
        <f>36.90167461</f>
        <v>36.901674610000001</v>
      </c>
      <c r="H5">
        <f>10.31927401</f>
        <v>10.319274010000001</v>
      </c>
      <c r="I5">
        <f>47.22094862</f>
        <v>47.220948620000001</v>
      </c>
      <c r="J5">
        <f>160.54386</f>
        <v>160.54386</v>
      </c>
      <c r="K5">
        <f>8.9098079</f>
        <v>8.9098079000000006</v>
      </c>
      <c r="L5">
        <f>8357.9819</f>
        <v>8357.9819000000007</v>
      </c>
    </row>
    <row r="6" spans="1:12" x14ac:dyDescent="0.25">
      <c r="A6">
        <f>0.64</f>
        <v>0.64</v>
      </c>
      <c r="B6">
        <f>41.52640551</f>
        <v>41.526405509999996</v>
      </c>
      <c r="C6">
        <f>39.93856303</f>
        <v>39.938563029999997</v>
      </c>
      <c r="D6">
        <f>36.34391928</f>
        <v>36.343919280000001</v>
      </c>
      <c r="E6">
        <f>76.28248232</f>
        <v>76.28248232</v>
      </c>
      <c r="F6">
        <f>39.04686448</f>
        <v>39.046864480000004</v>
      </c>
      <c r="G6">
        <f>37.55383205</f>
        <v>37.553832049999997</v>
      </c>
      <c r="H6">
        <f>10.35198099</f>
        <v>10.351980989999999</v>
      </c>
      <c r="I6">
        <f>47.90581304</f>
        <v>47.905813039999998</v>
      </c>
      <c r="J6">
        <f>158.47751</f>
        <v>158.47751</v>
      </c>
      <c r="K6">
        <f>9.1607588</f>
        <v>9.1607588</v>
      </c>
      <c r="L6">
        <f>8121.4941</f>
        <v>8121.4940999999999</v>
      </c>
    </row>
    <row r="7" spans="1:12" x14ac:dyDescent="0.25">
      <c r="A7">
        <f>0.65</f>
        <v>0.65</v>
      </c>
      <c r="B7">
        <f>42.17525559</f>
        <v>42.175255589999999</v>
      </c>
      <c r="C7">
        <f>40.63217797</f>
        <v>40.632177970000001</v>
      </c>
      <c r="D7">
        <f>36.18970959</f>
        <v>36.18970959</v>
      </c>
      <c r="E7">
        <f>76.82188755</f>
        <v>76.82188755</v>
      </c>
      <c r="F7">
        <f>39.65697173</f>
        <v>39.656971730000002</v>
      </c>
      <c r="G7">
        <f>38.20603125</f>
        <v>38.206031250000002</v>
      </c>
      <c r="H7">
        <f>10.38733348</f>
        <v>10.387333480000001</v>
      </c>
      <c r="I7">
        <f>48.59336473</f>
        <v>48.593364729999998</v>
      </c>
      <c r="J7">
        <f>156.26112</f>
        <v>156.26112000000001</v>
      </c>
      <c r="K7">
        <f>9.4265272</f>
        <v>9.4265272000000007</v>
      </c>
      <c r="L7">
        <f>7884.7122</f>
        <v>7884.7121999999999</v>
      </c>
    </row>
    <row r="8" spans="1:12" x14ac:dyDescent="0.25">
      <c r="A8">
        <f>0.66</f>
        <v>0.66</v>
      </c>
      <c r="B8">
        <f>42.82410568</f>
        <v>42.824105680000002</v>
      </c>
      <c r="C8">
        <f>41.32584162</f>
        <v>41.325841619999998</v>
      </c>
      <c r="D8">
        <f>36.03534035</f>
        <v>36.035340349999998</v>
      </c>
      <c r="E8">
        <f>77.36118197</f>
        <v>77.361181970000004</v>
      </c>
      <c r="F8">
        <f>40.26707899</f>
        <v>40.267078990000002</v>
      </c>
      <c r="G8">
        <f>38.85827625</f>
        <v>38.858276250000003</v>
      </c>
      <c r="H8">
        <f>10.4255314</f>
        <v>10.425531400000001</v>
      </c>
      <c r="I8">
        <f>49.28380765</f>
        <v>49.28380765</v>
      </c>
      <c r="J8">
        <f>153.89388</f>
        <v>153.89388</v>
      </c>
      <c r="K8">
        <f>9.7084927</f>
        <v>9.7084927000000008</v>
      </c>
      <c r="L8">
        <f>7647.6094</f>
        <v>7647.6094000000003</v>
      </c>
    </row>
    <row r="9" spans="1:12" x14ac:dyDescent="0.25">
      <c r="A9">
        <f>0.67</f>
        <v>0.67</v>
      </c>
      <c r="B9">
        <f>43.47295577</f>
        <v>43.472955769999999</v>
      </c>
      <c r="C9">
        <f>42.01955888</f>
        <v>42.019558879999998</v>
      </c>
      <c r="D9">
        <f>35.88079548</f>
        <v>35.880795480000003</v>
      </c>
      <c r="E9">
        <f>77.90035436</f>
        <v>77.900354359999994</v>
      </c>
      <c r="F9">
        <f>40.87718625</f>
        <v>40.877186250000001</v>
      </c>
      <c r="G9">
        <f>39.51057167</f>
        <v>39.510571669999997</v>
      </c>
      <c r="H9">
        <f>10.46679618</f>
        <v>10.466796179999999</v>
      </c>
      <c r="I9">
        <f>49.97736785</f>
        <v>49.97736785</v>
      </c>
      <c r="J9">
        <f>151.37489</f>
        <v>151.37488999999999</v>
      </c>
      <c r="K9">
        <f>10.008216</f>
        <v>10.008215999999999</v>
      </c>
      <c r="L9">
        <f>7410.1554</f>
        <v>7410.1553999999996</v>
      </c>
    </row>
    <row r="10" spans="1:12" x14ac:dyDescent="0.25">
      <c r="A10">
        <f>0.68</f>
        <v>0.68</v>
      </c>
      <c r="B10">
        <f>44.12180585</f>
        <v>44.121805850000001</v>
      </c>
      <c r="C10">
        <f>42.71333535</f>
        <v>42.713335350000001</v>
      </c>
      <c r="D10">
        <f>35.72605657</f>
        <v>35.726056569999997</v>
      </c>
      <c r="E10">
        <f>78.43939192</f>
        <v>78.439391920000006</v>
      </c>
      <c r="F10">
        <f>41.48729351</f>
        <v>41.487293510000001</v>
      </c>
      <c r="G10">
        <f>40.16292276</f>
        <v>40.162922760000001</v>
      </c>
      <c r="H10">
        <f>10.51137395</f>
        <v>10.511373949999999</v>
      </c>
      <c r="I10">
        <f>50.67429671</f>
        <v>50.67429671</v>
      </c>
      <c r="J10">
        <f>148.70311</f>
        <v>148.70311000000001</v>
      </c>
      <c r="K10">
        <f>10.327469</f>
        <v>10.327469000000001</v>
      </c>
      <c r="L10">
        <f>7172.3158</f>
        <v>7172.3158000000003</v>
      </c>
    </row>
    <row r="11" spans="1:12" x14ac:dyDescent="0.25">
      <c r="A11">
        <f>0.69</f>
        <v>0.69</v>
      </c>
      <c r="B11">
        <f>44.77065594</f>
        <v>44.770655939999997</v>
      </c>
      <c r="C11">
        <f>43.40717744</f>
        <v>43.407177439999998</v>
      </c>
      <c r="D11">
        <f>35.5711025</f>
        <v>35.571102500000002</v>
      </c>
      <c r="E11">
        <f>78.97827994</f>
        <v>78.978279939999993</v>
      </c>
      <c r="F11">
        <f>42.09740076</f>
        <v>42.097400759999999</v>
      </c>
      <c r="G11">
        <f>40.81533555</f>
        <v>40.81533555</v>
      </c>
      <c r="H11">
        <f>10.5595392</f>
        <v>10.5595392</v>
      </c>
      <c r="I11">
        <f>51.37487475</f>
        <v>51.374874749999996</v>
      </c>
      <c r="J11">
        <f>145.87735</f>
        <v>145.87735000000001</v>
      </c>
      <c r="K11">
        <f>10.668274</f>
        <v>10.668274</v>
      </c>
      <c r="L11">
        <f>6934.0514</f>
        <v>6934.0514000000003</v>
      </c>
    </row>
    <row r="12" spans="1:12" x14ac:dyDescent="0.25">
      <c r="A12">
        <f>0.7</f>
        <v>0.7</v>
      </c>
      <c r="B12">
        <f>45.41950602</f>
        <v>45.41950602</v>
      </c>
      <c r="C12">
        <f>44.10109256</f>
        <v>44.101092559999998</v>
      </c>
      <c r="D12">
        <f>35.41590887</f>
        <v>35.415908870000003</v>
      </c>
      <c r="E12">
        <f>79.51700143</f>
        <v>79.517001429999993</v>
      </c>
      <c r="F12">
        <f>42.70750802</f>
        <v>42.707508019999999</v>
      </c>
      <c r="G12">
        <f>41.467817</f>
        <v>41.467816999999997</v>
      </c>
      <c r="H12">
        <f>10.61159926</f>
        <v>10.61159926</v>
      </c>
      <c r="I12">
        <f>52.07941627</f>
        <v>52.079416270000003</v>
      </c>
      <c r="J12">
        <f>142.89628</f>
        <v>142.89627999999999</v>
      </c>
      <c r="K12">
        <f>11.032951</f>
        <v>11.032951000000001</v>
      </c>
      <c r="L12">
        <f>6695.3172</f>
        <v>6695.3172000000004</v>
      </c>
    </row>
    <row r="13" spans="1:12" x14ac:dyDescent="0.25">
      <c r="A13">
        <f>0.71</f>
        <v>0.71</v>
      </c>
      <c r="B13">
        <f>46.06835611</f>
        <v>46.068356110000003</v>
      </c>
      <c r="C13">
        <f>44.79508929</f>
        <v>44.79508929</v>
      </c>
      <c r="D13">
        <f>35.26044739</f>
        <v>35.260447390000003</v>
      </c>
      <c r="E13">
        <f>80.05553668</f>
        <v>80.055536680000003</v>
      </c>
      <c r="F13">
        <f>43.31761528</f>
        <v>43.317615279999998</v>
      </c>
      <c r="G13">
        <f>42.1203752</f>
        <v>42.120375199999998</v>
      </c>
      <c r="H13">
        <f>10.66789974</f>
        <v>10.667899739999999</v>
      </c>
      <c r="I13">
        <f>52.78827494</f>
        <v>52.788274940000001</v>
      </c>
      <c r="J13">
        <f>139.75834</f>
        <v>139.75834</v>
      </c>
      <c r="K13">
        <f>11.424175</f>
        <v>11.424175</v>
      </c>
      <c r="L13">
        <f>6456.0613</f>
        <v>6456.0613000000003</v>
      </c>
    </row>
    <row r="14" spans="1:12" x14ac:dyDescent="0.25">
      <c r="A14">
        <f>0.72</f>
        <v>0.72</v>
      </c>
      <c r="B14">
        <f>46.7172062</f>
        <v>46.7172062</v>
      </c>
      <c r="C14">
        <f>45.48917769</f>
        <v>45.489177689999998</v>
      </c>
      <c r="D14">
        <f>35.10468494</f>
        <v>35.104684939999999</v>
      </c>
      <c r="E14">
        <f>80.59386262</f>
        <v>80.593862619999996</v>
      </c>
      <c r="F14">
        <f>43.92772254</f>
        <v>43.927722539999998</v>
      </c>
      <c r="G14">
        <f>42.77301959</f>
        <v>42.773019589999997</v>
      </c>
      <c r="H14">
        <f>10.72883101</f>
        <v>10.72883101</v>
      </c>
      <c r="I14">
        <f>53.5018506</f>
        <v>53.501850599999997</v>
      </c>
      <c r="J14">
        <f>136.46172</f>
        <v>136.46172000000001</v>
      </c>
      <c r="K14">
        <f>11.845048</f>
        <v>11.845048</v>
      </c>
      <c r="L14">
        <f>6216.2235</f>
        <v>6216.2235000000001</v>
      </c>
    </row>
    <row r="15" spans="1:12" x14ac:dyDescent="0.25">
      <c r="A15">
        <f>0.73</f>
        <v>0.73</v>
      </c>
      <c r="B15">
        <f>47.36605628</f>
        <v>47.366056280000002</v>
      </c>
      <c r="C15">
        <f>46.18336954</f>
        <v>46.183369540000001</v>
      </c>
      <c r="D15">
        <f>34.94858256</f>
        <v>34.948582559999998</v>
      </c>
      <c r="E15">
        <f>81.13195211</f>
        <v>81.13195211</v>
      </c>
      <c r="F15">
        <f>44.53782979</f>
        <v>44.537829790000004</v>
      </c>
      <c r="G15">
        <f>43.42576126</f>
        <v>43.425761260000002</v>
      </c>
      <c r="H15">
        <f>10.79483638</f>
        <v>10.79483638</v>
      </c>
      <c r="I15">
        <f>54.22059764</f>
        <v>54.220597640000001</v>
      </c>
      <c r="J15">
        <f>133.00434</f>
        <v>133.00434000000001</v>
      </c>
      <c r="K15">
        <f>12.299193</f>
        <v>12.299193000000001</v>
      </c>
      <c r="L15">
        <f>5975.7335</f>
        <v>5975.7335000000003</v>
      </c>
    </row>
    <row r="16" spans="1:12" x14ac:dyDescent="0.25">
      <c r="A16">
        <f>0.74</f>
        <v>0.74</v>
      </c>
      <c r="B16">
        <f>48.01490637</f>
        <v>48.014906369999999</v>
      </c>
      <c r="C16">
        <f>46.87767886</f>
        <v>46.877678860000003</v>
      </c>
      <c r="D16">
        <f>34.79209405</f>
        <v>34.792094050000003</v>
      </c>
      <c r="E16">
        <f>81.66977291</f>
        <v>81.669772910000006</v>
      </c>
      <c r="F16">
        <f>45.14793705</f>
        <v>45.147937050000003</v>
      </c>
      <c r="G16">
        <f>44.07861338</f>
        <v>44.07861338</v>
      </c>
      <c r="H16">
        <f>10.86642207</f>
        <v>10.86642207</v>
      </c>
      <c r="I16">
        <f>54.94503545</f>
        <v>54.945035449999999</v>
      </c>
      <c r="J16">
        <f>129.38372</f>
        <v>129.38372000000001</v>
      </c>
      <c r="K16">
        <f>12.790872</f>
        <v>12.790872</v>
      </c>
      <c r="L16">
        <f>5734.5084</f>
        <v>5734.5083999999997</v>
      </c>
    </row>
    <row r="17" spans="1:12" x14ac:dyDescent="0.25">
      <c r="A17">
        <f>0.75</f>
        <v>0.75</v>
      </c>
      <c r="B17">
        <f>48.66375646</f>
        <v>48.663756460000002</v>
      </c>
      <c r="C17">
        <f>47.57212239</f>
        <v>47.572122389999997</v>
      </c>
      <c r="D17">
        <f>34.63516408</f>
        <v>34.635164080000003</v>
      </c>
      <c r="E17">
        <f>82.20728647</f>
        <v>82.20728647</v>
      </c>
      <c r="F17">
        <f>45.75804431</f>
        <v>45.758044310000002</v>
      </c>
      <c r="G17">
        <f>44.7315917</f>
        <v>44.731591700000003</v>
      </c>
      <c r="H17">
        <f>10.94416987</f>
        <v>10.94416987</v>
      </c>
      <c r="I17">
        <f>55.67576157</f>
        <v>55.675761569999999</v>
      </c>
      <c r="J17">
        <f>125.59695</f>
        <v>125.59695000000001</v>
      </c>
      <c r="K17">
        <f>13.325138</f>
        <v>13.325138000000001</v>
      </c>
      <c r="L17">
        <f>5492.4498</f>
        <v>5492.4498000000003</v>
      </c>
    </row>
    <row r="18" spans="1:12" x14ac:dyDescent="0.25">
      <c r="A18">
        <f>0.76</f>
        <v>0.76</v>
      </c>
      <c r="B18">
        <f>49.31260654</f>
        <v>49.312606539999997</v>
      </c>
      <c r="C18">
        <f>48.26672033</f>
        <v>48.266720329999998</v>
      </c>
      <c r="D18">
        <f>34.47772583</f>
        <v>34.477725829999997</v>
      </c>
      <c r="E18">
        <f>82.74444616</f>
        <v>82.744446159999995</v>
      </c>
      <c r="F18">
        <f>46.36815157</f>
        <v>46.368151570000002</v>
      </c>
      <c r="G18">
        <f>45.38471521</f>
        <v>45.384715210000003</v>
      </c>
      <c r="H18">
        <f>11.02875329</f>
        <v>11.028753289999999</v>
      </c>
      <c r="I18">
        <f>56.4134685</f>
        <v>56.4134685</v>
      </c>
      <c r="J18">
        <f>121.64053</f>
        <v>121.64053</v>
      </c>
      <c r="K18">
        <f>13.908034</f>
        <v>13.908034000000001</v>
      </c>
      <c r="L18">
        <f>5249.4399</f>
        <v>5249.4399000000003</v>
      </c>
    </row>
    <row r="19" spans="1:12" x14ac:dyDescent="0.25">
      <c r="A19">
        <f>0.77</f>
        <v>0.77</v>
      </c>
      <c r="B19">
        <f>49.96145663</f>
        <v>49.961456630000001</v>
      </c>
      <c r="C19">
        <f>48.96149737</f>
        <v>48.961497369999996</v>
      </c>
      <c r="D19">
        <f>34.31969765</f>
        <v>34.319697650000002</v>
      </c>
      <c r="E19">
        <f>83.28119502</f>
        <v>83.281195019999998</v>
      </c>
      <c r="F19">
        <f>46.97825882</f>
        <v>46.978258820000001</v>
      </c>
      <c r="G19">
        <f>46.03800712</f>
        <v>46.038007120000003</v>
      </c>
      <c r="H19">
        <f>11.1209584</f>
        <v>11.120958399999999</v>
      </c>
      <c r="I19">
        <f>57.15896552</f>
        <v>57.158965520000002</v>
      </c>
      <c r="J19">
        <f>117.51023</f>
        <v>117.51023000000001</v>
      </c>
      <c r="K19">
        <f>14.546865</f>
        <v>14.546865</v>
      </c>
      <c r="L19">
        <f>5005.336</f>
        <v>5005.3360000000002</v>
      </c>
    </row>
    <row r="20" spans="1:12" x14ac:dyDescent="0.25">
      <c r="A20">
        <f>0.78</f>
        <v>0.78</v>
      </c>
      <c r="B20">
        <f>50.61030671</f>
        <v>50.610306710000003</v>
      </c>
      <c r="C20">
        <f>49.65648244</f>
        <v>49.656482439999998</v>
      </c>
      <c r="D20">
        <f>34.1609839</f>
        <v>34.160983899999998</v>
      </c>
      <c r="E20">
        <f>83.81746633</f>
        <v>83.817466330000002</v>
      </c>
      <c r="F20">
        <f>47.58836608</f>
        <v>47.58836608</v>
      </c>
      <c r="G20">
        <f>46.69149464</f>
        <v>46.691494640000002</v>
      </c>
      <c r="H20">
        <f>11.22170787</f>
        <v>11.221707869999999</v>
      </c>
      <c r="I20">
        <f>57.91320251</f>
        <v>57.913202509999998</v>
      </c>
      <c r="J20">
        <f>113.20492</f>
        <v>113.20492</v>
      </c>
      <c r="K20">
        <f>15.250533</f>
        <v>15.250533000000001</v>
      </c>
      <c r="L20">
        <f>4760.1318</f>
        <v>4760.1318000000001</v>
      </c>
    </row>
    <row r="21" spans="1:12" x14ac:dyDescent="0.25">
      <c r="A21">
        <f>0.79</f>
        <v>0.79</v>
      </c>
      <c r="B21">
        <f>51.2591568</f>
        <v>51.2591568</v>
      </c>
      <c r="C21">
        <f>50.35171679</f>
        <v>50.351716789999998</v>
      </c>
      <c r="D21">
        <f>34.00144745</f>
        <v>34.001447450000001</v>
      </c>
      <c r="E21">
        <f>84.35316424</f>
        <v>84.353164239999998</v>
      </c>
      <c r="F21">
        <f>48.19847334</f>
        <v>48.19847334</v>
      </c>
      <c r="G21">
        <f>47.34521656</f>
        <v>47.345216559999997</v>
      </c>
      <c r="H21">
        <f>11.33211171</f>
        <v>11.33211171</v>
      </c>
      <c r="I21">
        <f>58.67732827</f>
        <v>58.677328269999997</v>
      </c>
      <c r="J21">
        <f>108.70992</f>
        <v>108.70992</v>
      </c>
      <c r="K21">
        <f>16.03014</f>
        <v>16.030139999999999</v>
      </c>
      <c r="L21">
        <f>4513.2602</f>
        <v>4513.2601999999997</v>
      </c>
    </row>
    <row r="22" spans="1:12" x14ac:dyDescent="0.25">
      <c r="A22">
        <f>0.8</f>
        <v>0.8</v>
      </c>
      <c r="B22">
        <f>51.90800689</f>
        <v>51.908006890000003</v>
      </c>
      <c r="C22">
        <f>51.0472476</f>
        <v>51.047247599999999</v>
      </c>
      <c r="D22">
        <f>33.84093197</f>
        <v>33.84093197</v>
      </c>
      <c r="E22">
        <f>84.88817957</f>
        <v>84.888179570000005</v>
      </c>
      <c r="F22">
        <f>48.8085806</f>
        <v>48.808580599999999</v>
      </c>
      <c r="G22">
        <f>47.99921723</f>
        <v>47.999217229999999</v>
      </c>
      <c r="H22">
        <f>11.4534985</f>
        <v>11.4534985</v>
      </c>
      <c r="I22">
        <f>59.45271573</f>
        <v>59.452715730000001</v>
      </c>
      <c r="J22">
        <f>104.02141</f>
        <v>104.02141</v>
      </c>
      <c r="K22">
        <f>16.899568</f>
        <v>16.899567999999999</v>
      </c>
      <c r="L22">
        <f>4264.6266</f>
        <v>4264.6265999999996</v>
      </c>
    </row>
    <row r="23" spans="1:12" x14ac:dyDescent="0.25">
      <c r="A23">
        <f>0.81</f>
        <v>0.81</v>
      </c>
      <c r="B23">
        <f>52.55685697</f>
        <v>52.556856969999998</v>
      </c>
      <c r="C23">
        <f>51.74313805</f>
        <v>51.743138049999999</v>
      </c>
      <c r="D23">
        <f>33.67922756</f>
        <v>33.679227560000001</v>
      </c>
      <c r="E23">
        <f>85.42236561</f>
        <v>85.42236561</v>
      </c>
      <c r="F23">
        <f>49.41868785</f>
        <v>49.418687849999998</v>
      </c>
      <c r="G23">
        <f>48.65355607</f>
        <v>48.65355607</v>
      </c>
      <c r="H23">
        <f>11.58750085</f>
        <v>11.58750085</v>
      </c>
      <c r="I23">
        <f>60.24105692</f>
        <v>60.241056919999998</v>
      </c>
      <c r="J23">
        <f>99.129016</f>
        <v>99.129015999999993</v>
      </c>
      <c r="K23">
        <f>17.876612</f>
        <v>17.876612000000002</v>
      </c>
      <c r="L23">
        <f>4013.8769</f>
        <v>4013.8769000000002</v>
      </c>
    </row>
    <row r="24" spans="1:12" x14ac:dyDescent="0.25">
      <c r="A24">
        <f>0.82</f>
        <v>0.82</v>
      </c>
      <c r="B24">
        <f>53.20570706</f>
        <v>53.205707060000002</v>
      </c>
      <c r="C24">
        <f>52.43947206</f>
        <v>52.43947206</v>
      </c>
      <c r="D24">
        <f>33.51605508</f>
        <v>33.516055080000001</v>
      </c>
      <c r="E24">
        <f>85.95552713</f>
        <v>85.955527129999993</v>
      </c>
      <c r="F24">
        <f>50.02879511</f>
        <v>50.028795109999997</v>
      </c>
      <c r="G24">
        <f>49.30831199</f>
        <v>49.30831199</v>
      </c>
      <c r="H24">
        <f>11.73615887</f>
        <v>11.736158870000001</v>
      </c>
      <c r="I24">
        <f>61.04447086</f>
        <v>61.044470859999997</v>
      </c>
      <c r="J24">
        <f>94.019155</f>
        <v>94.019154999999998</v>
      </c>
      <c r="K24">
        <f>18.984549</f>
        <v>18.984549000000001</v>
      </c>
      <c r="L24">
        <f>3760.5448</f>
        <v>3760.5448000000001</v>
      </c>
    </row>
    <row r="25" spans="1:12" x14ac:dyDescent="0.25">
      <c r="A25">
        <f>0.83</f>
        <v>0.83</v>
      </c>
      <c r="B25">
        <f>53.85455714</f>
        <v>53.854557139999997</v>
      </c>
      <c r="C25">
        <f>53.13636422</f>
        <v>53.136364219999997</v>
      </c>
      <c r="D25">
        <f>33.35103517</f>
        <v>33.351035170000003</v>
      </c>
      <c r="E25">
        <f>86.48739939</f>
        <v>86.487399389999993</v>
      </c>
      <c r="F25">
        <f>50.63890237</f>
        <v>50.638902369999997</v>
      </c>
      <c r="G25">
        <f>49.96359273</f>
        <v>49.963592730000002</v>
      </c>
      <c r="H25">
        <f>11.90208445</f>
        <v>11.90208445</v>
      </c>
      <c r="I25">
        <f>61.86567718</f>
        <v>61.865677179999999</v>
      </c>
      <c r="J25">
        <f>88.673483</f>
        <v>88.673483000000004</v>
      </c>
      <c r="K25">
        <f>20.254624</f>
        <v>20.254624</v>
      </c>
      <c r="L25">
        <f>3503.9988</f>
        <v>3503.9987999999998</v>
      </c>
    </row>
    <row r="26" spans="1:12" x14ac:dyDescent="0.25">
      <c r="A26">
        <f>0.84</f>
        <v>0.84</v>
      </c>
      <c r="B26">
        <f>54.50340723</f>
        <v>54.503407230000001</v>
      </c>
      <c r="C26">
        <f>53.83397643</f>
        <v>53.83397643</v>
      </c>
      <c r="D26">
        <f>33.18362574</f>
        <v>33.183625739999997</v>
      </c>
      <c r="E26">
        <f>87.01760217</f>
        <v>87.017602170000004</v>
      </c>
      <c r="F26">
        <f>51.24900963</f>
        <v>51.249009630000003</v>
      </c>
      <c r="G26">
        <f>50.61955053</f>
        <v>50.619550529999998</v>
      </c>
      <c r="H26">
        <f>12.0887213</f>
        <v>12.0887213</v>
      </c>
      <c r="I26">
        <f>62.70827183</f>
        <v>62.708271830000001</v>
      </c>
      <c r="J26">
        <f>83.066401</f>
        <v>83.066400999999999</v>
      </c>
      <c r="K26">
        <f>21.73017</f>
        <v>21.730170000000001</v>
      </c>
      <c r="L26">
        <f>3243.3542</f>
        <v>3243.3542000000002</v>
      </c>
    </row>
    <row r="27" spans="1:12" x14ac:dyDescent="0.25">
      <c r="A27">
        <f>0.85</f>
        <v>0.85</v>
      </c>
      <c r="B27">
        <f>55.15225732</f>
        <v>55.152257319999997</v>
      </c>
      <c r="C27">
        <f>54.53254775</f>
        <v>54.532547749999999</v>
      </c>
      <c r="D27">
        <f>33.01303038</f>
        <v>33.013030379999996</v>
      </c>
      <c r="E27">
        <f>87.54557813</f>
        <v>87.545578129999996</v>
      </c>
      <c r="F27">
        <f>51.85911688</f>
        <v>51.859116880000002</v>
      </c>
      <c r="G27">
        <f>51.27641016</f>
        <v>51.276410159999998</v>
      </c>
      <c r="H27">
        <f>12.3008023</f>
        <v>12.300802300000001</v>
      </c>
      <c r="I27">
        <f>63.57721247</f>
        <v>63.577212469999999</v>
      </c>
      <c r="J27">
        <f>77.160586</f>
        <v>77.160585999999995</v>
      </c>
      <c r="K27">
        <f>23.473874</f>
        <v>23.473873999999999</v>
      </c>
      <c r="L27">
        <f>2977.3155</f>
        <v>2977.3155000000002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K17" sqref="K17"/>
    </sheetView>
  </sheetViews>
  <sheetFormatPr defaultRowHeight="15" x14ac:dyDescent="0.25"/>
  <sheetData>
    <row r="1" spans="1:12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>
        <f>0.6</f>
        <v>0.6</v>
      </c>
      <c r="B2">
        <f>39.45709983</f>
        <v>39.457099829999997</v>
      </c>
      <c r="C2">
        <f>37.65022182</f>
        <v>37.650221819999999</v>
      </c>
      <c r="D2">
        <f>35.92434101</f>
        <v>35.924341009999999</v>
      </c>
      <c r="E2">
        <f>73.57456283</f>
        <v>73.574562830000005</v>
      </c>
      <c r="F2">
        <f>37.10111701</f>
        <v>37.101117010000003</v>
      </c>
      <c r="G2">
        <f>35.40212765</f>
        <v>35.402127649999997</v>
      </c>
      <c r="H2">
        <f>9.786889145</f>
        <v>9.786889145</v>
      </c>
      <c r="I2">
        <f>45.1890168</f>
        <v>45.189016799999997</v>
      </c>
      <c r="J2">
        <f>165.35677</f>
        <v>165.35677000000001</v>
      </c>
      <c r="K2">
        <f>8.1589999</f>
        <v>8.1589998999999995</v>
      </c>
      <c r="L2">
        <f>9038.9714</f>
        <v>9038.9714000000004</v>
      </c>
    </row>
    <row r="3" spans="1:12" x14ac:dyDescent="0.25">
      <c r="A3">
        <f>0.61</f>
        <v>0.61</v>
      </c>
      <c r="B3">
        <f>40.11471816</f>
        <v>40.114718160000002</v>
      </c>
      <c r="C3">
        <f>38.35305532</f>
        <v>38.353055320000003</v>
      </c>
      <c r="D3">
        <f>35.76854752</f>
        <v>35.768547519999998</v>
      </c>
      <c r="E3">
        <f>74.12160284</f>
        <v>74.121602839999994</v>
      </c>
      <c r="F3">
        <f>37.71946896</f>
        <v>37.71946896</v>
      </c>
      <c r="G3">
        <f>36.06299498</f>
        <v>36.062994979999999</v>
      </c>
      <c r="H3">
        <f>9.80807828</f>
        <v>9.8080782800000001</v>
      </c>
      <c r="I3">
        <f>45.87107326</f>
        <v>45.871073260000003</v>
      </c>
      <c r="J3">
        <f>163.72692</f>
        <v>163.72692000000001</v>
      </c>
      <c r="K3">
        <f>8.3684198</f>
        <v>8.3684197999999999</v>
      </c>
      <c r="L3">
        <f>8803.1584</f>
        <v>8803.1584000000003</v>
      </c>
    </row>
    <row r="4" spans="1:12" x14ac:dyDescent="0.25">
      <c r="A4">
        <f>0.62</f>
        <v>0.62</v>
      </c>
      <c r="B4">
        <f>40.77233649</f>
        <v>40.772336490000001</v>
      </c>
      <c r="C4">
        <f>39.05592385</f>
        <v>39.055923849999999</v>
      </c>
      <c r="D4">
        <f>35.61263909</f>
        <v>35.612639090000002</v>
      </c>
      <c r="E4">
        <f>74.66856294</f>
        <v>74.668562940000001</v>
      </c>
      <c r="F4">
        <f>38.33782091</f>
        <v>38.337820909999998</v>
      </c>
      <c r="G4">
        <f>36.72389524</f>
        <v>36.723895239999997</v>
      </c>
      <c r="H4">
        <f>9.83122732</f>
        <v>9.83122732</v>
      </c>
      <c r="I4">
        <f>46.55512256</f>
        <v>46.555122560000001</v>
      </c>
      <c r="J4">
        <f>161.94883</f>
        <v>161.94882999999999</v>
      </c>
      <c r="K4">
        <f>8.5890487</f>
        <v>8.5890486999999993</v>
      </c>
      <c r="L4">
        <f>8567.111</f>
        <v>8567.1110000000008</v>
      </c>
    </row>
    <row r="5" spans="1:12" x14ac:dyDescent="0.25">
      <c r="A5">
        <f>0.63</f>
        <v>0.63</v>
      </c>
      <c r="B5">
        <f>41.42995482</f>
        <v>41.429954819999999</v>
      </c>
      <c r="C5">
        <f>39.75883051</f>
        <v>39.758830510000003</v>
      </c>
      <c r="D5">
        <f>35.45660554</f>
        <v>35.456605539999998</v>
      </c>
      <c r="E5">
        <f>75.21543604</f>
        <v>75.21543604</v>
      </c>
      <c r="F5">
        <f>38.95617286</f>
        <v>38.956172860000002</v>
      </c>
      <c r="G5">
        <f>37.38483135</f>
        <v>37.384831349999999</v>
      </c>
      <c r="H5">
        <f>9.856472648</f>
        <v>9.8564726480000004</v>
      </c>
      <c r="I5">
        <f>47.241304</f>
        <v>47.241304</v>
      </c>
      <c r="J5">
        <f>160.02193</f>
        <v>160.02193</v>
      </c>
      <c r="K5">
        <f>8.8218275</f>
        <v>8.8218274999999995</v>
      </c>
      <c r="L5">
        <f>8330.8097</f>
        <v>8330.8096999999998</v>
      </c>
    </row>
    <row r="6" spans="1:12" x14ac:dyDescent="0.25">
      <c r="A6">
        <f>0.64</f>
        <v>0.64</v>
      </c>
      <c r="B6">
        <f>42.08757315</f>
        <v>42.087573149999997</v>
      </c>
      <c r="C6">
        <f>40.46177876</f>
        <v>40.461778760000001</v>
      </c>
      <c r="D6">
        <f>35.3004354</f>
        <v>35.300435399999998</v>
      </c>
      <c r="E6">
        <f>75.76221416</f>
        <v>75.762214159999999</v>
      </c>
      <c r="F6">
        <f>39.57452481</f>
        <v>39.57452481</v>
      </c>
      <c r="G6">
        <f>38.04580657</f>
        <v>38.045806570000003</v>
      </c>
      <c r="H6">
        <f>9.883964042</f>
        <v>9.8839640420000006</v>
      </c>
      <c r="I6">
        <f>47.92977062</f>
        <v>47.929770619999999</v>
      </c>
      <c r="J6">
        <f>157.94555</f>
        <v>157.94555</v>
      </c>
      <c r="K6">
        <f>9.0678072</f>
        <v>9.0678072000000007</v>
      </c>
      <c r="L6">
        <f>8094.2328</f>
        <v>8094.2327999999998</v>
      </c>
    </row>
    <row r="7" spans="1:12" x14ac:dyDescent="0.25">
      <c r="A7">
        <f>0.65</f>
        <v>0.65</v>
      </c>
      <c r="B7">
        <f>42.74519148</f>
        <v>42.745191480000003</v>
      </c>
      <c r="C7">
        <f>41.16477252</f>
        <v>41.16477252</v>
      </c>
      <c r="D7">
        <f>35.14411577</f>
        <v>35.144115769999999</v>
      </c>
      <c r="E7">
        <f>76.3088883</f>
        <v>76.308888300000007</v>
      </c>
      <c r="F7">
        <f>40.19287676</f>
        <v>40.192876759999997</v>
      </c>
      <c r="G7">
        <f>38.70682459</f>
        <v>38.706824589999997</v>
      </c>
      <c r="H7">
        <f>9.91386643</f>
        <v>9.9138664300000006</v>
      </c>
      <c r="I7">
        <f>48.62069102</f>
        <v>48.620691020000002</v>
      </c>
      <c r="J7">
        <f>155.71896</f>
        <v>155.71896000000001</v>
      </c>
      <c r="K7">
        <f>9.3281663</f>
        <v>9.3281662999999995</v>
      </c>
      <c r="L7">
        <f>7857.3559</f>
        <v>7857.3558999999996</v>
      </c>
    </row>
    <row r="8" spans="1:12" x14ac:dyDescent="0.25">
      <c r="A8">
        <f>0.66</f>
        <v>0.66</v>
      </c>
      <c r="B8">
        <f>43.40280981</f>
        <v>43.402809810000001</v>
      </c>
      <c r="C8">
        <f>41.86781624</f>
        <v>41.867816240000003</v>
      </c>
      <c r="D8">
        <f>34.987632</f>
        <v>34.987631999999998</v>
      </c>
      <c r="E8">
        <f>76.85544824</f>
        <v>76.855448240000001</v>
      </c>
      <c r="F8">
        <f>40.81122871</f>
        <v>40.811228710000002</v>
      </c>
      <c r="G8">
        <f>39.36788958</f>
        <v>39.367889580000003</v>
      </c>
      <c r="H8">
        <f>9.946361944</f>
        <v>9.9463619439999995</v>
      </c>
      <c r="I8">
        <f>49.31425152</f>
        <v>49.314251519999999</v>
      </c>
      <c r="J8">
        <f>153.34135</f>
        <v>153.34135000000001</v>
      </c>
      <c r="K8">
        <f>9.604231</f>
        <v>9.6042310000000004</v>
      </c>
      <c r="L8">
        <f>7620.1516</f>
        <v>7620.1516000000001</v>
      </c>
    </row>
    <row r="9" spans="1:12" x14ac:dyDescent="0.25">
      <c r="A9">
        <f>0.67</f>
        <v>0.67</v>
      </c>
      <c r="B9">
        <f>44.06042814</f>
        <v>44.060428139999999</v>
      </c>
      <c r="C9">
        <f>42.57091496</f>
        <v>42.570914960000003</v>
      </c>
      <c r="D9">
        <f>34.83096744</f>
        <v>34.830967440000002</v>
      </c>
      <c r="E9">
        <f>77.4018824</f>
        <v>77.401882400000005</v>
      </c>
      <c r="F9">
        <f>41.42958066</f>
        <v>41.429580659999999</v>
      </c>
      <c r="G9">
        <f>40.02900628</f>
        <v>40.029006279999997</v>
      </c>
      <c r="H9">
        <f>9.981652328</f>
        <v>9.9816523279999991</v>
      </c>
      <c r="I9">
        <f>50.01065861</f>
        <v>50.01065861</v>
      </c>
      <c r="J9">
        <f>150.81176</f>
        <v>150.81175999999999</v>
      </c>
      <c r="K9">
        <f>9.8974997</f>
        <v>9.8974996999999991</v>
      </c>
      <c r="L9">
        <f>7382.5889</f>
        <v>7382.5888999999997</v>
      </c>
    </row>
    <row r="10" spans="1:12" x14ac:dyDescent="0.25">
      <c r="A10">
        <f>0.68</f>
        <v>0.68</v>
      </c>
      <c r="B10">
        <f>44.71804647</f>
        <v>44.718046469999997</v>
      </c>
      <c r="C10">
        <f>43.27407443</f>
        <v>43.274074429999999</v>
      </c>
      <c r="D10">
        <f>34.67410304</f>
        <v>34.674103039999999</v>
      </c>
      <c r="E10">
        <f>77.94817748</f>
        <v>77.948177479999998</v>
      </c>
      <c r="F10">
        <f>42.04793261</f>
        <v>42.047932609999997</v>
      </c>
      <c r="G10">
        <f>40.69018012</f>
        <v>40.690180120000001</v>
      </c>
      <c r="H10">
        <f>10.0199618</f>
        <v>10.019961800000001</v>
      </c>
      <c r="I10">
        <f>50.71014191</f>
        <v>50.710141909999997</v>
      </c>
      <c r="J10">
        <f>148.12915</f>
        <v>148.12915000000001</v>
      </c>
      <c r="K10">
        <f>10.209672</f>
        <v>10.209671999999999</v>
      </c>
      <c r="L10">
        <f>7144.6326</f>
        <v>7144.6325999999999</v>
      </c>
    </row>
    <row r="11" spans="1:12" x14ac:dyDescent="0.25">
      <c r="A11">
        <f>0.69</f>
        <v>0.69</v>
      </c>
      <c r="B11">
        <f>45.3756648</f>
        <v>45.375664800000003</v>
      </c>
      <c r="C11">
        <f>43.97730129</f>
        <v>43.97730129</v>
      </c>
      <c r="D11">
        <f>34.51701694</f>
        <v>34.517016939999998</v>
      </c>
      <c r="E11">
        <f>78.49431823</f>
        <v>78.494318230000005</v>
      </c>
      <c r="F11">
        <f>42.66628456</f>
        <v>42.666284560000001</v>
      </c>
      <c r="G11">
        <f>41.35141731</f>
        <v>41.351417310000002</v>
      </c>
      <c r="H11">
        <f>10.06154043</f>
        <v>10.061540430000001</v>
      </c>
      <c r="I11">
        <f>51.41295774</f>
        <v>51.412957740000003</v>
      </c>
      <c r="J11">
        <f>145.29232</f>
        <v>145.29231999999999</v>
      </c>
      <c r="K11">
        <f>10.542686</f>
        <v>10.542686</v>
      </c>
      <c r="L11">
        <f>6906.2426</f>
        <v>6906.2425999999996</v>
      </c>
    </row>
    <row r="12" spans="1:12" x14ac:dyDescent="0.25">
      <c r="A12">
        <f>0.7</f>
        <v>0.7</v>
      </c>
      <c r="B12">
        <f>46.03328313</f>
        <v>46.033283130000001</v>
      </c>
      <c r="C12">
        <f>44.68060318</f>
        <v>44.680603179999999</v>
      </c>
      <c r="D12">
        <f>34.35968385</f>
        <v>34.359683850000003</v>
      </c>
      <c r="E12">
        <f>79.04028703</f>
        <v>79.040287030000002</v>
      </c>
      <c r="F12">
        <f>43.28463651</f>
        <v>43.284636509999999</v>
      </c>
      <c r="G12">
        <f>42.01272505</f>
        <v>42.01272505</v>
      </c>
      <c r="H12">
        <f>10.10666825</f>
        <v>10.10666825</v>
      </c>
      <c r="I12">
        <f>52.1193933</f>
        <v>52.119393299999999</v>
      </c>
      <c r="J12">
        <f>142.29987</f>
        <v>142.29987</v>
      </c>
      <c r="K12">
        <f>10.898762</f>
        <v>10.898762</v>
      </c>
      <c r="L12">
        <f>6667.3726</f>
        <v>6667.3725999999997</v>
      </c>
    </row>
    <row r="13" spans="1:12" x14ac:dyDescent="0.25">
      <c r="A13">
        <f>0.71</f>
        <v>0.71</v>
      </c>
      <c r="B13">
        <f>46.69090146</f>
        <v>46.690901459999999</v>
      </c>
      <c r="C13">
        <f>45.38398897</f>
        <v>45.383988969999997</v>
      </c>
      <c r="D13">
        <f>34.2020744</f>
        <v>34.202074400000001</v>
      </c>
      <c r="E13">
        <f>79.58606338</f>
        <v>79.586063379999999</v>
      </c>
      <c r="F13">
        <f>43.90298846</f>
        <v>43.902988460000003</v>
      </c>
      <c r="G13">
        <f>42.67411169</f>
        <v>42.674111689999997</v>
      </c>
      <c r="H13">
        <f>10.15566012</f>
        <v>10.15566012</v>
      </c>
      <c r="I13">
        <f>52.82977181</f>
        <v>52.829771809999997</v>
      </c>
      <c r="J13">
        <f>139.15022</f>
        <v>139.15021999999999</v>
      </c>
      <c r="K13">
        <f>11.280454</f>
        <v>11.280454000000001</v>
      </c>
      <c r="L13">
        <f>6427.9697</f>
        <v>6427.9696999999996</v>
      </c>
    </row>
    <row r="14" spans="1:12" x14ac:dyDescent="0.25">
      <c r="A14">
        <f>0.72</f>
        <v>0.72</v>
      </c>
      <c r="B14">
        <f>47.34851979</f>
        <v>47.348519789999997</v>
      </c>
      <c r="C14">
        <f>46.08746906</f>
        <v>46.087469059999997</v>
      </c>
      <c r="D14">
        <f>34.04415423</f>
        <v>34.044154229999997</v>
      </c>
      <c r="E14">
        <f>80.13162329</f>
        <v>80.131623289999993</v>
      </c>
      <c r="F14">
        <f>44.52134041</f>
        <v>44.521340410000001</v>
      </c>
      <c r="G14">
        <f>43.33558699</f>
        <v>43.335586990000003</v>
      </c>
      <c r="H14">
        <f>10.20887179</f>
        <v>10.20887179</v>
      </c>
      <c r="I14">
        <f>53.54445878</f>
        <v>53.544458779999999</v>
      </c>
      <c r="J14">
        <f>135.84153</f>
        <v>135.84153000000001</v>
      </c>
      <c r="K14">
        <f>11.690727</f>
        <v>11.690727000000001</v>
      </c>
      <c r="L14">
        <f>6187.9719</f>
        <v>6187.9718999999996</v>
      </c>
    </row>
    <row r="15" spans="1:12" x14ac:dyDescent="0.25">
      <c r="A15">
        <f>0.73</f>
        <v>0.73</v>
      </c>
      <c r="B15">
        <f>48.00613812</f>
        <v>48.006138120000003</v>
      </c>
      <c r="C15">
        <f>46.79105566</f>
        <v>46.791055659999998</v>
      </c>
      <c r="D15">
        <f>33.88588284</f>
        <v>33.885882840000001</v>
      </c>
      <c r="E15">
        <f>80.67693849</f>
        <v>80.676938489999998</v>
      </c>
      <c r="F15">
        <f>45.13969236</f>
        <v>45.139692359999998</v>
      </c>
      <c r="G15">
        <f>43.99716245</f>
        <v>43.997162449999998</v>
      </c>
      <c r="H15">
        <f>10.26670723</f>
        <v>10.26670723</v>
      </c>
      <c r="I15">
        <f>54.26386968</f>
        <v>54.263869679999999</v>
      </c>
      <c r="J15">
        <f>132.37164</f>
        <v>132.37164000000001</v>
      </c>
      <c r="K15">
        <f>12.133032</f>
        <v>12.133032</v>
      </c>
      <c r="L15">
        <f>5947.3072</f>
        <v>5947.3072000000002</v>
      </c>
    </row>
    <row r="16" spans="1:12" x14ac:dyDescent="0.25">
      <c r="A16">
        <f>0.74</f>
        <v>0.74</v>
      </c>
      <c r="B16">
        <f>48.66375646</f>
        <v>48.663756460000002</v>
      </c>
      <c r="C16">
        <f>47.49476328</f>
        <v>47.494763280000001</v>
      </c>
      <c r="D16">
        <f>33.72721213</f>
        <v>33.727212129999998</v>
      </c>
      <c r="E16">
        <f>81.22197541</f>
        <v>81.221975409999999</v>
      </c>
      <c r="F16">
        <f>45.75804431</f>
        <v>45.758044310000002</v>
      </c>
      <c r="G16">
        <f>44.6588517</f>
        <v>44.6588517</v>
      </c>
      <c r="H16">
        <f>10.32962786</f>
        <v>10.32962786</v>
      </c>
      <c r="I16">
        <f>54.98847956</f>
        <v>54.988479560000002</v>
      </c>
      <c r="J16">
        <f>128.73804</f>
        <v>128.73804000000001</v>
      </c>
      <c r="K16">
        <f>12.611428</f>
        <v>12.611428</v>
      </c>
      <c r="L16">
        <f>5705.8906</f>
        <v>5705.8905999999997</v>
      </c>
    </row>
    <row r="17" spans="1:12" x14ac:dyDescent="0.25">
      <c r="A17">
        <f>0.75</f>
        <v>0.75</v>
      </c>
      <c r="B17">
        <f>49.32137479</f>
        <v>49.32137479</v>
      </c>
      <c r="C17">
        <f>48.1986093</f>
        <v>48.198609300000001</v>
      </c>
      <c r="D17">
        <f>33.56808447</f>
        <v>33.568084470000002</v>
      </c>
      <c r="E17">
        <f>81.76669377</f>
        <v>81.766693770000003</v>
      </c>
      <c r="F17">
        <f>46.37639626</f>
        <v>46.37639626</v>
      </c>
      <c r="G17">
        <f>45.32067109</f>
        <v>45.320671089999998</v>
      </c>
      <c r="H17">
        <f>10.39816407</f>
        <v>10.39816407</v>
      </c>
      <c r="I17">
        <f>55.71883515</f>
        <v>55.718835149999997</v>
      </c>
      <c r="J17">
        <f>124.93772</f>
        <v>124.93772</v>
      </c>
      <c r="K17">
        <f>13.130716</f>
        <v>13.130716</v>
      </c>
      <c r="L17">
        <f>5463.6211</f>
        <v>5463.6211000000003</v>
      </c>
    </row>
    <row r="18" spans="1:12" x14ac:dyDescent="0.25">
      <c r="A18">
        <f>0.76</f>
        <v>0.76</v>
      </c>
      <c r="B18">
        <f>49.97899312</f>
        <v>49.978993119999998</v>
      </c>
      <c r="C18">
        <f>48.90261473</f>
        <v>48.902614730000003</v>
      </c>
      <c r="D18">
        <f>33.40843014</f>
        <v>33.40843014</v>
      </c>
      <c r="E18">
        <f>82.31104487</f>
        <v>82.311044870000003</v>
      </c>
      <c r="F18">
        <f>46.99474821</f>
        <v>46.994748209999997</v>
      </c>
      <c r="G18">
        <f>45.98264036</f>
        <v>45.982640359999998</v>
      </c>
      <c r="H18">
        <f>10.47293004</f>
        <v>10.47293004</v>
      </c>
      <c r="I18">
        <f>56.4555704</f>
        <v>56.455570399999999</v>
      </c>
      <c r="J18">
        <f>120.96709</f>
        <v>120.96709</v>
      </c>
      <c r="K18">
        <f>13.696633</f>
        <v>13.696633</v>
      </c>
      <c r="L18">
        <f>5220.3774</f>
        <v>5220.3774000000003</v>
      </c>
    </row>
    <row r="19" spans="1:12" x14ac:dyDescent="0.25">
      <c r="A19">
        <f>0.77</f>
        <v>0.77</v>
      </c>
      <c r="B19">
        <f>50.63661145</f>
        <v>50.636611449999997</v>
      </c>
      <c r="C19">
        <f>49.60680525</f>
        <v>49.606805250000001</v>
      </c>
      <c r="D19">
        <f>33.24816381</f>
        <v>33.248163810000001</v>
      </c>
      <c r="E19">
        <f>82.85496905</f>
        <v>82.854969049999994</v>
      </c>
      <c r="F19">
        <f>47.61310016</f>
        <v>47.613100160000002</v>
      </c>
      <c r="G19">
        <f>46.64478367</f>
        <v>46.644783670000002</v>
      </c>
      <c r="H19">
        <f>10.55464291</f>
        <v>10.55464291</v>
      </c>
      <c r="I19">
        <f>57.19942658</f>
        <v>57.199426580000001</v>
      </c>
      <c r="J19">
        <f>116.82181</f>
        <v>116.82181</v>
      </c>
      <c r="K19">
        <f>14.316101</f>
        <v>14.316101</v>
      </c>
      <c r="L19">
        <f>4976.0129</f>
        <v>4976.0128999999997</v>
      </c>
    </row>
    <row r="20" spans="1:12" x14ac:dyDescent="0.25">
      <c r="A20">
        <f>0.78</f>
        <v>0.78</v>
      </c>
      <c r="B20">
        <f>51.29422978</f>
        <v>51.294229780000002</v>
      </c>
      <c r="C20">
        <f>50.31121105</f>
        <v>50.311211049999997</v>
      </c>
      <c r="D20">
        <f>33.08718523</f>
        <v>33.087185230000003</v>
      </c>
      <c r="E20">
        <f>83.39839628</f>
        <v>83.39839628</v>
      </c>
      <c r="F20">
        <f>48.23145211</f>
        <v>48.231452109999999</v>
      </c>
      <c r="G20">
        <f>47.30712941</f>
        <v>47.307129410000002</v>
      </c>
      <c r="H20">
        <f>10.6441449</f>
        <v>10.644144900000001</v>
      </c>
      <c r="I20">
        <f>57.95127432</f>
        <v>57.951274320000003</v>
      </c>
      <c r="J20">
        <f>112.50059</f>
        <v>112.50059</v>
      </c>
      <c r="K20">
        <f>14.997541</f>
        <v>14.997541</v>
      </c>
      <c r="L20">
        <f>4730.5153</f>
        <v>4730.5153</v>
      </c>
    </row>
    <row r="21" spans="1:12" x14ac:dyDescent="0.25">
      <c r="A21">
        <f>0.79</f>
        <v>0.79</v>
      </c>
      <c r="B21">
        <f>51.95184811</f>
        <v>51.95184811</v>
      </c>
      <c r="C21">
        <f>51.01587517</f>
        <v>51.015875170000001</v>
      </c>
      <c r="D21">
        <f>32.92535088</f>
        <v>32.925350880000003</v>
      </c>
      <c r="E21">
        <f>83.94122604</f>
        <v>83.941226040000004</v>
      </c>
      <c r="F21">
        <f>48.84980406</f>
        <v>48.849804059999997</v>
      </c>
      <c r="G21">
        <f>47.96971805</f>
        <v>47.969718049999997</v>
      </c>
      <c r="H21">
        <f>10.74244977</f>
        <v>10.74244977</v>
      </c>
      <c r="I21">
        <f>58.71216782</f>
        <v>58.712167819999998</v>
      </c>
      <c r="J21">
        <f>107.98858</f>
        <v>107.98858</v>
      </c>
      <c r="K21">
        <f>15.751442</f>
        <v>15.751442000000001</v>
      </c>
      <c r="L21">
        <f>4483.3125</f>
        <v>4483.3125</v>
      </c>
    </row>
    <row r="22" spans="1:12" x14ac:dyDescent="0.25">
      <c r="A22">
        <f>0.8</f>
        <v>0.8</v>
      </c>
      <c r="B22">
        <f>52.60946644</f>
        <v>52.609466439999998</v>
      </c>
      <c r="C22">
        <f>51.72084702</f>
        <v>51.720847020000001</v>
      </c>
      <c r="D22">
        <f>32.76249624</f>
        <v>32.762496239999997</v>
      </c>
      <c r="E22">
        <f>84.48334326</f>
        <v>84.483343259999998</v>
      </c>
      <c r="F22">
        <f>49.46815601</f>
        <v>49.468156010000001</v>
      </c>
      <c r="G22">
        <f>48.63259604</f>
        <v>48.632596040000003</v>
      </c>
      <c r="H22">
        <f>10.85077223</f>
        <v>10.85077223</v>
      </c>
      <c r="I22">
        <f>59.48336827</f>
        <v>59.48336827</v>
      </c>
      <c r="J22">
        <f>103.28171</f>
        <v>103.28171</v>
      </c>
      <c r="K22">
        <f>16.590894</f>
        <v>16.590893999999999</v>
      </c>
      <c r="L22">
        <f>4234.3006</f>
        <v>4234.3005999999996</v>
      </c>
    </row>
    <row r="23" spans="1:12" x14ac:dyDescent="0.25">
      <c r="A23">
        <f>0.81</f>
        <v>0.81</v>
      </c>
      <c r="B23">
        <f>53.26708477</f>
        <v>53.267084769999997</v>
      </c>
      <c r="C23">
        <f>52.42619294</f>
        <v>52.42619294</v>
      </c>
      <c r="D23">
        <f>32.59840008</f>
        <v>32.598400079999998</v>
      </c>
      <c r="E23">
        <f>85.02459303</f>
        <v>85.024593030000005</v>
      </c>
      <c r="F23">
        <f>50.08650796</f>
        <v>50.086507959999999</v>
      </c>
      <c r="G23">
        <f>49.29582577</f>
        <v>49.29582577</v>
      </c>
      <c r="H23">
        <f>10.97060678</f>
        <v>10.970606780000001</v>
      </c>
      <c r="I23">
        <f>60.26643256</f>
        <v>60.266432559999998</v>
      </c>
      <c r="J23">
        <f>98.369277</f>
        <v>98.369276999999997</v>
      </c>
      <c r="K23">
        <f>17.532655</f>
        <v>17.532654999999998</v>
      </c>
      <c r="L23">
        <f>3983.1139</f>
        <v>3983.1138999999998</v>
      </c>
    </row>
    <row r="24" spans="1:12" x14ac:dyDescent="0.25">
      <c r="A24">
        <f>0.82</f>
        <v>0.82</v>
      </c>
      <c r="B24">
        <f>53.9247031</f>
        <v>53.924703100000002</v>
      </c>
      <c r="C24">
        <f>53.1320013</f>
        <v>53.132001299999999</v>
      </c>
      <c r="D24">
        <f>32.43276732</f>
        <v>32.432767320000004</v>
      </c>
      <c r="E24">
        <f>85.56476862</f>
        <v>85.564768619999995</v>
      </c>
      <c r="F24">
        <f>50.70485991</f>
        <v>50.704859910000003</v>
      </c>
      <c r="G24">
        <f>49.95949032</f>
        <v>49.95949032</v>
      </c>
      <c r="H24">
        <f>11.10382415</f>
        <v>11.103824149999999</v>
      </c>
      <c r="I24">
        <f>61.06331447</f>
        <v>61.063314470000002</v>
      </c>
      <c r="J24">
        <f>93.237246</f>
        <v>93.237245999999999</v>
      </c>
      <c r="K24">
        <f>18.598609</f>
        <v>18.598609</v>
      </c>
      <c r="L24">
        <f>3729.2702</f>
        <v>3729.2701999999999</v>
      </c>
    </row>
    <row r="25" spans="1:12" x14ac:dyDescent="0.25">
      <c r="A25">
        <f>0.83</f>
        <v>0.83</v>
      </c>
      <c r="B25">
        <f>54.58232143</f>
        <v>54.58232143</v>
      </c>
      <c r="C25">
        <f>53.83839318</f>
        <v>53.838393179999997</v>
      </c>
      <c r="D25">
        <f>32.26519496</f>
        <v>32.265194960000002</v>
      </c>
      <c r="E25">
        <f>86.10358814</f>
        <v>86.103588139999999</v>
      </c>
      <c r="F25">
        <f>51.32321186</f>
        <v>51.323211860000001</v>
      </c>
      <c r="G25">
        <f>50.62370355</f>
        <v>50.623703550000002</v>
      </c>
      <c r="H25">
        <f>11.25282489</f>
        <v>11.252824889999999</v>
      </c>
      <c r="I25">
        <f>61.87652844</f>
        <v>61.876528440000001</v>
      </c>
      <c r="J25">
        <f>87.866628</f>
        <v>87.866628000000006</v>
      </c>
      <c r="K25">
        <f>19.818105</f>
        <v>19.818104999999999</v>
      </c>
      <c r="L25">
        <f>3472.1153</f>
        <v>3472.1152999999999</v>
      </c>
    </row>
    <row r="26" spans="1:12" x14ac:dyDescent="0.25">
      <c r="A26">
        <f>0.84</f>
        <v>0.84</v>
      </c>
      <c r="B26">
        <f>55.23993976</f>
        <v>55.239939759999999</v>
      </c>
      <c r="C26">
        <f>54.54554044</f>
        <v>54.545540440000003</v>
      </c>
      <c r="D26">
        <f>32.09510583</f>
        <v>32.095105830000001</v>
      </c>
      <c r="E26">
        <f>86.64064627</f>
        <v>86.640646270000005</v>
      </c>
      <c r="F26">
        <f>51.94156381</f>
        <v>51.941563809999998</v>
      </c>
      <c r="G26">
        <f>51.28862706</f>
        <v>51.288627060000003</v>
      </c>
      <c r="H26">
        <f>11.42078474</f>
        <v>11.42078474</v>
      </c>
      <c r="I26">
        <f>62.70941181</f>
        <v>62.709411809999999</v>
      </c>
      <c r="J26">
        <f>82.230871</f>
        <v>82.230870999999993</v>
      </c>
      <c r="K26">
        <f>21.23182</f>
        <v>21.231819999999999</v>
      </c>
      <c r="L26">
        <f>3210.7307</f>
        <v>3210.7307000000001</v>
      </c>
    </row>
    <row r="27" spans="1:12" x14ac:dyDescent="0.25">
      <c r="A27">
        <f>0.85</f>
        <v>0.85</v>
      </c>
      <c r="B27">
        <f>55.89755809</f>
        <v>55.897558089999997</v>
      </c>
      <c r="C27">
        <f>55.25369826</f>
        <v>55.25369826</v>
      </c>
      <c r="D27">
        <f>31.92164613</f>
        <v>31.921646129999999</v>
      </c>
      <c r="E27">
        <f>87.17534439</f>
        <v>87.175344390000006</v>
      </c>
      <c r="F27">
        <f>52.55991576</f>
        <v>52.559915760000003</v>
      </c>
      <c r="G27">
        <f>51.95450079</f>
        <v>51.954500789999997</v>
      </c>
      <c r="H27">
        <f>11.61208827</f>
        <v>11.612088269999999</v>
      </c>
      <c r="I27">
        <f>63.56658906</f>
        <v>63.566589059999998</v>
      </c>
      <c r="J27">
        <f>76.291149</f>
        <v>76.291149000000004</v>
      </c>
      <c r="K27">
        <f>22.898608</f>
        <v>22.898607999999999</v>
      </c>
      <c r="L27">
        <f>2943.7675</f>
        <v>2943.7674999999999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>39.98319449</f>
        <v>39.983194490000002</v>
      </c>
      <c r="C2">
        <f>38.13593493</f>
        <v>38.135934929999998</v>
      </c>
      <c r="D2">
        <f>34.88925382</f>
        <v>34.88925382</v>
      </c>
      <c r="E2">
        <f>73.02518875</f>
        <v>73.025188749999998</v>
      </c>
      <c r="F2">
        <f>37.59579857</f>
        <v>37.595798569999999</v>
      </c>
      <c r="G2">
        <f>35.85883885</f>
        <v>35.858838849999998</v>
      </c>
      <c r="H2">
        <f>9.350405933</f>
        <v>9.3504059329999993</v>
      </c>
      <c r="I2">
        <f>45.20924478</f>
        <v>45.209244779999999</v>
      </c>
      <c r="J2">
        <f>164.86078</f>
        <v>164.86078000000001</v>
      </c>
      <c r="K2">
        <f>8.0870429</f>
        <v>8.0870429000000001</v>
      </c>
      <c r="L2">
        <f>9011.8584</f>
        <v>9011.8583999999992</v>
      </c>
    </row>
    <row r="3" spans="1:12" x14ac:dyDescent="0.25">
      <c r="A3">
        <f>0.61</f>
        <v>0.61</v>
      </c>
      <c r="B3">
        <f>40.64958107</f>
        <v>40.649581070000004</v>
      </c>
      <c r="C3">
        <f>38.84814363</f>
        <v>38.848143630000003</v>
      </c>
      <c r="D3">
        <f>34.7313642</f>
        <v>34.731364200000002</v>
      </c>
      <c r="E3">
        <f>73.57950783</f>
        <v>73.579507829999997</v>
      </c>
      <c r="F3">
        <f>38.22239521</f>
        <v>38.222395210000002</v>
      </c>
      <c r="G3">
        <f>36.52852157</f>
        <v>36.528521570000002</v>
      </c>
      <c r="H3">
        <f>9.367246703</f>
        <v>9.3672467029999993</v>
      </c>
      <c r="I3">
        <f>45.89576828</f>
        <v>45.895768279999999</v>
      </c>
      <c r="J3">
        <f>163.22118</f>
        <v>163.22118</v>
      </c>
      <c r="K3">
        <f>8.2927574</f>
        <v>8.2927573999999993</v>
      </c>
      <c r="L3">
        <f>8775.9665</f>
        <v>8775.9665000000005</v>
      </c>
    </row>
    <row r="4" spans="1:12" x14ac:dyDescent="0.25">
      <c r="A4">
        <f>0.62</f>
        <v>0.62</v>
      </c>
      <c r="B4">
        <f>41.31596764</f>
        <v>41.315967639999997</v>
      </c>
      <c r="C4">
        <f>39.56038819</f>
        <v>39.560388189999998</v>
      </c>
      <c r="D4">
        <f>34.57335655</f>
        <v>34.57335655</v>
      </c>
      <c r="E4">
        <f>74.13374474</f>
        <v>74.133744739999997</v>
      </c>
      <c r="F4">
        <f>38.84899185</f>
        <v>38.848991849999997</v>
      </c>
      <c r="G4">
        <f>37.19823802</f>
        <v>37.198238019999998</v>
      </c>
      <c r="H4">
        <f>9.385868324</f>
        <v>9.3858683240000005</v>
      </c>
      <c r="I4">
        <f>46.58410635</f>
        <v>46.584106349999999</v>
      </c>
      <c r="J4">
        <f>161.43322</f>
        <v>161.43322000000001</v>
      </c>
      <c r="K4">
        <f>8.5093847</f>
        <v>8.5093847</v>
      </c>
      <c r="L4">
        <f>8539.8353</f>
        <v>8539.8353000000006</v>
      </c>
    </row>
    <row r="5" spans="1:12" x14ac:dyDescent="0.25">
      <c r="A5">
        <f>0.63</f>
        <v>0.63</v>
      </c>
      <c r="B5">
        <f>41.98235422</f>
        <v>41.982354219999998</v>
      </c>
      <c r="C5">
        <f>40.2726718</f>
        <v>40.272671799999998</v>
      </c>
      <c r="D5">
        <f>34.41522036</f>
        <v>34.415220359999999</v>
      </c>
      <c r="E5">
        <f>74.68789215</f>
        <v>74.687892149999996</v>
      </c>
      <c r="F5">
        <f>39.4755885</f>
        <v>39.475588500000001</v>
      </c>
      <c r="G5">
        <f>37.86799118</f>
        <v>37.867991179999997</v>
      </c>
      <c r="H5">
        <f>9.406394678</f>
        <v>9.4063946779999998</v>
      </c>
      <c r="I5">
        <f>47.27438586</f>
        <v>47.274385860000002</v>
      </c>
      <c r="J5">
        <f>159.49629</f>
        <v>159.49628999999999</v>
      </c>
      <c r="K5">
        <f>8.7378329</f>
        <v>8.7378329000000008</v>
      </c>
      <c r="L5">
        <f>8303.4449</f>
        <v>8303.4449000000004</v>
      </c>
    </row>
    <row r="6" spans="1:12" x14ac:dyDescent="0.25">
      <c r="A6">
        <f>0.64</f>
        <v>0.64</v>
      </c>
      <c r="B6">
        <f>42.64874079</f>
        <v>42.648740789999998</v>
      </c>
      <c r="C6">
        <f>40.98499802</f>
        <v>40.984998019999999</v>
      </c>
      <c r="D6">
        <f>34.25694381</f>
        <v>34.256943810000003</v>
      </c>
      <c r="E6">
        <f>75.24194182</f>
        <v>75.241941819999994</v>
      </c>
      <c r="F6">
        <f>40.10218514</f>
        <v>40.102185140000003</v>
      </c>
      <c r="G6">
        <f>38.53778442</f>
        <v>38.537784420000001</v>
      </c>
      <c r="H6">
        <f>9.428961812</f>
        <v>9.4289618120000007</v>
      </c>
      <c r="I6">
        <f>47.96674623</f>
        <v>47.966746229999998</v>
      </c>
      <c r="J6">
        <f>157.40972</f>
        <v>157.40971999999999</v>
      </c>
      <c r="K6">
        <f>8.9791155</f>
        <v>8.9791155000000007</v>
      </c>
      <c r="L6">
        <f>8066.7732</f>
        <v>8066.7731999999996</v>
      </c>
    </row>
    <row r="7" spans="1:12" x14ac:dyDescent="0.25">
      <c r="A7">
        <f>0.65</f>
        <v>0.65</v>
      </c>
      <c r="B7">
        <f>43.31512737</f>
        <v>43.315127369999999</v>
      </c>
      <c r="C7">
        <f>41.69737089</f>
        <v>41.697370890000002</v>
      </c>
      <c r="D7">
        <f>34.09851355</f>
        <v>34.09851355</v>
      </c>
      <c r="E7">
        <f>75.79588444</f>
        <v>75.795884439999995</v>
      </c>
      <c r="F7">
        <f>40.72878178</f>
        <v>40.728781779999998</v>
      </c>
      <c r="G7">
        <f>39.20762152</f>
        <v>39.207621519999996</v>
      </c>
      <c r="H7">
        <f>9.453719531</f>
        <v>9.4537195310000008</v>
      </c>
      <c r="I7">
        <f>48.66134105</f>
        <v>48.661341049999997</v>
      </c>
      <c r="J7">
        <f>155.17276</f>
        <v>155.17276000000001</v>
      </c>
      <c r="K7">
        <f>9.2343681</f>
        <v>9.2343680999999993</v>
      </c>
      <c r="L7">
        <f>7829.795</f>
        <v>7829.7950000000001</v>
      </c>
    </row>
    <row r="8" spans="1:12" x14ac:dyDescent="0.25">
      <c r="A8">
        <f>0.66</f>
        <v>0.66</v>
      </c>
      <c r="B8">
        <f>43.98151394</f>
        <v>43.981513939999999</v>
      </c>
      <c r="C8">
        <f>42.40979498</f>
        <v>42.409794980000001</v>
      </c>
      <c r="D8">
        <f>33.93991447</f>
        <v>33.939914469999998</v>
      </c>
      <c r="E8">
        <f>76.34970945</f>
        <v>76.349709450000006</v>
      </c>
      <c r="F8">
        <f>41.35537842</f>
        <v>41.355378420000001</v>
      </c>
      <c r="G8">
        <f>39.87750678</f>
        <v>39.877506779999997</v>
      </c>
      <c r="H8">
        <f>9.480833267</f>
        <v>9.4808332669999995</v>
      </c>
      <c r="I8">
        <f>49.35834004</f>
        <v>49.358340040000002</v>
      </c>
      <c r="J8">
        <f>152.78456</f>
        <v>152.78456</v>
      </c>
      <c r="K8">
        <f>9.5048675</f>
        <v>9.5048674999999996</v>
      </c>
      <c r="L8">
        <f>7592.4825</f>
        <v>7592.4825000000001</v>
      </c>
    </row>
    <row r="9" spans="1:12" x14ac:dyDescent="0.25">
      <c r="A9">
        <f>0.67</f>
        <v>0.67</v>
      </c>
      <c r="B9">
        <f>44.64790052</f>
        <v>44.64790052</v>
      </c>
      <c r="C9">
        <f>43.12227549</f>
        <v>43.12227549</v>
      </c>
      <c r="D9">
        <f>33.78112935</f>
        <v>33.78112935</v>
      </c>
      <c r="E9">
        <f>76.90340483</f>
        <v>76.903404829999999</v>
      </c>
      <c r="F9">
        <f>41.98197507</f>
        <v>41.981975069999997</v>
      </c>
      <c r="G9">
        <f>40.54744508</f>
        <v>40.547445080000003</v>
      </c>
      <c r="H9">
        <f>9.510486268</f>
        <v>9.5104862679999993</v>
      </c>
      <c r="I9">
        <f>50.05793135</f>
        <v>50.057931349999997</v>
      </c>
      <c r="J9">
        <f>150.24416</f>
        <v>150.24415999999999</v>
      </c>
      <c r="K9">
        <f>9.7920545</f>
        <v>9.7920545000000008</v>
      </c>
      <c r="L9">
        <f>7354.8036</f>
        <v>7354.8036000000002</v>
      </c>
    </row>
    <row r="10" spans="1:12" x14ac:dyDescent="0.25">
      <c r="A10">
        <f>0.68</f>
        <v>0.68</v>
      </c>
      <c r="B10">
        <f>45.31428709</f>
        <v>45.314287090000001</v>
      </c>
      <c r="C10">
        <f>43.83481836</f>
        <v>43.83481836</v>
      </c>
      <c r="D10">
        <f>33.62213847</f>
        <v>33.622138470000003</v>
      </c>
      <c r="E10">
        <f>77.45695683</f>
        <v>77.456956829999996</v>
      </c>
      <c r="F10">
        <f>42.60857171</f>
        <v>42.60857171</v>
      </c>
      <c r="G10">
        <f>41.21744203</f>
        <v>41.217442030000001</v>
      </c>
      <c r="H10">
        <f>9.542882196</f>
        <v>9.5428821960000008</v>
      </c>
      <c r="I10">
        <f>50.76032423</f>
        <v>50.760324230000002</v>
      </c>
      <c r="J10">
        <f>147.5505</f>
        <v>147.5505</v>
      </c>
      <c r="K10">
        <f>10.097562</f>
        <v>10.097562</v>
      </c>
      <c r="L10">
        <f>7116.7225</f>
        <v>7116.7224999999999</v>
      </c>
    </row>
    <row r="11" spans="1:12" x14ac:dyDescent="0.25">
      <c r="A11">
        <f>0.69</f>
        <v>0.69</v>
      </c>
      <c r="B11">
        <f>45.98067367</f>
        <v>45.980673670000002</v>
      </c>
      <c r="C11">
        <f>44.54743043</f>
        <v>44.547430429999999</v>
      </c>
      <c r="D11">
        <f>33.46291919</f>
        <v>33.462919190000001</v>
      </c>
      <c r="E11">
        <f>78.01034962</f>
        <v>78.01034962</v>
      </c>
      <c r="F11">
        <f>43.23516835</f>
        <v>43.235168350000002</v>
      </c>
      <c r="G11">
        <f>41.88750405</f>
        <v>41.887504049999997</v>
      </c>
      <c r="H11">
        <f>9.578248215</f>
        <v>9.5782482150000003</v>
      </c>
      <c r="I11">
        <f>51.46575226</f>
        <v>51.465752260000002</v>
      </c>
      <c r="J11">
        <f>144.70231</f>
        <v>144.70231000000001</v>
      </c>
      <c r="K11">
        <f>10.423251</f>
        <v>10.423251</v>
      </c>
      <c r="L11">
        <f>6878.1978</f>
        <v>6878.1977999999999</v>
      </c>
    </row>
    <row r="12" spans="1:12" x14ac:dyDescent="0.25">
      <c r="A12">
        <f>0.7</f>
        <v>0.7</v>
      </c>
      <c r="B12">
        <f>46.64706024</f>
        <v>46.647060240000002</v>
      </c>
      <c r="C12">
        <f>45.26011959</f>
        <v>45.260119590000002</v>
      </c>
      <c r="D12">
        <f>33.30344531</f>
        <v>33.303445310000001</v>
      </c>
      <c r="E12">
        <f>78.5635649</f>
        <v>78.563564900000003</v>
      </c>
      <c r="F12">
        <f>43.861765</f>
        <v>43.861764999999998</v>
      </c>
      <c r="G12">
        <f>42.55763855</f>
        <v>42.55763855</v>
      </c>
      <c r="H12">
        <f>9.616838697</f>
        <v>9.6168386970000004</v>
      </c>
      <c r="I12">
        <f>52.17447724</f>
        <v>52.174477240000002</v>
      </c>
      <c r="J12">
        <f>141.69821</f>
        <v>141.69820999999999</v>
      </c>
      <c r="K12">
        <f>10.771248</f>
        <v>10.771248</v>
      </c>
      <c r="L12">
        <f>6639.1822</f>
        <v>6639.1822000000002</v>
      </c>
    </row>
    <row r="13" spans="1:12" x14ac:dyDescent="0.25">
      <c r="A13">
        <f>0.71</f>
        <v>0.71</v>
      </c>
      <c r="B13">
        <f>47.31344682</f>
        <v>47.313446820000003</v>
      </c>
      <c r="C13">
        <f>45.97289502</f>
        <v>45.972895020000003</v>
      </c>
      <c r="D13">
        <f>33.14368637</f>
        <v>33.143686369999998</v>
      </c>
      <c r="E13">
        <f>79.11658139</f>
        <v>79.116581389999993</v>
      </c>
      <c r="F13">
        <f>44.48836164</f>
        <v>44.488361640000001</v>
      </c>
      <c r="G13">
        <f>43.22785417</f>
        <v>43.227854170000001</v>
      </c>
      <c r="H13">
        <f>9.658939699</f>
        <v>9.6589396989999994</v>
      </c>
      <c r="I13">
        <f>52.88679387</f>
        <v>52.886793869999998</v>
      </c>
      <c r="J13">
        <f>138.53654</f>
        <v>138.53654</v>
      </c>
      <c r="K13">
        <f>11.144002</f>
        <v>11.144002</v>
      </c>
      <c r="L13">
        <f>6399.6211</f>
        <v>6399.6211000000003</v>
      </c>
    </row>
    <row r="14" spans="1:12" x14ac:dyDescent="0.25">
      <c r="A14">
        <f>0.72</f>
        <v>0.72</v>
      </c>
      <c r="B14">
        <f>47.97983339</f>
        <v>47.979833390000003</v>
      </c>
      <c r="C14">
        <f>46.68576746</f>
        <v>46.685767460000001</v>
      </c>
      <c r="D14">
        <f>32.98360668</f>
        <v>32.983606680000001</v>
      </c>
      <c r="E14">
        <f>79.66937414</f>
        <v>79.669374140000002</v>
      </c>
      <c r="F14">
        <f>45.11495828</f>
        <v>45.114958280000003</v>
      </c>
      <c r="G14">
        <f>43.89816101</f>
        <v>43.898161010000003</v>
      </c>
      <c r="H14">
        <f>9.704874433</f>
        <v>9.7048744330000005</v>
      </c>
      <c r="I14">
        <f>53.60303544</f>
        <v>53.603035439999999</v>
      </c>
      <c r="J14">
        <f>135.21542</f>
        <v>135.21541999999999</v>
      </c>
      <c r="K14">
        <f>11.544345</f>
        <v>11.544345</v>
      </c>
      <c r="L14">
        <f>6159.451</f>
        <v>6159.451</v>
      </c>
    </row>
    <row r="15" spans="1:12" x14ac:dyDescent="0.25">
      <c r="A15">
        <f>0.73</f>
        <v>0.73</v>
      </c>
      <c r="B15">
        <f>48.64621997</f>
        <v>48.646219969999997</v>
      </c>
      <c r="C15">
        <f>47.39874958</f>
        <v>47.39874958</v>
      </c>
      <c r="D15">
        <f>32.82316414</f>
        <v>32.823164140000003</v>
      </c>
      <c r="E15">
        <f>80.22191373</f>
        <v>80.221913729999997</v>
      </c>
      <c r="F15">
        <f>45.74155492</f>
        <v>45.741554919999999</v>
      </c>
      <c r="G15">
        <f>44.56857098</f>
        <v>44.568570979999997</v>
      </c>
      <c r="H15">
        <f>9.75500999</f>
        <v>9.7550099899999996</v>
      </c>
      <c r="I15">
        <f>54.32358097</f>
        <v>54.323580970000002</v>
      </c>
      <c r="J15">
        <f>131.73265</f>
        <v>131.73265000000001</v>
      </c>
      <c r="K15">
        <f>11.975577</f>
        <v>11.975576999999999</v>
      </c>
      <c r="L15">
        <f>5918.5978</f>
        <v>5918.5977999999996</v>
      </c>
    </row>
    <row r="16" spans="1:12" x14ac:dyDescent="0.25">
      <c r="A16">
        <f>0.74</f>
        <v>0.74</v>
      </c>
      <c r="B16">
        <f>49.31260654</f>
        <v>49.312606539999997</v>
      </c>
      <c r="C16">
        <f>48.11185643</f>
        <v>48.111856430000003</v>
      </c>
      <c r="D16">
        <f>32.66230872</f>
        <v>32.662308719999999</v>
      </c>
      <c r="E16">
        <f>80.77416514</f>
        <v>80.774165139999994</v>
      </c>
      <c r="F16">
        <f>46.36815157</f>
        <v>46.368151570000002</v>
      </c>
      <c r="G16">
        <f>45.23909822</f>
        <v>45.239098220000002</v>
      </c>
      <c r="H16">
        <f>9.809765727</f>
        <v>9.8097657270000003</v>
      </c>
      <c r="I16">
        <f>55.04886395</f>
        <v>55.048863949999998</v>
      </c>
      <c r="J16">
        <f>128.08561</f>
        <v>128.08561</v>
      </c>
      <c r="K16">
        <f>12.441569</f>
        <v>12.441568999999999</v>
      </c>
      <c r="L16">
        <f>5676.974</f>
        <v>5676.9740000000002</v>
      </c>
    </row>
    <row r="17" spans="1:12" x14ac:dyDescent="0.25">
      <c r="A17">
        <f>0.75</f>
        <v>0.75</v>
      </c>
      <c r="B17">
        <f>49.97899312</f>
        <v>49.978993119999998</v>
      </c>
      <c r="C17">
        <f>48.82510603</f>
        <v>48.825106030000001</v>
      </c>
      <c r="D17">
        <f>32.50098034</f>
        <v>32.500980339999998</v>
      </c>
      <c r="E17">
        <f>81.32608637</f>
        <v>81.326086369999999</v>
      </c>
      <c r="F17">
        <f>46.99474821</f>
        <v>46.994748209999997</v>
      </c>
      <c r="G17">
        <f>45.90975971</f>
        <v>45.909759710000003</v>
      </c>
      <c r="H17">
        <f>9.86962383</f>
        <v>9.8696238300000001</v>
      </c>
      <c r="I17">
        <f>55.77938354</f>
        <v>55.779383539999998</v>
      </c>
      <c r="J17">
        <f>124.27124</f>
        <v>124.27124000000001</v>
      </c>
      <c r="K17">
        <f>12.946895</f>
        <v>12.946895</v>
      </c>
      <c r="L17">
        <f>5434.4754</f>
        <v>5434.4754000000003</v>
      </c>
    </row>
    <row r="18" spans="1:12" x14ac:dyDescent="0.25">
      <c r="A18">
        <f>0.76</f>
        <v>0.76</v>
      </c>
      <c r="B18">
        <f>50.64537969</f>
        <v>50.645379689999999</v>
      </c>
      <c r="C18">
        <f>49.53852025</f>
        <v>49.538520249999998</v>
      </c>
      <c r="D18">
        <f>32.33910625</f>
        <v>32.33910625</v>
      </c>
      <c r="E18">
        <f>81.8776265</f>
        <v>81.877626500000005</v>
      </c>
      <c r="F18">
        <f>47.62134485</f>
        <v>47.62134485</v>
      </c>
      <c r="G18">
        <f>46.58057597</f>
        <v>46.580575969999998</v>
      </c>
      <c r="H18">
        <f>9.935142834</f>
        <v>9.9351428340000005</v>
      </c>
      <c r="I18">
        <f>56.51571881</f>
        <v>56.515718810000003</v>
      </c>
      <c r="J18">
        <f>120.28582</f>
        <v>120.28582</v>
      </c>
      <c r="K18">
        <f>13.497016</f>
        <v>13.497016</v>
      </c>
      <c r="L18">
        <f>5190.9773</f>
        <v>5190.9772999999996</v>
      </c>
    </row>
    <row r="19" spans="1:12" x14ac:dyDescent="0.25">
      <c r="A19">
        <f>0.77</f>
        <v>0.77</v>
      </c>
      <c r="B19">
        <f>51.31176627</f>
        <v>51.31176627</v>
      </c>
      <c r="C19">
        <f>50.25212582</f>
        <v>50.252125820000003</v>
      </c>
      <c r="D19">
        <f>32.17659726</f>
        <v>32.176597260000001</v>
      </c>
      <c r="E19">
        <f>82.42872308</f>
        <v>82.428723079999997</v>
      </c>
      <c r="F19">
        <f>48.24794149</f>
        <v>48.247941490000002</v>
      </c>
      <c r="G19">
        <f>47.25157217</f>
        <v>47.251572170000003</v>
      </c>
      <c r="H19">
        <f>10.00697518</f>
        <v>10.00697518</v>
      </c>
      <c r="I19">
        <f>57.25854734</f>
        <v>57.25854734</v>
      </c>
      <c r="J19">
        <f>116.1249</f>
        <v>116.1249</v>
      </c>
      <c r="K19">
        <f>14.098506</f>
        <v>14.098506</v>
      </c>
      <c r="L19">
        <f>4946.3281</f>
        <v>4946.3280999999997</v>
      </c>
    </row>
    <row r="20" spans="1:12" x14ac:dyDescent="0.25">
      <c r="A20">
        <f>0.78</f>
        <v>0.78</v>
      </c>
      <c r="B20">
        <f>51.97815284</f>
        <v>51.97815284</v>
      </c>
      <c r="C20">
        <f>50.96595431</f>
        <v>50.965954310000001</v>
      </c>
      <c r="D20">
        <f>32.01334823</f>
        <v>32.013348229999998</v>
      </c>
      <c r="E20">
        <f>82.97930255</f>
        <v>82.97930255</v>
      </c>
      <c r="F20">
        <f>48.87453814</f>
        <v>48.874538139999999</v>
      </c>
      <c r="G20">
        <f>47.92277797</f>
        <v>47.922777969999999</v>
      </c>
      <c r="H20">
        <f>10.08588764</f>
        <v>10.085887639999999</v>
      </c>
      <c r="I20">
        <f>58.00866561</f>
        <v>58.008665610000001</v>
      </c>
      <c r="J20">
        <f>111.78697</f>
        <v>111.78697</v>
      </c>
      <c r="K20">
        <f>14.759358</f>
        <v>14.759358000000001</v>
      </c>
      <c r="L20">
        <f>4700.5087</f>
        <v>4700.5087000000003</v>
      </c>
    </row>
    <row r="21" spans="1:12" x14ac:dyDescent="0.25">
      <c r="A21">
        <f>0.79</f>
        <v>0.79</v>
      </c>
      <c r="B21">
        <f>52.64453942</f>
        <v>52.644539420000001</v>
      </c>
      <c r="C21">
        <f>51.68005062</f>
        <v>51.680050620000003</v>
      </c>
      <c r="D21">
        <f>31.84920884</f>
        <v>31.849208839999999</v>
      </c>
      <c r="E21">
        <f>83.52925947</f>
        <v>83.52925947</v>
      </c>
      <c r="F21">
        <f>49.50113478</f>
        <v>49.501134780000001</v>
      </c>
      <c r="G21">
        <f>48.5942356</f>
        <v>48.594235599999998</v>
      </c>
      <c r="H21">
        <f>10.17280364</f>
        <v>10.17280364</v>
      </c>
      <c r="I21">
        <f>58.76703924</f>
        <v>58.767039240000003</v>
      </c>
      <c r="J21">
        <f>107.25703</f>
        <v>107.25703</v>
      </c>
      <c r="K21">
        <f>15.489509</f>
        <v>15.489509</v>
      </c>
      <c r="L21">
        <f>4452.941</f>
        <v>4452.9409999999998</v>
      </c>
    </row>
    <row r="22" spans="1:12" x14ac:dyDescent="0.25">
      <c r="A22">
        <f>0.8</f>
        <v>0.8</v>
      </c>
      <c r="B22">
        <f>53.31092599</f>
        <v>53.310925990000001</v>
      </c>
      <c r="C22">
        <f>52.39446662</f>
        <v>52.394466620000003</v>
      </c>
      <c r="D22">
        <f>31.68400585</f>
        <v>31.684005849999998</v>
      </c>
      <c r="E22">
        <f>84.07847247</f>
        <v>84.078472469999994</v>
      </c>
      <c r="F22">
        <f>50.12773142</f>
        <v>50.127731420000003</v>
      </c>
      <c r="G22">
        <f>49.26599383</f>
        <v>49.265993829999999</v>
      </c>
      <c r="H22">
        <f>10.26883109</f>
        <v>10.268831090000001</v>
      </c>
      <c r="I22">
        <f>59.53482491</f>
        <v>59.534824909999998</v>
      </c>
      <c r="J22">
        <f>102.53067</f>
        <v>102.53067</v>
      </c>
      <c r="K22">
        <f>16.301348</f>
        <v>16.301348000000001</v>
      </c>
      <c r="L22">
        <f>4203.51</f>
        <v>4203.51</v>
      </c>
    </row>
    <row r="23" spans="1:12" x14ac:dyDescent="0.25">
      <c r="A23">
        <f>0.81</f>
        <v>0.81</v>
      </c>
      <c r="B23">
        <f>53.97731257</f>
        <v>53.977312570000002</v>
      </c>
      <c r="C23">
        <f>53.10927203</f>
        <v>53.10927203</v>
      </c>
      <c r="D23">
        <f>31.51750584</f>
        <v>31.517505839999998</v>
      </c>
      <c r="E23">
        <f>84.62677787</f>
        <v>84.626777869999998</v>
      </c>
      <c r="F23">
        <f>50.75432807</f>
        <v>50.75432807</v>
      </c>
      <c r="G23">
        <f>49.93811822</f>
        <v>49.93811822</v>
      </c>
      <c r="H23">
        <f>10.37533488</f>
        <v>10.37533488</v>
      </c>
      <c r="I23">
        <f>60.3134531</f>
        <v>60.313453099999997</v>
      </c>
      <c r="J23">
        <f>97.596822</f>
        <v>97.596822000000003</v>
      </c>
      <c r="K23">
        <f>17.210712</f>
        <v>17.210712000000001</v>
      </c>
      <c r="L23">
        <f>3951.8362</f>
        <v>3951.8362000000002</v>
      </c>
    </row>
    <row r="24" spans="1:12" x14ac:dyDescent="0.25">
      <c r="A24">
        <f>0.82</f>
        <v>0.82</v>
      </c>
      <c r="B24">
        <f>54.64369914</f>
        <v>54.643699140000003</v>
      </c>
      <c r="C24">
        <f>53.82456009</f>
        <v>53.824560089999999</v>
      </c>
      <c r="D24">
        <f>31.3493964</f>
        <v>31.3493964</v>
      </c>
      <c r="E24">
        <f>85.17395649</f>
        <v>85.173956489999995</v>
      </c>
      <c r="F24">
        <f>51.38092471</f>
        <v>51.380924710000002</v>
      </c>
      <c r="G24">
        <f>50.61069644</f>
        <v>50.610696439999998</v>
      </c>
      <c r="H24">
        <f>10.49402681</f>
        <v>10.494026809999999</v>
      </c>
      <c r="I24">
        <f>61.10472325</f>
        <v>61.104723249999999</v>
      </c>
      <c r="J24">
        <f>92.440886</f>
        <v>92.440886000000006</v>
      </c>
      <c r="K24">
        <f>18.238268</f>
        <v>18.238268000000001</v>
      </c>
      <c r="L24">
        <f>3697.4177</f>
        <v>3697.4177</v>
      </c>
    </row>
    <row r="25" spans="1:12" x14ac:dyDescent="0.25">
      <c r="A25">
        <f>0.83</f>
        <v>0.83</v>
      </c>
      <c r="B25">
        <f>55.31008572</f>
        <v>55.310085719999996</v>
      </c>
      <c r="C25">
        <f>54.54045907</f>
        <v>54.540459069999997</v>
      </c>
      <c r="D25">
        <f>31.17924873</f>
        <v>31.179248730000001</v>
      </c>
      <c r="E25">
        <f>85.7197078</f>
        <v>85.719707799999995</v>
      </c>
      <c r="F25">
        <f>52.00752135</f>
        <v>52.007521349999998</v>
      </c>
      <c r="G25">
        <f>51.2838491</f>
        <v>51.283849099999998</v>
      </c>
      <c r="H25">
        <f>10.62710926</f>
        <v>10.627109259999999</v>
      </c>
      <c r="I25">
        <f>61.91095836</f>
        <v>61.910958360000002</v>
      </c>
      <c r="J25">
        <f>87.043088</f>
        <v>87.043087999999997</v>
      </c>
      <c r="K25">
        <f>19.411713</f>
        <v>19.411712999999999</v>
      </c>
      <c r="L25">
        <f>3439.5725</f>
        <v>3439.5725000000002</v>
      </c>
    </row>
    <row r="26" spans="1:12" x14ac:dyDescent="0.25">
      <c r="A26">
        <f>0.84</f>
        <v>0.84</v>
      </c>
      <c r="B26">
        <f>55.97647229</f>
        <v>55.976472289999997</v>
      </c>
      <c r="C26">
        <f>55.25715196</f>
        <v>55.257151960000002</v>
      </c>
      <c r="D26">
        <f>31.00644662</f>
        <v>31.006446619999998</v>
      </c>
      <c r="E26">
        <f>86.26359858</f>
        <v>86.263598579999993</v>
      </c>
      <c r="F26">
        <f>52.63411799</f>
        <v>52.63411799</v>
      </c>
      <c r="G26">
        <f>51.95774827</f>
        <v>51.957748270000003</v>
      </c>
      <c r="H26">
        <f>10.77750684</f>
        <v>10.777506839999999</v>
      </c>
      <c r="I26">
        <f>62.73525511</f>
        <v>62.735255109999997</v>
      </c>
      <c r="J26">
        <f>81.375677</f>
        <v>81.375676999999996</v>
      </c>
      <c r="K26">
        <f>20.769439</f>
        <v>20.769438999999998</v>
      </c>
      <c r="L26">
        <f>3177.3393</f>
        <v>3177.3393000000001</v>
      </c>
    </row>
    <row r="27" spans="1:12" x14ac:dyDescent="0.25">
      <c r="A27">
        <f>0.85</f>
        <v>0.85</v>
      </c>
      <c r="B27">
        <f>56.64285887</f>
        <v>56.642858869999998</v>
      </c>
      <c r="C27">
        <f>55.97491221</f>
        <v>55.974912209999999</v>
      </c>
      <c r="D27">
        <f>30.83007168</f>
        <v>30.83007168</v>
      </c>
      <c r="E27">
        <f>86.80498389</f>
        <v>86.804983890000003</v>
      </c>
      <c r="F27">
        <f>53.26071464</f>
        <v>53.260714640000003</v>
      </c>
      <c r="G27">
        <f>52.63265107</f>
        <v>52.632651070000001</v>
      </c>
      <c r="H27">
        <f>10.94927863</f>
        <v>10.94927863</v>
      </c>
      <c r="I27">
        <f>63.5819297</f>
        <v>63.581929700000003</v>
      </c>
      <c r="J27">
        <f>75.397907</f>
        <v>75.397907000000004</v>
      </c>
      <c r="K27">
        <f>22.367066</f>
        <v>22.367066000000001</v>
      </c>
      <c r="L27">
        <f>2909.3009</f>
        <v>2909.3009000000002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cols>
    <col min="1" max="1" width="18" bestFit="1" customWidth="1"/>
  </cols>
  <sheetData>
    <row r="1" spans="1:1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25">
      <c r="A2">
        <f>0.6</f>
        <v>0.6</v>
      </c>
      <c r="B2">
        <f>40.50928916</f>
        <v>40.509289160000002</v>
      </c>
      <c r="C2">
        <f>38.62165086</f>
        <v>38.621650860000003</v>
      </c>
      <c r="D2">
        <f>33.8541603</f>
        <v>33.854160299999997</v>
      </c>
      <c r="E2">
        <f>72.47581115</f>
        <v>72.475811149999998</v>
      </c>
      <c r="F2">
        <f>38.09048013</f>
        <v>38.090480130000003</v>
      </c>
      <c r="G2">
        <f>36.31555268</f>
        <v>36.315552680000003</v>
      </c>
      <c r="H2">
        <f>8.925378439</f>
        <v>8.9253784389999993</v>
      </c>
      <c r="I2">
        <f>45.24093112</f>
        <v>45.240931119999999</v>
      </c>
      <c r="J2">
        <f>164.36105</f>
        <v>164.36105000000001</v>
      </c>
      <c r="K2">
        <f>8.0181766</f>
        <v>8.0181766000000003</v>
      </c>
      <c r="L2">
        <f>8984.5417</f>
        <v>8984.5416999999998</v>
      </c>
    </row>
    <row r="3" spans="1:12" x14ac:dyDescent="0.25">
      <c r="A3">
        <f>0.61</f>
        <v>0.61</v>
      </c>
      <c r="B3">
        <f>41.18444398</f>
        <v>41.184443979999998</v>
      </c>
      <c r="C3">
        <f>39.34323494</f>
        <v>39.343234940000002</v>
      </c>
      <c r="D3">
        <f>33.69417407</f>
        <v>33.694174070000003</v>
      </c>
      <c r="E3">
        <f>73.037409</f>
        <v>73.037408999999997</v>
      </c>
      <c r="F3">
        <f>38.72532146</f>
        <v>38.725321460000004</v>
      </c>
      <c r="G3">
        <f>36.99405099</f>
        <v>36.994050989999998</v>
      </c>
      <c r="H3">
        <f>8.93811495</f>
        <v>8.9381149499999992</v>
      </c>
      <c r="I3">
        <f>45.93216594</f>
        <v>45.932165939999997</v>
      </c>
      <c r="J3">
        <f>162.71157</f>
        <v>162.71156999999999</v>
      </c>
      <c r="K3">
        <f>8.2203776</f>
        <v>8.2203776000000008</v>
      </c>
      <c r="L3">
        <f>8748.5659</f>
        <v>8748.5658999999996</v>
      </c>
    </row>
    <row r="4" spans="1:12" x14ac:dyDescent="0.25">
      <c r="A4">
        <f>0.62</f>
        <v>0.62</v>
      </c>
      <c r="B4">
        <f>41.8595988</f>
        <v>41.859598800000001</v>
      </c>
      <c r="C4">
        <f>40.06485574</f>
        <v>40.064855739999999</v>
      </c>
      <c r="D4">
        <f>33.53406666</f>
        <v>33.534066660000001</v>
      </c>
      <c r="E4">
        <f>73.59892239</f>
        <v>73.598922389999998</v>
      </c>
      <c r="F4">
        <f>39.3601628</f>
        <v>39.360162799999998</v>
      </c>
      <c r="G4">
        <f>37.67258382</f>
        <v>37.67258382</v>
      </c>
      <c r="H4">
        <f>8.952464177</f>
        <v>8.9524641769999995</v>
      </c>
      <c r="I4">
        <f>46.625048</f>
        <v>46.625048</v>
      </c>
      <c r="J4">
        <f>160.91357</f>
        <v>160.91356999999999</v>
      </c>
      <c r="K4">
        <f>8.433213</f>
        <v>8.4332130000000003</v>
      </c>
      <c r="L4">
        <f>8512.3456</f>
        <v>8512.3456000000006</v>
      </c>
    </row>
    <row r="5" spans="1:12" x14ac:dyDescent="0.25">
      <c r="A5">
        <f>0.63</f>
        <v>0.63</v>
      </c>
      <c r="B5">
        <f>42.53475362</f>
        <v>42.534753619999996</v>
      </c>
      <c r="C5">
        <f>40.78651652</f>
        <v>40.786516519999999</v>
      </c>
      <c r="D5">
        <f>33.37382723</f>
        <v>33.373827230000003</v>
      </c>
      <c r="E5">
        <f>74.16034376</f>
        <v>74.160343760000003</v>
      </c>
      <c r="F5">
        <f>39.99500413</f>
        <v>39.995004129999998</v>
      </c>
      <c r="G5">
        <f>38.35115425</f>
        <v>38.35115425</v>
      </c>
      <c r="H5">
        <f>8.96853827</f>
        <v>8.9685382699999998</v>
      </c>
      <c r="I5">
        <f>47.31969252</f>
        <v>47.319692519999997</v>
      </c>
      <c r="J5">
        <f>158.96644</f>
        <v>158.96644000000001</v>
      </c>
      <c r="K5">
        <f>8.6575605</f>
        <v>8.6575605000000007</v>
      </c>
      <c r="L5">
        <f>8275.8605</f>
        <v>8275.8605000000007</v>
      </c>
    </row>
    <row r="6" spans="1:12" x14ac:dyDescent="0.25">
      <c r="A6">
        <f>0.64</f>
        <v>0.64</v>
      </c>
      <c r="B6">
        <f>43.20990843</f>
        <v>43.209908429999999</v>
      </c>
      <c r="C6">
        <f>41.50822097</f>
        <v>41.508220970000004</v>
      </c>
      <c r="D6">
        <f>33.2134436</f>
        <v>33.213443599999998</v>
      </c>
      <c r="E6">
        <f>74.72166457</f>
        <v>74.721664570000002</v>
      </c>
      <c r="F6">
        <f>40.62984547</f>
        <v>40.629845469999999</v>
      </c>
      <c r="G6">
        <f>39.02976574</f>
        <v>39.029765740000002</v>
      </c>
      <c r="H6">
        <f>8.986460389</f>
        <v>8.9864603889999994</v>
      </c>
      <c r="I6">
        <f>48.01622613</f>
        <v>48.01622613</v>
      </c>
      <c r="J6">
        <f>156.86948</f>
        <v>156.86948000000001</v>
      </c>
      <c r="K6">
        <f>8.894399</f>
        <v>8.8943989999999999</v>
      </c>
      <c r="L6">
        <f>8039.0877</f>
        <v>8039.0877</v>
      </c>
    </row>
    <row r="7" spans="1:12" x14ac:dyDescent="0.25">
      <c r="A7">
        <f>0.65</f>
        <v>0.65</v>
      </c>
      <c r="B7">
        <f>43.88506325</f>
        <v>43.885063250000002</v>
      </c>
      <c r="C7">
        <f>42.22997324</f>
        <v>42.22997324</v>
      </c>
      <c r="D7">
        <f>33.05290198</f>
        <v>33.052901980000001</v>
      </c>
      <c r="E7">
        <f>75.28287521</f>
        <v>75.28287521</v>
      </c>
      <c r="F7">
        <f>41.2646868</f>
        <v>41.2646868</v>
      </c>
      <c r="G7">
        <f>39.70842219</f>
        <v>39.70842219</v>
      </c>
      <c r="H7">
        <f>9.006366152</f>
        <v>9.006366152</v>
      </c>
      <c r="I7">
        <f>48.71478834</f>
        <v>48.714788339999998</v>
      </c>
      <c r="J7">
        <f>154.62194</f>
        <v>154.62194</v>
      </c>
      <c r="K7">
        <f>9.1448242</f>
        <v>9.1448242000000004</v>
      </c>
      <c r="L7">
        <f>7802.0017</f>
        <v>7802.0016999999998</v>
      </c>
    </row>
    <row r="8" spans="1:12" x14ac:dyDescent="0.25">
      <c r="A8">
        <f>0.66</f>
        <v>0.66</v>
      </c>
      <c r="B8">
        <f>44.56021807</f>
        <v>44.560218069999998</v>
      </c>
      <c r="C8">
        <f>42.95177802</f>
        <v>42.951778019999999</v>
      </c>
      <c r="D8">
        <f>32.89218674</f>
        <v>32.89218674</v>
      </c>
      <c r="E8">
        <f>75.84396476</f>
        <v>75.843964760000006</v>
      </c>
      <c r="F8">
        <f>41.89952814</f>
        <v>41.899528140000001</v>
      </c>
      <c r="G8">
        <f>40.38712802</f>
        <v>40.387128019999999</v>
      </c>
      <c r="H8">
        <f>9.028405324</f>
        <v>9.0284053239999995</v>
      </c>
      <c r="I8">
        <f>49.41553334</f>
        <v>49.415533340000003</v>
      </c>
      <c r="J8">
        <f>152.22294</f>
        <v>152.22293999999999</v>
      </c>
      <c r="K8">
        <f>9.4100669</f>
        <v>9.4100669000000003</v>
      </c>
      <c r="L8">
        <f>7564.5735</f>
        <v>7564.5735000000004</v>
      </c>
    </row>
    <row r="9" spans="1:12" x14ac:dyDescent="0.25">
      <c r="A9">
        <f>0.67</f>
        <v>0.67</v>
      </c>
      <c r="B9">
        <f>45.23537289</f>
        <v>45.235372890000001</v>
      </c>
      <c r="C9">
        <f>43.67364069</f>
        <v>43.673640689999999</v>
      </c>
      <c r="D9">
        <f>32.73128008</f>
        <v>32.731280079999998</v>
      </c>
      <c r="E9">
        <f>76.40492076</f>
        <v>76.404920759999996</v>
      </c>
      <c r="F9">
        <f>42.53436948</f>
        <v>42.534369480000002</v>
      </c>
      <c r="G9">
        <f>41.06588828</f>
        <v>41.065888280000003</v>
      </c>
      <c r="H9">
        <f>9.052743801</f>
        <v>9.0527438010000001</v>
      </c>
      <c r="I9">
        <f>50.11863208</f>
        <v>50.118632079999998</v>
      </c>
      <c r="J9">
        <f>149.67151</f>
        <v>149.67151000000001</v>
      </c>
      <c r="K9">
        <f>9.6915149</f>
        <v>9.6915148999999996</v>
      </c>
      <c r="L9">
        <f>7326.7706</f>
        <v>7326.7705999999998</v>
      </c>
    </row>
    <row r="10" spans="1:12" x14ac:dyDescent="0.25">
      <c r="A10">
        <f>0.68</f>
        <v>0.68</v>
      </c>
      <c r="B10">
        <f>45.91052771</f>
        <v>45.910527709999997</v>
      </c>
      <c r="C10">
        <f>44.39556737</f>
        <v>44.395567370000002</v>
      </c>
      <c r="D10">
        <f>32.57016161</f>
        <v>32.57016161</v>
      </c>
      <c r="E10">
        <f>76.96572898</f>
        <v>76.965728979999994</v>
      </c>
      <c r="F10">
        <f>43.16921081</f>
        <v>43.169210810000003</v>
      </c>
      <c r="G10">
        <f>41.74470872</f>
        <v>41.744708719999998</v>
      </c>
      <c r="H10">
        <f>9.079565965</f>
        <v>9.0795659650000005</v>
      </c>
      <c r="I10">
        <f>50.82427469</f>
        <v>50.824274690000003</v>
      </c>
      <c r="J10">
        <f>146.96652</f>
        <v>146.96652</v>
      </c>
      <c r="K10">
        <f>9.9907399</f>
        <v>9.9907398999999995</v>
      </c>
      <c r="L10">
        <f>7088.5559</f>
        <v>7088.5559000000003</v>
      </c>
    </row>
    <row r="11" spans="1:12" x14ac:dyDescent="0.25">
      <c r="A11">
        <f>0.69</f>
        <v>0.69</v>
      </c>
      <c r="B11">
        <f>46.58568253</f>
        <v>46.58568253</v>
      </c>
      <c r="C11">
        <f>45.11756511</f>
        <v>45.117565110000001</v>
      </c>
      <c r="D11">
        <f>32.40880789</f>
        <v>32.408807889999999</v>
      </c>
      <c r="E11">
        <f>77.526373</f>
        <v>77.526373000000007</v>
      </c>
      <c r="F11">
        <f>43.80405215</f>
        <v>43.804052149999997</v>
      </c>
      <c r="G11">
        <f>42.42359599</f>
        <v>42.423595990000003</v>
      </c>
      <c r="H11">
        <f>9.109077485</f>
        <v>9.1090774850000003</v>
      </c>
      <c r="I11">
        <f>51.53267348</f>
        <v>51.53267348</v>
      </c>
      <c r="J11">
        <f>144.10672</f>
        <v>144.10672</v>
      </c>
      <c r="K11">
        <f>10.30953</f>
        <v>10.309530000000001</v>
      </c>
      <c r="L11">
        <f>6849.8869</f>
        <v>6849.8869000000004</v>
      </c>
    </row>
    <row r="12" spans="1:12" x14ac:dyDescent="0.25">
      <c r="A12">
        <f>0.7</f>
        <v>0.7</v>
      </c>
      <c r="B12">
        <f>47.26083735</f>
        <v>47.260837350000003</v>
      </c>
      <c r="C12">
        <f>45.83964208</f>
        <v>45.839642079999997</v>
      </c>
      <c r="D12">
        <f>32.24719177</f>
        <v>32.247191770000001</v>
      </c>
      <c r="E12">
        <f>78.08683384</f>
        <v>78.086833839999997</v>
      </c>
      <c r="F12">
        <f>44.43889348</f>
        <v>44.438893479999997</v>
      </c>
      <c r="G12">
        <f>43.10255776</f>
        <v>43.102557760000003</v>
      </c>
      <c r="H12">
        <f>9.141508673</f>
        <v>9.1415086730000006</v>
      </c>
      <c r="I12">
        <f>52.24406643</f>
        <v>52.244066429999997</v>
      </c>
      <c r="J12">
        <f>141.09064</f>
        <v>141.09064000000001</v>
      </c>
      <c r="K12">
        <f>10.649928</f>
        <v>10.649927999999999</v>
      </c>
      <c r="L12">
        <f>6610.715</f>
        <v>6610.7150000000001</v>
      </c>
    </row>
    <row r="13" spans="1:12" x14ac:dyDescent="0.25">
      <c r="A13">
        <f>0.71</f>
        <v>0.71</v>
      </c>
      <c r="B13">
        <f>47.93599217</f>
        <v>47.935992169999999</v>
      </c>
      <c r="C13">
        <f>46.56180776</f>
        <v>46.561807760000001</v>
      </c>
      <c r="D13">
        <f>32.08528163</f>
        <v>32.085281629999997</v>
      </c>
      <c r="E13">
        <f>78.64708939</f>
        <v>78.647089390000005</v>
      </c>
      <c r="F13">
        <f>45.07373482</f>
        <v>45.073734819999999</v>
      </c>
      <c r="G13">
        <f>43.78160293</f>
        <v>43.781602929999998</v>
      </c>
      <c r="H13">
        <f>9.177118558</f>
        <v>9.1771185580000001</v>
      </c>
      <c r="I13">
        <f>52.95872149</f>
        <v>52.958721490000002</v>
      </c>
      <c r="J13">
        <f>137.91662</f>
        <v>137.91661999999999</v>
      </c>
      <c r="K13">
        <f>11.014283</f>
        <v>11.014283000000001</v>
      </c>
      <c r="L13">
        <f>6370.984</f>
        <v>6370.9840000000004</v>
      </c>
    </row>
    <row r="14" spans="1:12" x14ac:dyDescent="0.25">
      <c r="A14">
        <f>0.72</f>
        <v>0.72</v>
      </c>
      <c r="B14">
        <f>48.61114699</f>
        <v>48.611146990000002</v>
      </c>
      <c r="C14">
        <f>47.28407327</f>
        <v>47.28407327</v>
      </c>
      <c r="D14">
        <f>31.92304044</f>
        <v>31.923040440000001</v>
      </c>
      <c r="E14">
        <f>79.2071137</f>
        <v>79.207113699999994</v>
      </c>
      <c r="F14">
        <f>45.70857615</f>
        <v>45.708576149999999</v>
      </c>
      <c r="G14">
        <f>44.46074198</f>
        <v>44.460741980000002</v>
      </c>
      <c r="H14">
        <f>9.216199843</f>
        <v>9.2161998430000001</v>
      </c>
      <c r="I14">
        <f>53.67694183</f>
        <v>53.676941829999997</v>
      </c>
      <c r="J14">
        <f>134.58269</f>
        <v>134.58269000000001</v>
      </c>
      <c r="K14">
        <f>11.40531</f>
        <v>11.40531</v>
      </c>
      <c r="L14">
        <f>6130.6284</f>
        <v>6130.6283999999996</v>
      </c>
    </row>
    <row r="15" spans="1:12" x14ac:dyDescent="0.25">
      <c r="A15">
        <f>0.73</f>
        <v>0.73</v>
      </c>
      <c r="B15">
        <f>49.28630181</f>
        <v>49.286301809999998</v>
      </c>
      <c r="C15">
        <f>48.00645174</f>
        <v>48.006451740000003</v>
      </c>
      <c r="D15">
        <f>31.76042442</f>
        <v>31.76042442</v>
      </c>
      <c r="E15">
        <f>79.76687616</f>
        <v>79.766876159999995</v>
      </c>
      <c r="F15">
        <f>46.34341749</f>
        <v>46.34341749</v>
      </c>
      <c r="G15">
        <f>45.13998725</f>
        <v>45.139987249999997</v>
      </c>
      <c r="H15">
        <f>9.259085022</f>
        <v>9.2590850220000007</v>
      </c>
      <c r="I15">
        <f>54.39907227</f>
        <v>54.399072269999998</v>
      </c>
      <c r="J15">
        <f>131.0866</f>
        <v>131.0866</v>
      </c>
      <c r="K15">
        <f>11.826168</f>
        <v>11.826167999999999</v>
      </c>
      <c r="L15">
        <f>5889.5718</f>
        <v>5889.5717999999997</v>
      </c>
    </row>
    <row r="16" spans="1:12" x14ac:dyDescent="0.25">
      <c r="A16">
        <f>0.74</f>
        <v>0.74</v>
      </c>
      <c r="B16">
        <f>49.96145663</f>
        <v>49.961456630000001</v>
      </c>
      <c r="C16">
        <f>48.72895878</f>
        <v>48.728958779999999</v>
      </c>
      <c r="D16">
        <f>31.59738148</f>
        <v>31.597381479999999</v>
      </c>
      <c r="E16">
        <f>80.32634026</f>
        <v>80.326340259999995</v>
      </c>
      <c r="F16">
        <f>46.97825882</f>
        <v>46.978258820000001</v>
      </c>
      <c r="G16">
        <f>45.8193534</f>
        <v>45.819353399999997</v>
      </c>
      <c r="H16">
        <f>9.30615401</f>
        <v>9.3061540100000002</v>
      </c>
      <c r="I16">
        <f>55.12550741</f>
        <v>55.125507409999997</v>
      </c>
      <c r="J16">
        <f>127.42566</f>
        <v>127.42565999999999</v>
      </c>
      <c r="K16">
        <f>12.280555</f>
        <v>12.280555</v>
      </c>
      <c r="L16">
        <f>5647.7239</f>
        <v>5647.7239</v>
      </c>
    </row>
    <row r="17" spans="1:12" x14ac:dyDescent="0.25">
      <c r="A17">
        <f>0.75</f>
        <v>0.75</v>
      </c>
      <c r="B17">
        <f>50.63661145</f>
        <v>50.636611449999997</v>
      </c>
      <c r="C17">
        <f>49.45161313</f>
        <v>49.451613129999998</v>
      </c>
      <c r="D17">
        <f>31.43384904</f>
        <v>31.433849039999998</v>
      </c>
      <c r="E17">
        <f>80.88546217</f>
        <v>80.885462169999997</v>
      </c>
      <c r="F17">
        <f>47.61310016</f>
        <v>47.613100160000002</v>
      </c>
      <c r="G17">
        <f>46.49885808</f>
        <v>46.498858079999998</v>
      </c>
      <c r="H17">
        <f>9.357843762</f>
        <v>9.3578437619999999</v>
      </c>
      <c r="I17">
        <f>55.85670184</f>
        <v>55.856701839999999</v>
      </c>
      <c r="J17">
        <f>123.59669</f>
        <v>123.59669</v>
      </c>
      <c r="K17">
        <f>12.772843</f>
        <v>12.772843</v>
      </c>
      <c r="L17">
        <f>5404.9771</f>
        <v>5404.9771000000001</v>
      </c>
    </row>
    <row r="18" spans="1:12" x14ac:dyDescent="0.25">
      <c r="A18">
        <f>0.76</f>
        <v>0.76</v>
      </c>
      <c r="B18">
        <f>51.31176627</f>
        <v>51.31176627</v>
      </c>
      <c r="C18">
        <f>50.17443754</f>
        <v>50.17443754</v>
      </c>
      <c r="D18">
        <f>31.26975112</f>
        <v>31.269751119999999</v>
      </c>
      <c r="E18">
        <f>81.44418866</f>
        <v>81.444188659999995</v>
      </c>
      <c r="F18">
        <f>48.24794149</f>
        <v>48.247941490000002</v>
      </c>
      <c r="G18">
        <f>47.17852265</f>
        <v>47.178522649999998</v>
      </c>
      <c r="H18">
        <f>9.414660609</f>
        <v>9.4146606090000002</v>
      </c>
      <c r="I18">
        <f>56.59318325</f>
        <v>56.593183250000003</v>
      </c>
      <c r="J18">
        <f>119.59588</f>
        <v>119.59587999999999</v>
      </c>
      <c r="K18">
        <f>13.308237</f>
        <v>13.308237</v>
      </c>
      <c r="L18">
        <f>5161.2023</f>
        <v>5161.2022999999999</v>
      </c>
    </row>
    <row r="19" spans="1:12" x14ac:dyDescent="0.25">
      <c r="A19">
        <f>0.77</f>
        <v>0.77</v>
      </c>
      <c r="B19">
        <f>51.98692109</f>
        <v>51.986921090000003</v>
      </c>
      <c r="C19">
        <f>50.89745987</f>
        <v>50.897459869999999</v>
      </c>
      <c r="D19">
        <f>31.10499446</f>
        <v>31.10499446</v>
      </c>
      <c r="E19">
        <f>82.00245433</f>
        <v>82.002454330000006</v>
      </c>
      <c r="F19">
        <f>48.88278283</f>
        <v>48.882782829999996</v>
      </c>
      <c r="G19">
        <f>47.85837332</f>
        <v>47.858373319999998</v>
      </c>
      <c r="H19">
        <f>9.477196298</f>
        <v>9.4771962980000009</v>
      </c>
      <c r="I19">
        <f>57.33556962</f>
        <v>57.335569620000001</v>
      </c>
      <c r="J19">
        <f>115.41859</f>
        <v>115.41858999999999</v>
      </c>
      <c r="K19">
        <f>13.893002</f>
        <v>13.893001999999999</v>
      </c>
      <c r="L19">
        <f>4916.2426</f>
        <v>4916.2425999999996</v>
      </c>
    </row>
    <row r="20" spans="1:12" x14ac:dyDescent="0.25">
      <c r="A20">
        <f>0.78</f>
        <v>0.78</v>
      </c>
      <c r="B20">
        <f>52.6620759</f>
        <v>52.662075899999998</v>
      </c>
      <c r="C20">
        <f>51.62071313</f>
        <v>51.620713129999999</v>
      </c>
      <c r="D20">
        <f>30.93946874</f>
        <v>30.939468739999999</v>
      </c>
      <c r="E20">
        <f>82.56018187</f>
        <v>82.560181869999994</v>
      </c>
      <c r="F20">
        <f>49.51762417</f>
        <v>49.517624169999998</v>
      </c>
      <c r="G20">
        <f>48.53844115</f>
        <v>48.538441149999997</v>
      </c>
      <c r="H20">
        <f>9.54614681</f>
        <v>9.5461468099999998</v>
      </c>
      <c r="I20">
        <f>58.08458796</f>
        <v>58.08458796</v>
      </c>
      <c r="J20">
        <f>111.0631</f>
        <v>111.06310000000001</v>
      </c>
      <c r="K20">
        <f>14.53474</f>
        <v>14.534739999999999</v>
      </c>
      <c r="L20">
        <f>4670.0709</f>
        <v>4670.0708999999997</v>
      </c>
    </row>
    <row r="21" spans="1:12" x14ac:dyDescent="0.25">
      <c r="A21">
        <f>0.79</f>
        <v>0.79</v>
      </c>
      <c r="B21">
        <f>53.33723072</f>
        <v>53.337230720000001</v>
      </c>
      <c r="C21">
        <f>52.34424426</f>
        <v>52.344244260000004</v>
      </c>
      <c r="D21">
        <f>30.77301639</f>
        <v>30.773016389999999</v>
      </c>
      <c r="E21">
        <f>83.11726065</f>
        <v>83.117260650000006</v>
      </c>
      <c r="F21">
        <f>50.1524655</f>
        <v>50.152465499999998</v>
      </c>
      <c r="G21">
        <f>49.21877025</f>
        <v>49.218770249999999</v>
      </c>
      <c r="H21">
        <f>9.622350781</f>
        <v>9.6223507809999997</v>
      </c>
      <c r="I21">
        <f>58.84112103</f>
        <v>58.841121029999996</v>
      </c>
      <c r="J21">
        <f>106.51422</f>
        <v>106.51421999999999</v>
      </c>
      <c r="K21">
        <f>15.242901</f>
        <v>15.242901</v>
      </c>
      <c r="L21">
        <f>4422.1021</f>
        <v>4422.1021000000001</v>
      </c>
    </row>
    <row r="22" spans="1:12" x14ac:dyDescent="0.25">
      <c r="A22">
        <f>0.8</f>
        <v>0.8</v>
      </c>
      <c r="B22">
        <f>54.01238554</f>
        <v>54.012385539999997</v>
      </c>
      <c r="C22">
        <f>53.06810776</f>
        <v>53.068107759999997</v>
      </c>
      <c r="D22">
        <f>30.6054548</f>
        <v>30.6054548</v>
      </c>
      <c r="E22">
        <f>83.67356256</f>
        <v>83.673562559999993</v>
      </c>
      <c r="F22">
        <f>50.78730684</f>
        <v>50.787306839999999</v>
      </c>
      <c r="G22">
        <f>49.89941186</f>
        <v>49.899411860000001</v>
      </c>
      <c r="H22">
        <f>9.706815816</f>
        <v>9.7068158160000007</v>
      </c>
      <c r="I22">
        <f>59.60622768</f>
        <v>59.606227680000003</v>
      </c>
      <c r="J22">
        <f>101.76717</f>
        <v>101.76716999999999</v>
      </c>
      <c r="K22">
        <f>16.029242</f>
        <v>16.029242</v>
      </c>
      <c r="L22">
        <f>4172.2083</f>
        <v>4172.2083000000002</v>
      </c>
    </row>
    <row r="23" spans="1:12" x14ac:dyDescent="0.25">
      <c r="A23">
        <f>0.81</f>
        <v>0.81</v>
      </c>
      <c r="B23">
        <f>54.68754036</f>
        <v>54.68754036</v>
      </c>
      <c r="C23">
        <f>53.79237704</f>
        <v>53.792377039999998</v>
      </c>
      <c r="D23">
        <f>30.43653739</f>
        <v>30.436537390000002</v>
      </c>
      <c r="E23">
        <f>84.22891443</f>
        <v>84.228914430000003</v>
      </c>
      <c r="F23">
        <f>51.42214817</f>
        <v>51.42214817</v>
      </c>
      <c r="G23">
        <f>50.58043504</f>
        <v>50.580435039999998</v>
      </c>
      <c r="H23">
        <f>9.800785115</f>
        <v>9.800785115</v>
      </c>
      <c r="I23">
        <f>60.38122016</f>
        <v>60.381220159999998</v>
      </c>
      <c r="J23">
        <f>96.810412</f>
        <v>96.810411999999999</v>
      </c>
      <c r="K23">
        <f>16.908788</f>
        <v>16.908788000000001</v>
      </c>
      <c r="L23">
        <f>3919.9933</f>
        <v>3919.9933000000001</v>
      </c>
    </row>
    <row r="24" spans="1:12" x14ac:dyDescent="0.25">
      <c r="A24">
        <f>0.82</f>
        <v>0.82</v>
      </c>
      <c r="B24">
        <f>55.36269518</f>
        <v>55.362695180000003</v>
      </c>
      <c r="C24">
        <f>54.51715068</f>
        <v>54.51715068</v>
      </c>
      <c r="D24">
        <f>30.26593287</f>
        <v>30.26593287</v>
      </c>
      <c r="E24">
        <f>84.78308355</f>
        <v>84.783083550000001</v>
      </c>
      <c r="F24">
        <f>52.05698951</f>
        <v>52.056989510000001</v>
      </c>
      <c r="G24">
        <f>51.26193246</f>
        <v>51.261932459999997</v>
      </c>
      <c r="H24">
        <f>9.905821165</f>
        <v>9.9058211650000008</v>
      </c>
      <c r="I24">
        <f>61.16775362</f>
        <v>61.167753619999999</v>
      </c>
      <c r="J24">
        <f>91.628699</f>
        <v>91.628698999999997</v>
      </c>
      <c r="K24">
        <f>17.901135</f>
        <v>17.901135</v>
      </c>
      <c r="L24">
        <f>3664.9322</f>
        <v>3664.9322000000002</v>
      </c>
    </row>
    <row r="25" spans="1:12" x14ac:dyDescent="0.25">
      <c r="A25">
        <f>0.83</f>
        <v>0.83</v>
      </c>
      <c r="B25">
        <f>56.03785</f>
        <v>56.037849999999999</v>
      </c>
      <c r="C25">
        <f>55.24256491</f>
        <v>55.242564909999999</v>
      </c>
      <c r="D25">
        <f>30.09318409</f>
        <v>30.093184090000001</v>
      </c>
      <c r="E25">
        <f>85.335749</f>
        <v>85.335749000000007</v>
      </c>
      <c r="F25">
        <f>52.69183084</f>
        <v>52.691830840000002</v>
      </c>
      <c r="G25">
        <f>51.94403221</f>
        <v>51.944032210000003</v>
      </c>
      <c r="H25">
        <f>10.02394016</f>
        <v>10.02394016</v>
      </c>
      <c r="I25">
        <f>61.96797237</f>
        <v>61.967972369999998</v>
      </c>
      <c r="J25">
        <f>86.201302</f>
        <v>86.201301999999998</v>
      </c>
      <c r="K25">
        <f>19.032542</f>
        <v>19.032541999999999</v>
      </c>
      <c r="L25">
        <f>3406.3087</f>
        <v>3406.3087</v>
      </c>
    </row>
    <row r="26" spans="1:12" x14ac:dyDescent="0.25">
      <c r="A26">
        <f>0.84</f>
        <v>0.84</v>
      </c>
      <c r="B26">
        <f>56.71300482</f>
        <v>56.713004820000002</v>
      </c>
      <c r="C26">
        <f>55.96881519</f>
        <v>55.968815190000001</v>
      </c>
      <c r="D26">
        <f>29.91763124</f>
        <v>29.917631239999999</v>
      </c>
      <c r="E26">
        <f>85.88644644</f>
        <v>85.88644644</v>
      </c>
      <c r="F26">
        <f>53.32667218</f>
        <v>53.326672180000003</v>
      </c>
      <c r="G26">
        <f>52.6269181</f>
        <v>52.626918099999997</v>
      </c>
      <c r="H26">
        <f>10.15783085</f>
        <v>10.15783085</v>
      </c>
      <c r="I26">
        <f>62.78474895</f>
        <v>62.784748950000001</v>
      </c>
      <c r="J26">
        <f>80.499003</f>
        <v>80.499003000000002</v>
      </c>
      <c r="K26">
        <f>20.339441</f>
        <v>20.339441000000001</v>
      </c>
      <c r="L26">
        <f>3143.1093</f>
        <v>3143.1093000000001</v>
      </c>
    </row>
    <row r="27" spans="1:12" x14ac:dyDescent="0.25">
      <c r="A27">
        <f>0.85</f>
        <v>0.85</v>
      </c>
      <c r="B27">
        <f>57.38815964</f>
        <v>57.388159639999998</v>
      </c>
      <c r="C27">
        <f>56.69619584</f>
        <v>56.696195840000001</v>
      </c>
      <c r="D27">
        <f>29.73828271</f>
        <v>29.73828271</v>
      </c>
      <c r="E27">
        <f>86.43447855</f>
        <v>86.434478549999994</v>
      </c>
      <c r="F27">
        <f>53.96151351</f>
        <v>53.961513510000003</v>
      </c>
      <c r="G27">
        <f>53.31086686</f>
        <v>53.310866859999997</v>
      </c>
      <c r="H27">
        <f>10.31124736</f>
        <v>10.311247359999999</v>
      </c>
      <c r="I27">
        <f>63.62211422</f>
        <v>63.62211422</v>
      </c>
      <c r="J27">
        <f>74.478664</f>
        <v>74.478663999999995</v>
      </c>
      <c r="K27">
        <f>21.874733</f>
        <v>21.874732999999999</v>
      </c>
      <c r="L27">
        <f>2873.831</f>
        <v>2873.8310000000001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 x14ac:dyDescent="0.25">
      <c r="A2">
        <f>0.6</f>
        <v>0.6</v>
      </c>
      <c r="B2">
        <f>41.03538382</f>
        <v>41.03538382</v>
      </c>
      <c r="C2">
        <f>39.10736972</f>
        <v>39.107369720000001</v>
      </c>
      <c r="D2">
        <f>32.81905976</f>
        <v>32.819059760000002</v>
      </c>
      <c r="E2">
        <f>71.92642948</f>
        <v>71.926429479999996</v>
      </c>
      <c r="F2">
        <f>38.58516169</f>
        <v>38.58516169</v>
      </c>
      <c r="G2">
        <f>36.77226927</f>
        <v>36.772269270000002</v>
      </c>
      <c r="H2">
        <f>8.51136281</f>
        <v>8.5113628099999996</v>
      </c>
      <c r="I2">
        <f>45.28363208</f>
        <v>45.283632079999997</v>
      </c>
      <c r="J2">
        <f>163.85708</f>
        <v>163.85708</v>
      </c>
      <c r="K2">
        <f>7.9522072</f>
        <v>7.9522072000000001</v>
      </c>
      <c r="L2">
        <f>8956.9929</f>
        <v>8956.9928999999993</v>
      </c>
    </row>
    <row r="3" spans="1:12" x14ac:dyDescent="0.25">
      <c r="A3">
        <f>0.61</f>
        <v>0.61</v>
      </c>
      <c r="B3">
        <f>41.71930689</f>
        <v>41.719306889999999</v>
      </c>
      <c r="C3">
        <f>39.83832938</f>
        <v>39.838329379999998</v>
      </c>
      <c r="D3">
        <f>32.65697639</f>
        <v>32.656976389999997</v>
      </c>
      <c r="E3">
        <f>72.49530577</f>
        <v>72.495305770000002</v>
      </c>
      <c r="F3">
        <f>39.22824772</f>
        <v>39.228247719999999</v>
      </c>
      <c r="G3">
        <f>37.45958335</f>
        <v>37.459583350000003</v>
      </c>
      <c r="H3">
        <f>8.520229347</f>
        <v>8.5202293470000008</v>
      </c>
      <c r="I3">
        <f>45.9798127</f>
        <v>45.979812699999997</v>
      </c>
      <c r="J3">
        <f>162.19754</f>
        <v>162.19754</v>
      </c>
      <c r="K3">
        <f>8.1510722</f>
        <v>8.1510721999999998</v>
      </c>
      <c r="L3">
        <f>8720.9279</f>
        <v>8720.9279000000006</v>
      </c>
    </row>
    <row r="4" spans="1:12" x14ac:dyDescent="0.25">
      <c r="A4">
        <f>0.62</f>
        <v>0.62</v>
      </c>
      <c r="B4">
        <f>42.40322995</f>
        <v>42.403229949999997</v>
      </c>
      <c r="C4">
        <f>40.56932664</f>
        <v>40.56932664</v>
      </c>
      <c r="D4">
        <f>32.49476864</f>
        <v>32.494768639999997</v>
      </c>
      <c r="E4">
        <f>73.06409527</f>
        <v>73.064095269999996</v>
      </c>
      <c r="F4">
        <f>39.87133374</f>
        <v>39.871333739999997</v>
      </c>
      <c r="G4">
        <f>38.14693277</f>
        <v>38.146932769999999</v>
      </c>
      <c r="H4">
        <f>8.53055091</f>
        <v>8.5305509100000005</v>
      </c>
      <c r="I4">
        <f>46.67748368</f>
        <v>46.677483680000002</v>
      </c>
      <c r="J4">
        <f>160.38932</f>
        <v>160.38932</v>
      </c>
      <c r="K4">
        <f>8.36031</f>
        <v>8.3603100000000001</v>
      </c>
      <c r="L4">
        <f>8484.6128</f>
        <v>8484.6128000000008</v>
      </c>
    </row>
    <row r="5" spans="1:12" x14ac:dyDescent="0.25">
      <c r="A5">
        <f>0.63</f>
        <v>0.63</v>
      </c>
      <c r="B5">
        <f>43.08715301</f>
        <v>43.087153010000002</v>
      </c>
      <c r="C5">
        <f>41.30036485</f>
        <v>41.300364850000001</v>
      </c>
      <c r="D5">
        <f>32.33242532</f>
        <v>32.332425319999999</v>
      </c>
      <c r="E5">
        <f>73.63279017</f>
        <v>73.632790170000007</v>
      </c>
      <c r="F5">
        <f>40.51441977</f>
        <v>40.514419770000003</v>
      </c>
      <c r="G5">
        <f>38.8343207</f>
        <v>38.834320699999999</v>
      </c>
      <c r="H5">
        <f>8.542428652</f>
        <v>8.5424286519999999</v>
      </c>
      <c r="I5">
        <f>47.37674936</f>
        <v>47.376749359999998</v>
      </c>
      <c r="J5">
        <f>158.43179</f>
        <v>158.43179000000001</v>
      </c>
      <c r="K5">
        <f>8.5807697</f>
        <v>8.5807696999999994</v>
      </c>
      <c r="L5">
        <f>8248.0268</f>
        <v>8248.0267999999996</v>
      </c>
    </row>
    <row r="6" spans="1:12" x14ac:dyDescent="0.25">
      <c r="A6">
        <f>0.64</f>
        <v>0.64</v>
      </c>
      <c r="B6">
        <f>43.77107608</f>
        <v>43.77107608</v>
      </c>
      <c r="C6">
        <f>42.0314478</f>
        <v>42.031447800000002</v>
      </c>
      <c r="D6">
        <f>32.16993387</f>
        <v>32.169933870000001</v>
      </c>
      <c r="E6">
        <f>74.20138167</f>
        <v>74.201381670000004</v>
      </c>
      <c r="F6">
        <f>41.1575058</f>
        <v>41.157505800000003</v>
      </c>
      <c r="G6">
        <f>39.5217507</f>
        <v>39.521750699999998</v>
      </c>
      <c r="H6">
        <f>8.555973655</f>
        <v>8.5559736550000007</v>
      </c>
      <c r="I6">
        <f>48.07772436</f>
        <v>48.077724359999998</v>
      </c>
      <c r="J6">
        <f>156.32426</f>
        <v>156.32426000000001</v>
      </c>
      <c r="K6">
        <f>8.813398</f>
        <v>8.8133979999999994</v>
      </c>
      <c r="L6">
        <f>8011.1464</f>
        <v>8011.1463999999996</v>
      </c>
    </row>
    <row r="7" spans="1:12" x14ac:dyDescent="0.25">
      <c r="A7">
        <f>0.65</f>
        <v>0.65</v>
      </c>
      <c r="B7">
        <f>44.45499914</f>
        <v>44.454999139999998</v>
      </c>
      <c r="C7">
        <f>42.76257976</f>
        <v>42.762579760000001</v>
      </c>
      <c r="D7">
        <f>32.00728004</f>
        <v>32.007280039999998</v>
      </c>
      <c r="E7">
        <f>74.76985981</f>
        <v>74.76985981</v>
      </c>
      <c r="F7">
        <f>41.80059183</f>
        <v>41.800591830000002</v>
      </c>
      <c r="G7">
        <f>40.20922678</f>
        <v>40.209226780000002</v>
      </c>
      <c r="H7">
        <f>8.571308238</f>
        <v>8.5713082380000003</v>
      </c>
      <c r="I7">
        <f>48.78053502</f>
        <v>48.780535020000002</v>
      </c>
      <c r="J7">
        <f>154.06591</f>
        <v>154.06591</v>
      </c>
      <c r="K7">
        <f>9.0592534</f>
        <v>9.0592533999999993</v>
      </c>
      <c r="L7">
        <f>7773.9453</f>
        <v>7773.9453000000003</v>
      </c>
    </row>
    <row r="8" spans="1:12" x14ac:dyDescent="0.25">
      <c r="A8">
        <f>0.66</f>
        <v>0.66</v>
      </c>
      <c r="B8">
        <f>45.1389222</f>
        <v>45.138922200000003</v>
      </c>
      <c r="C8">
        <f>43.49376558</f>
        <v>43.493765580000002</v>
      </c>
      <c r="D8">
        <f>31.84444771</f>
        <v>31.844447710000001</v>
      </c>
      <c r="E8">
        <f>75.33821329</f>
        <v>75.338213289999999</v>
      </c>
      <c r="F8">
        <f>42.44367786</f>
        <v>42.443677860000001</v>
      </c>
      <c r="G8">
        <f>40.89675351</f>
        <v>40.896753510000003</v>
      </c>
      <c r="H8">
        <f>8.588567481</f>
        <v>8.5885674810000001</v>
      </c>
      <c r="I8">
        <f>49.48532099</f>
        <v>49.485320989999998</v>
      </c>
      <c r="J8">
        <f>151.65588</f>
        <v>151.65588</v>
      </c>
      <c r="K8">
        <f>9.3195241</f>
        <v>9.3195241000000006</v>
      </c>
      <c r="L8">
        <f>7536.3937</f>
        <v>7536.3936999999996</v>
      </c>
    </row>
    <row r="9" spans="1:12" x14ac:dyDescent="0.25">
      <c r="A9">
        <f>0.67</f>
        <v>0.67</v>
      </c>
      <c r="B9">
        <f>45.82284527</f>
        <v>45.822845270000002</v>
      </c>
      <c r="C9">
        <f>44.22501079</f>
        <v>44.225010789999999</v>
      </c>
      <c r="D9">
        <f>31.68141846</f>
        <v>31.68141846</v>
      </c>
      <c r="E9">
        <f>75.90642925</f>
        <v>75.906429250000002</v>
      </c>
      <c r="F9">
        <f>43.08676388</f>
        <v>43.086763879999999</v>
      </c>
      <c r="G9">
        <f>41.58433608</f>
        <v>41.58433608</v>
      </c>
      <c r="H9">
        <f>8.607901017</f>
        <v>8.6079010169999997</v>
      </c>
      <c r="I9">
        <f>50.1922371</f>
        <v>50.1922371</v>
      </c>
      <c r="J9">
        <f>149.09314</f>
        <v>149.09314000000001</v>
      </c>
      <c r="K9">
        <f>9.5955489</f>
        <v>9.5955489000000007</v>
      </c>
      <c r="L9">
        <f>7298.4582</f>
        <v>7298.4582</v>
      </c>
    </row>
    <row r="10" spans="1:12" x14ac:dyDescent="0.25">
      <c r="A10">
        <f>0.68</f>
        <v>0.68</v>
      </c>
      <c r="B10">
        <f>46.50676833</f>
        <v>46.50676833</v>
      </c>
      <c r="C10">
        <f>44.95632171</f>
        <v>44.956321709999997</v>
      </c>
      <c r="D10">
        <f>31.5181712</f>
        <v>31.518171200000001</v>
      </c>
      <c r="E10">
        <f>76.4744929</f>
        <v>76.474492900000001</v>
      </c>
      <c r="F10">
        <f>43.72984991</f>
        <v>43.729849909999999</v>
      </c>
      <c r="G10">
        <f>42.27198043</f>
        <v>42.271980429999999</v>
      </c>
      <c r="H10">
        <f>8.629475156</f>
        <v>8.6294751559999998</v>
      </c>
      <c r="I10">
        <f>50.90145559</f>
        <v>50.901455589999998</v>
      </c>
      <c r="J10">
        <f>146.37656</f>
        <v>146.37656000000001</v>
      </c>
      <c r="K10">
        <f>9.8888424</f>
        <v>9.8888423999999997</v>
      </c>
      <c r="L10">
        <f>7060.1005</f>
        <v>7060.1004999999996</v>
      </c>
    </row>
    <row r="11" spans="1:12" x14ac:dyDescent="0.25">
      <c r="A11">
        <f>0.69</f>
        <v>0.69</v>
      </c>
      <c r="B11">
        <f>47.1906914</f>
        <v>47.190691399999999</v>
      </c>
      <c r="C11">
        <f>45.68770562</f>
        <v>45.687705620000003</v>
      </c>
      <c r="D11">
        <f>31.35468164</f>
        <v>31.354681639999999</v>
      </c>
      <c r="E11">
        <f>77.04238726</f>
        <v>77.042387259999998</v>
      </c>
      <c r="F11">
        <f>44.37293594</f>
        <v>44.372935939999998</v>
      </c>
      <c r="G11">
        <f>42.95969343</f>
        <v>42.959693430000002</v>
      </c>
      <c r="H11">
        <f>8.653475419</f>
        <v>8.6534754189999994</v>
      </c>
      <c r="I11">
        <f>51.61316884</f>
        <v>51.61316884</v>
      </c>
      <c r="J11">
        <f>143.50482</f>
        <v>143.50482</v>
      </c>
      <c r="K11">
        <f>10.201126</f>
        <v>10.201126</v>
      </c>
      <c r="L11">
        <f>6821.2769</f>
        <v>6821.2768999999998</v>
      </c>
    </row>
    <row r="12" spans="1:12" x14ac:dyDescent="0.25">
      <c r="A12">
        <f>0.7</f>
        <v>0.7</v>
      </c>
      <c r="B12">
        <f>47.87461446</f>
        <v>47.874614459999997</v>
      </c>
      <c r="C12">
        <f>46.41917096</f>
        <v>46.419170960000002</v>
      </c>
      <c r="D12">
        <f>31.19092166</f>
        <v>31.190921660000001</v>
      </c>
      <c r="E12">
        <f>77.61009262</f>
        <v>77.610092620000003</v>
      </c>
      <c r="F12">
        <f>45.01602197</f>
        <v>45.016021969999997</v>
      </c>
      <c r="G12">
        <f>43.64748298</f>
        <v>43.647482979999999</v>
      </c>
      <c r="H12">
        <f>8.680109571</f>
        <v>8.6801095709999991</v>
      </c>
      <c r="I12">
        <f>52.32759255</f>
        <v>52.327592549999999</v>
      </c>
      <c r="J12">
        <f>140.47644</f>
        <v>140.47644</v>
      </c>
      <c r="K12">
        <f>10.534366</f>
        <v>10.534366</v>
      </c>
      <c r="L12">
        <f>6581.9373</f>
        <v>6581.9372999999996</v>
      </c>
    </row>
    <row r="13" spans="1:12" x14ac:dyDescent="0.25">
      <c r="A13">
        <f>0.71</f>
        <v>0.71</v>
      </c>
      <c r="B13">
        <f>48.55853752</f>
        <v>48.558537520000002</v>
      </c>
      <c r="C13">
        <f>47.15072754</f>
        <v>47.150727539999998</v>
      </c>
      <c r="D13">
        <f>31.02685846</f>
        <v>31.02685846</v>
      </c>
      <c r="E13">
        <f>78.17758601</f>
        <v>78.177586009999999</v>
      </c>
      <c r="F13">
        <f>45.659108</f>
        <v>45.659108000000003</v>
      </c>
      <c r="G13">
        <f>44.33535833</f>
        <v>44.335358329999998</v>
      </c>
      <c r="H13">
        <f>8.709611302</f>
        <v>8.7096113020000008</v>
      </c>
      <c r="I13">
        <f>53.04496963</f>
        <v>53.044969629999997</v>
      </c>
      <c r="J13">
        <f>137.28969</f>
        <v>137.28969000000001</v>
      </c>
      <c r="K13">
        <f>10.890818</f>
        <v>10.890817999999999</v>
      </c>
      <c r="L13">
        <f>6342.0236</f>
        <v>6342.0236000000004</v>
      </c>
    </row>
    <row r="14" spans="1:12" x14ac:dyDescent="0.25">
      <c r="A14">
        <f>0.72</f>
        <v>0.72</v>
      </c>
      <c r="B14">
        <f>49.24246059</f>
        <v>49.24246059</v>
      </c>
      <c r="C14">
        <f>47.88238688</f>
        <v>47.882386879999999</v>
      </c>
      <c r="D14">
        <f>30.86245357</f>
        <v>30.86245357</v>
      </c>
      <c r="E14">
        <f>78.74484046</f>
        <v>78.744840460000006</v>
      </c>
      <c r="F14">
        <f>46.30219403</f>
        <v>46.302194030000003</v>
      </c>
      <c r="G14">
        <f>45.0233303</f>
        <v>45.023330299999998</v>
      </c>
      <c r="H14">
        <f>8.742244719</f>
        <v>8.7422447190000003</v>
      </c>
      <c r="I14">
        <f>53.76557502</f>
        <v>53.76557502</v>
      </c>
      <c r="J14">
        <f>133.94255</f>
        <v>133.94255000000001</v>
      </c>
      <c r="K14">
        <f>11.27309</f>
        <v>11.27309</v>
      </c>
      <c r="L14">
        <f>6101.4682</f>
        <v>6101.4682000000003</v>
      </c>
    </row>
    <row r="15" spans="1:12" x14ac:dyDescent="0.25">
      <c r="A15">
        <f>0.73</f>
        <v>0.73</v>
      </c>
      <c r="B15">
        <f>49.92638365</f>
        <v>49.926383649999998</v>
      </c>
      <c r="C15">
        <f>48.61416259</f>
        <v>48.614162589999999</v>
      </c>
      <c r="D15">
        <f>30.69766149</f>
        <v>30.697661490000002</v>
      </c>
      <c r="E15">
        <f>79.31182408</f>
        <v>79.311824079999994</v>
      </c>
      <c r="F15">
        <f>46.94528005</f>
        <v>46.945280050000001</v>
      </c>
      <c r="G15">
        <f>45.71141169</f>
        <v>45.711411689999998</v>
      </c>
      <c r="H15">
        <f>8.778309883</f>
        <v>8.7783098830000004</v>
      </c>
      <c r="I15">
        <f>54.48972158</f>
        <v>54.489721580000001</v>
      </c>
      <c r="J15">
        <f>130.43269</f>
        <v>130.43269000000001</v>
      </c>
      <c r="K15">
        <f>11.684209</f>
        <v>11.684208999999999</v>
      </c>
      <c r="L15">
        <f>5860.1922</f>
        <v>5860.1922000000004</v>
      </c>
    </row>
    <row r="16" spans="1:12" x14ac:dyDescent="0.25">
      <c r="A16">
        <f>0.74</f>
        <v>0.74</v>
      </c>
      <c r="B16">
        <f>50.61030671</f>
        <v>50.610306710000003</v>
      </c>
      <c r="C16">
        <f>49.34607088</f>
        <v>49.346070879999999</v>
      </c>
      <c r="D16">
        <f>30.53242797</f>
        <v>30.532427970000001</v>
      </c>
      <c r="E16">
        <f>79.87849885</f>
        <v>79.87849885</v>
      </c>
      <c r="F16">
        <f>47.58836608</f>
        <v>47.58836608</v>
      </c>
      <c r="G16">
        <f>46.39961775</f>
        <v>46.399617749999997</v>
      </c>
      <c r="H16">
        <f>8.818149729</f>
        <v>8.8181497289999999</v>
      </c>
      <c r="I16">
        <f>55.21776748</f>
        <v>55.217767479999999</v>
      </c>
      <c r="J16">
        <f>126.75732</f>
        <v>126.75732000000001</v>
      </c>
      <c r="K16">
        <f>12.127722</f>
        <v>12.127722</v>
      </c>
      <c r="L16">
        <f>5618.1019</f>
        <v>5618.1018999999997</v>
      </c>
    </row>
    <row r="17" spans="1:12" x14ac:dyDescent="0.25">
      <c r="A17">
        <f>0.75</f>
        <v>0.75</v>
      </c>
      <c r="B17">
        <f>51.29422978</f>
        <v>51.294229780000002</v>
      </c>
      <c r="C17">
        <f>50.07813122</f>
        <v>50.078131220000003</v>
      </c>
      <c r="D17">
        <f>30.36668776</f>
        <v>30.366687760000001</v>
      </c>
      <c r="E17">
        <f>80.44481898</f>
        <v>80.444818979999994</v>
      </c>
      <c r="F17">
        <f>48.23145211</f>
        <v>48.231452109999999</v>
      </c>
      <c r="G17">
        <f>47.08796678</f>
        <v>47.087966780000002</v>
      </c>
      <c r="H17">
        <f>8.862158804</f>
        <v>8.8621588039999999</v>
      </c>
      <c r="I17">
        <f>55.95012559</f>
        <v>55.950125589999999</v>
      </c>
      <c r="J17">
        <f>122.91317</f>
        <v>122.91316999999999</v>
      </c>
      <c r="K17">
        <f>12.60781</f>
        <v>12.607810000000001</v>
      </c>
      <c r="L17">
        <f>5375.0861</f>
        <v>5375.0861000000004</v>
      </c>
    </row>
    <row r="18" spans="1:12" x14ac:dyDescent="0.25">
      <c r="A18">
        <f>0.76</f>
        <v>0.76</v>
      </c>
      <c r="B18">
        <f>51.97815284</f>
        <v>51.97815284</v>
      </c>
      <c r="C18">
        <f>50.81036731</f>
        <v>50.810367309999997</v>
      </c>
      <c r="D18">
        <f>30.20036151</f>
        <v>30.20036151</v>
      </c>
      <c r="E18">
        <f>81.01072882</f>
        <v>81.010728819999997</v>
      </c>
      <c r="F18">
        <f>48.87453814</f>
        <v>48.874538139999999</v>
      </c>
      <c r="G18">
        <f>47.77648106</f>
        <v>47.776481060000002</v>
      </c>
      <c r="H18">
        <f>8.910794474</f>
        <v>8.9107944739999994</v>
      </c>
      <c r="I18">
        <f>56.68727554</f>
        <v>56.687275540000002</v>
      </c>
      <c r="J18">
        <f>118.89627</f>
        <v>118.89627</v>
      </c>
      <c r="K18">
        <f>13.129449</f>
        <v>13.129448999999999</v>
      </c>
      <c r="L18">
        <f>5131.0106</f>
        <v>5131.0105999999996</v>
      </c>
    </row>
    <row r="19" spans="1:12" x14ac:dyDescent="0.25">
      <c r="A19">
        <f>0.77</f>
        <v>0.77</v>
      </c>
      <c r="B19">
        <f>52.6620759</f>
        <v>52.662075899999998</v>
      </c>
      <c r="C19">
        <f>51.54280823</f>
        <v>51.542808229999999</v>
      </c>
      <c r="D19">
        <f>30.03335164</f>
        <v>30.033351639999999</v>
      </c>
      <c r="E19">
        <f>81.57615987</f>
        <v>81.576159869999998</v>
      </c>
      <c r="F19">
        <f>49.51762417</f>
        <v>49.517624169999998</v>
      </c>
      <c r="G19">
        <f>48.46518795</f>
        <v>48.465187950000001</v>
      </c>
      <c r="H19">
        <f>8.964591553</f>
        <v>8.964591553</v>
      </c>
      <c r="I19">
        <f>57.4297795</f>
        <v>57.429779500000002</v>
      </c>
      <c r="J19">
        <f>114.70183</f>
        <v>114.70183</v>
      </c>
      <c r="K19">
        <f>13.698623</f>
        <v>13.698623</v>
      </c>
      <c r="L19">
        <f>4885.7125</f>
        <v>4885.7124999999996</v>
      </c>
    </row>
    <row r="20" spans="1:12" x14ac:dyDescent="0.25">
      <c r="A20">
        <f>0.78</f>
        <v>0.78</v>
      </c>
      <c r="B20">
        <f>53.34599897</f>
        <v>53.345998969999997</v>
      </c>
      <c r="C20">
        <f>52.27548854</f>
        <v>52.275488539999998</v>
      </c>
      <c r="D20">
        <f>29.86554229</f>
        <v>29.86554229</v>
      </c>
      <c r="E20">
        <f>82.14103083</f>
        <v>82.141030830000005</v>
      </c>
      <c r="F20">
        <f>50.16071019</f>
        <v>50.160710190000003</v>
      </c>
      <c r="G20">
        <f>49.15411993</f>
        <v>49.15411993</v>
      </c>
      <c r="H20">
        <f>9.024179582</f>
        <v>9.0241795820000004</v>
      </c>
      <c r="I20">
        <f>58.17829951</f>
        <v>58.178299510000002</v>
      </c>
      <c r="J20">
        <f>110.32788</f>
        <v>110.32787999999999</v>
      </c>
      <c r="K20">
        <f>14.322585</f>
        <v>14.322585</v>
      </c>
      <c r="L20">
        <f>4639.1556</f>
        <v>4639.1556</v>
      </c>
    </row>
    <row r="21" spans="1:12" x14ac:dyDescent="0.25">
      <c r="A21">
        <f>0.79</f>
        <v>0.79</v>
      </c>
      <c r="B21">
        <f>54.02992203</f>
        <v>54.029922030000002</v>
      </c>
      <c r="C21">
        <f>53.00845735</f>
        <v>53.00845735</v>
      </c>
      <c r="D21">
        <f>29.69676817</f>
        <v>29.696768169999999</v>
      </c>
      <c r="E21">
        <f>82.70522551</f>
        <v>82.705225510000005</v>
      </c>
      <c r="F21">
        <f>50.80379622</f>
        <v>50.803796220000002</v>
      </c>
      <c r="G21">
        <f>49.84332318</f>
        <v>49.843323179999999</v>
      </c>
      <c r="H21">
        <f>9.090317593</f>
        <v>9.090317593</v>
      </c>
      <c r="I21">
        <f>58.93364077</f>
        <v>58.933640769999997</v>
      </c>
      <c r="J21">
        <f>105.75896</f>
        <v>105.75896</v>
      </c>
      <c r="K21">
        <f>15.010339</f>
        <v>15.010339</v>
      </c>
      <c r="L21">
        <f>4390.7465</f>
        <v>4390.7465000000002</v>
      </c>
    </row>
    <row r="22" spans="1:12" x14ac:dyDescent="0.25">
      <c r="A22">
        <f>0.8</f>
        <v>0.8</v>
      </c>
      <c r="B22">
        <f>54.7138451</f>
        <v>54.7138451</v>
      </c>
      <c r="C22">
        <f>53.74177199</f>
        <v>53.741771989999997</v>
      </c>
      <c r="D22">
        <f>29.52683655</f>
        <v>29.526836549999999</v>
      </c>
      <c r="E22">
        <f>83.26860855</f>
        <v>83.268608549999996</v>
      </c>
      <c r="F22">
        <f>51.44688225</f>
        <v>51.446882250000002</v>
      </c>
      <c r="G22">
        <f>50.53285162</f>
        <v>50.532851620000002</v>
      </c>
      <c r="H22">
        <f>9.163918987</f>
        <v>9.1639189870000006</v>
      </c>
      <c r="I22">
        <f>59.6967706</f>
        <v>59.696770600000001</v>
      </c>
      <c r="J22">
        <f>100.9899</f>
        <v>100.98990000000001</v>
      </c>
      <c r="K22">
        <f>15.773085</f>
        <v>15.773085</v>
      </c>
      <c r="L22">
        <f>4140.3422</f>
        <v>4140.3422</v>
      </c>
    </row>
    <row r="23" spans="1:12" x14ac:dyDescent="0.25">
      <c r="A23">
        <f>0.81</f>
        <v>0.81</v>
      </c>
      <c r="B23">
        <f>55.39776816</f>
        <v>55.397768159999998</v>
      </c>
      <c r="C23">
        <f>54.47550996</f>
        <v>54.475509959999997</v>
      </c>
      <c r="D23">
        <f>29.35548658</f>
        <v>29.355486580000001</v>
      </c>
      <c r="E23">
        <f>83.83099654</f>
        <v>83.830996540000001</v>
      </c>
      <c r="F23">
        <f>52.08996828</f>
        <v>52.089968280000001</v>
      </c>
      <c r="G23">
        <f>51.2227781</f>
        <v>51.222778099999999</v>
      </c>
      <c r="H23">
        <f>9.246112572</f>
        <v>9.2461125719999995</v>
      </c>
      <c r="I23">
        <f>60.46889067</f>
        <v>60.46889067</v>
      </c>
      <c r="J23">
        <f>96.008611</f>
        <v>96.008611000000002</v>
      </c>
      <c r="K23">
        <f>16.625127</f>
        <v>16.625126999999999</v>
      </c>
      <c r="L23">
        <f>3887.5272</f>
        <v>3887.5272</v>
      </c>
    </row>
    <row r="24" spans="1:12" x14ac:dyDescent="0.25">
      <c r="A24">
        <f>0.82</f>
        <v>0.82</v>
      </c>
      <c r="B24">
        <f>56.08169122</f>
        <v>56.081691220000003</v>
      </c>
      <c r="C24">
        <f>55.20977567</f>
        <v>55.209775669999999</v>
      </c>
      <c r="D24">
        <f>29.18236629</f>
        <v>29.182366290000001</v>
      </c>
      <c r="E24">
        <f>84.39214196</f>
        <v>84.392141960000004</v>
      </c>
      <c r="F24">
        <f>52.73305431</f>
        <v>52.73305431</v>
      </c>
      <c r="G24">
        <f>51.91320081</f>
        <v>51.913200809999999</v>
      </c>
      <c r="H24">
        <f>9.338320416</f>
        <v>9.3383204160000002</v>
      </c>
      <c r="I24">
        <f>61.25152123</f>
        <v>61.251521230000002</v>
      </c>
      <c r="J24">
        <f>90.799075</f>
        <v>90.799075000000002</v>
      </c>
      <c r="K24">
        <f>17.585117</f>
        <v>17.585117</v>
      </c>
      <c r="L24">
        <f>3631.7491</f>
        <v>3631.7491</v>
      </c>
    </row>
    <row r="25" spans="1:12" x14ac:dyDescent="0.25">
      <c r="A25">
        <f>0.83</f>
        <v>0.83</v>
      </c>
      <c r="B25">
        <f>56.76561429</f>
        <v>56.765614290000002</v>
      </c>
      <c r="C25">
        <f>55.9447142</f>
        <v>55.9447142</v>
      </c>
      <c r="D25">
        <f>29.00698602</f>
        <v>29.006986019999999</v>
      </c>
      <c r="E25">
        <f>84.95170022</f>
        <v>84.951700220000006</v>
      </c>
      <c r="F25">
        <f>53.37614033</f>
        <v>53.376140329999998</v>
      </c>
      <c r="G25">
        <f>52.60425618</f>
        <v>52.60425618</v>
      </c>
      <c r="H25">
        <f>9.442382991</f>
        <v>9.4423829910000006</v>
      </c>
      <c r="I25">
        <f>62.04663917</f>
        <v>62.046639169999999</v>
      </c>
      <c r="J25">
        <f>85.339423</f>
        <v>85.339422999999996</v>
      </c>
      <c r="K25">
        <f>18.678063</f>
        <v>18.678063000000002</v>
      </c>
      <c r="L25">
        <f>3372.2509</f>
        <v>3372.2509</v>
      </c>
    </row>
    <row r="26" spans="1:12" x14ac:dyDescent="0.25">
      <c r="A26">
        <f>0.84</f>
        <v>0.84</v>
      </c>
      <c r="B26">
        <f>57.44953735</f>
        <v>57.44953735</v>
      </c>
      <c r="C26">
        <f>56.68053511</f>
        <v>56.680535110000001</v>
      </c>
      <c r="D26">
        <f>28.82864053</f>
        <v>28.828640530000001</v>
      </c>
      <c r="E26">
        <f>85.50917565</f>
        <v>85.509175650000003</v>
      </c>
      <c r="F26">
        <f>54.01922636</f>
        <v>54.019226359999998</v>
      </c>
      <c r="G26">
        <f>53.29614124</f>
        <v>53.296141239999997</v>
      </c>
      <c r="H26">
        <f>9.560768667</f>
        <v>9.5607686669999996</v>
      </c>
      <c r="I26">
        <f>62.85690991</f>
        <v>62.856909909999999</v>
      </c>
      <c r="J26">
        <f>79.598664</f>
        <v>79.598663999999999</v>
      </c>
      <c r="K26">
        <f>19.938725</f>
        <v>19.938725000000002</v>
      </c>
      <c r="L26">
        <f>3107.9553</f>
        <v>3107.9553000000001</v>
      </c>
    </row>
    <row r="27" spans="1:12" x14ac:dyDescent="0.25">
      <c r="A27">
        <f>0.85</f>
        <v>0.85</v>
      </c>
      <c r="B27">
        <f>58.13346041</f>
        <v>58.133460409999998</v>
      </c>
      <c r="C27">
        <f>57.4175566</f>
        <v>57.417556599999998</v>
      </c>
      <c r="D27">
        <f>28.64625111</f>
        <v>28.646251110000001</v>
      </c>
      <c r="E27">
        <f>86.06380771</f>
        <v>86.063807710000006</v>
      </c>
      <c r="F27">
        <f>54.66231239</f>
        <v>54.662312389999997</v>
      </c>
      <c r="G27">
        <f>53.98915518</f>
        <v>53.989155179999997</v>
      </c>
      <c r="H27">
        <f>9.696943508</f>
        <v>9.6969435080000004</v>
      </c>
      <c r="I27">
        <f>63.68609869</f>
        <v>63.686098690000001</v>
      </c>
      <c r="J27">
        <f>73.530717</f>
        <v>73.530716999999996</v>
      </c>
      <c r="K27">
        <f>21.417741</f>
        <v>21.417740999999999</v>
      </c>
      <c r="L27">
        <f>2837.2535</f>
        <v>2837.2534999999998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H17" sqref="H17"/>
    </sheetView>
  </sheetViews>
  <sheetFormatPr defaultRowHeight="15" x14ac:dyDescent="0.25"/>
  <sheetData>
    <row r="1" spans="1:12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</row>
    <row r="2" spans="1:12" x14ac:dyDescent="0.25">
      <c r="A2">
        <f>0.6</f>
        <v>0.6</v>
      </c>
      <c r="B2">
        <f>41.56147849</f>
        <v>41.561478489999999</v>
      </c>
      <c r="C2">
        <f>39.59309165</f>
        <v>39.593091649999998</v>
      </c>
      <c r="D2">
        <f>31.78395148</f>
        <v>31.783951479999999</v>
      </c>
      <c r="E2">
        <f>71.37704314</f>
        <v>71.377043139999998</v>
      </c>
      <c r="F2">
        <f>39.07984325</f>
        <v>39.079843250000003</v>
      </c>
      <c r="G2">
        <f>37.22898876</f>
        <v>37.22898876</v>
      </c>
      <c r="H2">
        <f>8.107938577</f>
        <v>8.1079385770000005</v>
      </c>
      <c r="I2">
        <f>45.33692734</f>
        <v>45.336927340000003</v>
      </c>
      <c r="J2">
        <f>163.34829</f>
        <v>163.34828999999999</v>
      </c>
      <c r="K2">
        <f>7.8889565</f>
        <v>7.8889564999999999</v>
      </c>
      <c r="L2">
        <f>8929.181</f>
        <v>8929.1810000000005</v>
      </c>
    </row>
    <row r="3" spans="1:12" x14ac:dyDescent="0.25">
      <c r="A3">
        <f>0.61</f>
        <v>0.61</v>
      </c>
      <c r="B3">
        <f>42.25416979</f>
        <v>42.254169789999999</v>
      </c>
      <c r="C3">
        <f>40.33342712</f>
        <v>40.333427120000003</v>
      </c>
      <c r="D3">
        <f>31.61977039</f>
        <v>31.619770389999999</v>
      </c>
      <c r="E3">
        <f>71.95319751</f>
        <v>71.953197509999995</v>
      </c>
      <c r="F3">
        <f>39.73117397</f>
        <v>39.73117397</v>
      </c>
      <c r="G3">
        <f>37.92511881</f>
        <v>37.925118810000001</v>
      </c>
      <c r="H3">
        <f>8.113160169</f>
        <v>8.1131601690000004</v>
      </c>
      <c r="I3">
        <f>46.03827898</f>
        <v>46.038278980000001</v>
      </c>
      <c r="J3">
        <f>161.67851</f>
        <v>161.67850999999999</v>
      </c>
      <c r="K3">
        <f>8.0846507</f>
        <v>8.0846506999999992</v>
      </c>
      <c r="L3">
        <f>8693.0211</f>
        <v>8693.0210999999999</v>
      </c>
    </row>
    <row r="4" spans="1:12" x14ac:dyDescent="0.25">
      <c r="A4">
        <f>0.62</f>
        <v>0.62</v>
      </c>
      <c r="B4">
        <f>42.9468611</f>
        <v>42.9468611</v>
      </c>
      <c r="C4">
        <f>41.07380107</f>
        <v>41.073801070000002</v>
      </c>
      <c r="D4">
        <f>31.45546165</f>
        <v>31.45546165</v>
      </c>
      <c r="E4">
        <f>72.52926272</f>
        <v>72.529262720000006</v>
      </c>
      <c r="F4">
        <f>40.38250469</f>
        <v>40.382504689999998</v>
      </c>
      <c r="G4">
        <f>38.62128504</f>
        <v>38.621285039999997</v>
      </c>
      <c r="H4">
        <f>8.119689107</f>
        <v>8.1196891069999992</v>
      </c>
      <c r="I4">
        <f>46.74097415</f>
        <v>46.74097415</v>
      </c>
      <c r="J4">
        <f>159.85988</f>
        <v>159.85988</v>
      </c>
      <c r="K4">
        <f>8.2904711</f>
        <v>8.2904710999999995</v>
      </c>
      <c r="L4">
        <f>8456.6052</f>
        <v>8456.6052</v>
      </c>
    </row>
    <row r="5" spans="1:12" x14ac:dyDescent="0.25">
      <c r="A5">
        <f>0.63</f>
        <v>0.63</v>
      </c>
      <c r="B5">
        <f>43.63955241</f>
        <v>43.63955241</v>
      </c>
      <c r="C5">
        <f>41.81421696</f>
        <v>41.814216960000003</v>
      </c>
      <c r="D5">
        <f>31.29101373</f>
        <v>31.29101373</v>
      </c>
      <c r="E5">
        <f>73.1052307</f>
        <v>73.105230700000007</v>
      </c>
      <c r="F5">
        <f>41.03383541</f>
        <v>41.033835410000002</v>
      </c>
      <c r="G5">
        <f>39.31749071</f>
        <v>39.317490710000001</v>
      </c>
      <c r="H5">
        <f>8.127616244</f>
        <v>8.1276162440000004</v>
      </c>
      <c r="I5">
        <f>47.44510696</f>
        <v>47.445106959999997</v>
      </c>
      <c r="J5">
        <f>157.89175</f>
        <v>157.89175</v>
      </c>
      <c r="K5">
        <f>8.5072404</f>
        <v>8.5072404000000006</v>
      </c>
      <c r="L5">
        <f>8219.9117</f>
        <v>8219.9117000000006</v>
      </c>
    </row>
    <row r="6" spans="1:12" x14ac:dyDescent="0.25">
      <c r="A6">
        <f>0.64</f>
        <v>0.64</v>
      </c>
      <c r="B6">
        <f>44.33224372</f>
        <v>44.332243720000001</v>
      </c>
      <c r="C6">
        <f>42.5546787</f>
        <v>42.554678699999997</v>
      </c>
      <c r="D6">
        <f>31.12641365</f>
        <v>31.12641365</v>
      </c>
      <c r="E6">
        <f>73.68109235</f>
        <v>73.68109235</v>
      </c>
      <c r="F6">
        <f>41.68516613</f>
        <v>41.685166129999999</v>
      </c>
      <c r="G6">
        <f>40.01373949</f>
        <v>40.013739489999999</v>
      </c>
      <c r="H6">
        <f>8.137041358</f>
        <v>8.1370413579999994</v>
      </c>
      <c r="I6">
        <f>48.15078085</f>
        <v>48.150780849999997</v>
      </c>
      <c r="J6">
        <f>155.77339</f>
        <v>155.77339000000001</v>
      </c>
      <c r="K6">
        <f>8.735875</f>
        <v>8.7358750000000001</v>
      </c>
      <c r="L6">
        <f>7982.9164</f>
        <v>7982.9164000000001</v>
      </c>
    </row>
    <row r="7" spans="1:12" x14ac:dyDescent="0.25">
      <c r="A7">
        <f>0.65</f>
        <v>0.65</v>
      </c>
      <c r="B7">
        <f>45.02493503</f>
        <v>45.024935030000002</v>
      </c>
      <c r="C7">
        <f>43.29519068</f>
        <v>43.295190679999997</v>
      </c>
      <c r="D7">
        <f>30.96164672</f>
        <v>30.961646720000001</v>
      </c>
      <c r="E7">
        <f>74.2568374</f>
        <v>74.256837399999995</v>
      </c>
      <c r="F7">
        <f>42.33649685</f>
        <v>42.336496850000003</v>
      </c>
      <c r="G7">
        <f>40.71003551</f>
        <v>40.710035509999997</v>
      </c>
      <c r="H7">
        <f>8.148074315</f>
        <v>8.1480743150000006</v>
      </c>
      <c r="I7">
        <f>48.85810983</f>
        <v>48.858109829999997</v>
      </c>
      <c r="J7">
        <f>153.50401</f>
        <v>153.50400999999999</v>
      </c>
      <c r="K7">
        <f>8.9773989</f>
        <v>8.9773989000000007</v>
      </c>
      <c r="L7">
        <f>7745.5924</f>
        <v>7745.5924000000005</v>
      </c>
    </row>
    <row r="8" spans="1:12" x14ac:dyDescent="0.25">
      <c r="A8">
        <f>0.66</f>
        <v>0.66</v>
      </c>
      <c r="B8">
        <f>45.71762633</f>
        <v>45.717626330000002</v>
      </c>
      <c r="C8">
        <f>44.0357579</f>
        <v>44.0357579</v>
      </c>
      <c r="D8">
        <f>30.79669626</f>
        <v>30.796696260000001</v>
      </c>
      <c r="E8">
        <f>74.83245416</f>
        <v>74.832454159999998</v>
      </c>
      <c r="F8">
        <f>42.98782757</f>
        <v>42.98782757</v>
      </c>
      <c r="G8">
        <f>41.40638348</f>
        <v>41.406383480000002</v>
      </c>
      <c r="H8">
        <f>8.160836446</f>
        <v>8.1608364459999994</v>
      </c>
      <c r="I8">
        <f>49.56721992</f>
        <v>49.567219919999999</v>
      </c>
      <c r="J8">
        <f>151.08267</f>
        <v>151.08267000000001</v>
      </c>
      <c r="K8">
        <f>9.2329609</f>
        <v>9.2329609000000001</v>
      </c>
      <c r="L8">
        <f>7507.909</f>
        <v>7507.9089999999997</v>
      </c>
    </row>
    <row r="9" spans="1:12" x14ac:dyDescent="0.25">
      <c r="A9">
        <f>0.67</f>
        <v>0.67</v>
      </c>
      <c r="B9">
        <f>46.41031764</f>
        <v>46.410317640000002</v>
      </c>
      <c r="C9">
        <f>44.77638606</f>
        <v>44.77638606</v>
      </c>
      <c r="D9">
        <f>30.63154325</f>
        <v>30.63154325</v>
      </c>
      <c r="E9">
        <f>75.40792931</f>
        <v>75.40792931</v>
      </c>
      <c r="F9">
        <f>43.63915829</f>
        <v>43.639158289999997</v>
      </c>
      <c r="G9">
        <f>42.10278874</f>
        <v>42.102788740000001</v>
      </c>
      <c r="H9">
        <f>8.175462156</f>
        <v>8.175462156</v>
      </c>
      <c r="I9">
        <f>50.27825089</f>
        <v>50.278250890000002</v>
      </c>
      <c r="J9">
        <f>148.50835</f>
        <v>148.50835000000001</v>
      </c>
      <c r="K9">
        <f>9.5038539</f>
        <v>9.5038538999999993</v>
      </c>
      <c r="L9">
        <f>7269.8315</f>
        <v>7269.8315000000002</v>
      </c>
    </row>
    <row r="10" spans="1:12" x14ac:dyDescent="0.25">
      <c r="A10">
        <f>0.68</f>
        <v>0.68</v>
      </c>
      <c r="B10">
        <f>47.10300895</f>
        <v>47.103008950000003</v>
      </c>
      <c r="C10">
        <f>45.51708168</f>
        <v>45.517081679999997</v>
      </c>
      <c r="D10">
        <f>30.46616586</f>
        <v>30.46616586</v>
      </c>
      <c r="E10">
        <f>75.98324754</f>
        <v>75.983247539999994</v>
      </c>
      <c r="F10">
        <f>44.29048901</f>
        <v>44.290489010000002</v>
      </c>
      <c r="G10">
        <f>42.79925744</f>
        <v>42.799257439999998</v>
      </c>
      <c r="H10">
        <f>8.192100837</f>
        <v>8.1921008369999999</v>
      </c>
      <c r="I10">
        <f>50.99135827</f>
        <v>50.991358269999999</v>
      </c>
      <c r="J10">
        <f>145.77986</f>
        <v>145.77986000000001</v>
      </c>
      <c r="K10">
        <f>9.7915398</f>
        <v>9.7915398000000007</v>
      </c>
      <c r="L10">
        <f>7031.3206</f>
        <v>7031.3206</v>
      </c>
    </row>
    <row r="11" spans="1:12" x14ac:dyDescent="0.25">
      <c r="A11">
        <f>0.69</f>
        <v>0.69</v>
      </c>
      <c r="B11">
        <f>47.79570026</f>
        <v>47.795700259999997</v>
      </c>
      <c r="C11">
        <f>46.25785229</f>
        <v>46.257852290000002</v>
      </c>
      <c r="D11">
        <f>30.30053895</f>
        <v>30.30053895</v>
      </c>
      <c r="E11">
        <f>76.55839124</f>
        <v>76.558391240000006</v>
      </c>
      <c r="F11">
        <f>44.94181973</f>
        <v>44.941819729999999</v>
      </c>
      <c r="G11">
        <f>43.49579664</f>
        <v>43.495796640000002</v>
      </c>
      <c r="H11">
        <f>8.210919142</f>
        <v>8.2109191419999998</v>
      </c>
      <c r="I11">
        <f>51.70671579</f>
        <v>51.706715789999997</v>
      </c>
      <c r="J11">
        <f>142.89587</f>
        <v>142.89587</v>
      </c>
      <c r="K11">
        <f>10.097679</f>
        <v>10.097678999999999</v>
      </c>
      <c r="L11">
        <f>6792.3312</f>
        <v>6792.3311999999996</v>
      </c>
    </row>
    <row r="12" spans="1:12" x14ac:dyDescent="0.25">
      <c r="A12">
        <f>0.7</f>
        <v>0.7</v>
      </c>
      <c r="B12">
        <f>48.48839157</f>
        <v>48.488391569999997</v>
      </c>
      <c r="C12">
        <f>46.99870661</f>
        <v>46.998706609999999</v>
      </c>
      <c r="D12">
        <f>30.13463334</f>
        <v>30.134633340000001</v>
      </c>
      <c r="E12">
        <f>77.13333995</f>
        <v>77.133339950000007</v>
      </c>
      <c r="F12">
        <f>45.59315046</f>
        <v>45.593150459999997</v>
      </c>
      <c r="G12">
        <f>44.19241456</f>
        <v>44.192414560000003</v>
      </c>
      <c r="H12">
        <f>8.232103724</f>
        <v>8.2321037239999999</v>
      </c>
      <c r="I12">
        <f>52.42451828</f>
        <v>52.424518280000001</v>
      </c>
      <c r="J12">
        <f>139.85482</f>
        <v>139.85481999999999</v>
      </c>
      <c r="K12">
        <f>10.424164</f>
        <v>10.424163999999999</v>
      </c>
      <c r="L12">
        <f>6552.8114</f>
        <v>6552.8113999999996</v>
      </c>
    </row>
    <row r="13" spans="1:12" x14ac:dyDescent="0.25">
      <c r="A13">
        <f>0.71</f>
        <v>0.71</v>
      </c>
      <c r="B13">
        <f>49.18108288</f>
        <v>49.181082879999998</v>
      </c>
      <c r="C13">
        <f>47.73965479</f>
        <v>47.739654790000003</v>
      </c>
      <c r="D13">
        <f>29.96841503</f>
        <v>29.968415029999999</v>
      </c>
      <c r="E13">
        <f>77.70806982</f>
        <v>77.708069820000006</v>
      </c>
      <c r="F13">
        <f>46.24448118</f>
        <v>46.244481180000001</v>
      </c>
      <c r="G13">
        <f>44.88912074</f>
        <v>44.889120740000003</v>
      </c>
      <c r="H13">
        <f>8.255864544</f>
        <v>8.2558645439999996</v>
      </c>
      <c r="I13">
        <f>53.14498528</f>
        <v>53.14498528</v>
      </c>
      <c r="J13">
        <f>136.65493</f>
        <v>136.65493000000001</v>
      </c>
      <c r="K13">
        <f>10.773169</f>
        <v>10.773168999999999</v>
      </c>
      <c r="L13">
        <f>6312.7011</f>
        <v>6312.7011000000002</v>
      </c>
    </row>
    <row r="14" spans="1:12" x14ac:dyDescent="0.25">
      <c r="A14">
        <f>0.72</f>
        <v>0.72</v>
      </c>
      <c r="B14">
        <f>49.87377418</f>
        <v>49.873774179999998</v>
      </c>
      <c r="C14">
        <f>48.48070877</f>
        <v>48.48070877</v>
      </c>
      <c r="D14">
        <f>29.80184404</f>
        <v>29.801844039999999</v>
      </c>
      <c r="E14">
        <f>78.28255281</f>
        <v>78.282552809999999</v>
      </c>
      <c r="F14">
        <f>46.8958119</f>
        <v>46.895811899999998</v>
      </c>
      <c r="G14">
        <f>45.5859264</f>
        <v>45.585926399999998</v>
      </c>
      <c r="H14">
        <f>8.282438925</f>
        <v>8.2824389249999992</v>
      </c>
      <c r="I14">
        <f>53.86836532</f>
        <v>53.868365320000002</v>
      </c>
      <c r="J14">
        <f>133.29413</f>
        <v>133.29413</v>
      </c>
      <c r="K14">
        <f>11.1472</f>
        <v>11.1472</v>
      </c>
      <c r="L14">
        <f>6071.9305</f>
        <v>6071.9305000000004</v>
      </c>
    </row>
    <row r="15" spans="1:12" x14ac:dyDescent="0.25">
      <c r="A15">
        <f>0.73</f>
        <v>0.73</v>
      </c>
      <c r="B15">
        <f>50.56646549</f>
        <v>50.566465489999999</v>
      </c>
      <c r="C15">
        <f>49.22188266</f>
        <v>49.221882659999999</v>
      </c>
      <c r="D15">
        <f>29.63487304</f>
        <v>29.634873039999999</v>
      </c>
      <c r="E15">
        <f>78.85675571</f>
        <v>78.856755710000002</v>
      </c>
      <c r="F15">
        <f>47.54714262</f>
        <v>47.547142620000002</v>
      </c>
      <c r="G15">
        <f>46.28284481</f>
        <v>46.28284481</v>
      </c>
      <c r="H15">
        <f>8.312096548</f>
        <v>8.3120965479999995</v>
      </c>
      <c r="I15">
        <f>54.59494136</f>
        <v>54.59494136</v>
      </c>
      <c r="J15">
        <f>129.76998</f>
        <v>129.76998</v>
      </c>
      <c r="K15">
        <f>11.549166</f>
        <v>11.549166</v>
      </c>
      <c r="L15">
        <f>5830.4175</f>
        <v>5830.4174999999996</v>
      </c>
    </row>
    <row r="16" spans="1:12" x14ac:dyDescent="0.25">
      <c r="A16">
        <f>0.74</f>
        <v>0.74</v>
      </c>
      <c r="B16">
        <f>51.2591568</f>
        <v>51.2591568</v>
      </c>
      <c r="C16">
        <f>49.96319331</f>
        <v>49.963193310000001</v>
      </c>
      <c r="D16">
        <f>29.46744555</f>
        <v>29.467445550000001</v>
      </c>
      <c r="E16">
        <f>79.43063887</f>
        <v>79.430638869999996</v>
      </c>
      <c r="F16">
        <f>48.19847334</f>
        <v>48.19847334</v>
      </c>
      <c r="G16">
        <f>46.97989181</f>
        <v>46.979891809999998</v>
      </c>
      <c r="H16">
        <f>8.345145701</f>
        <v>8.3451457009999999</v>
      </c>
      <c r="I16">
        <f>55.32503751</f>
        <v>55.325037510000001</v>
      </c>
      <c r="J16">
        <f>126.07962</f>
        <v>126.07962000000001</v>
      </c>
      <c r="K16">
        <f>11.982471</f>
        <v>11.982471</v>
      </c>
      <c r="L16">
        <f>5588.0651</f>
        <v>5588.0650999999998</v>
      </c>
    </row>
    <row r="17" spans="1:12" x14ac:dyDescent="0.25">
      <c r="A17">
        <f>0.75</f>
        <v>0.75</v>
      </c>
      <c r="B17">
        <f>51.95184811</f>
        <v>51.95184811</v>
      </c>
      <c r="C17">
        <f>50.704661</f>
        <v>50.704661000000002</v>
      </c>
      <c r="D17">
        <f>29.29949349</f>
        <v>29.29949349</v>
      </c>
      <c r="E17">
        <f>80.00415449</f>
        <v>80.004154490000005</v>
      </c>
      <c r="F17">
        <f>48.84980406</f>
        <v>48.849804059999997</v>
      </c>
      <c r="G17">
        <f>47.67708647</f>
        <v>47.677086469999999</v>
      </c>
      <c r="H17">
        <f>8.381941185</f>
        <v>8.3819411850000005</v>
      </c>
      <c r="I17">
        <f>56.05902766</f>
        <v>56.059027659999998</v>
      </c>
      <c r="J17">
        <f>122.21964</f>
        <v>122.21964</v>
      </c>
      <c r="K17">
        <f>12.451125</f>
        <v>12.451124999999999</v>
      </c>
      <c r="L17">
        <f>5344.7576</f>
        <v>5344.7575999999999</v>
      </c>
    </row>
    <row r="18" spans="1:12" x14ac:dyDescent="0.25">
      <c r="A18">
        <f>0.76</f>
        <v>0.76</v>
      </c>
      <c r="B18">
        <f>52.64453942</f>
        <v>52.644539420000001</v>
      </c>
      <c r="C18">
        <f>51.44631039</f>
        <v>51.446310390000001</v>
      </c>
      <c r="D18">
        <f>29.13093394</f>
        <v>29.130933939999998</v>
      </c>
      <c r="E18">
        <f>80.57724433</f>
        <v>80.577244329999999</v>
      </c>
      <c r="F18">
        <f>49.50113478</f>
        <v>49.501134780000001</v>
      </c>
      <c r="G18">
        <f>48.37445199</f>
        <v>48.374451989999997</v>
      </c>
      <c r="H18">
        <f>8.422894469</f>
        <v>8.4228944689999992</v>
      </c>
      <c r="I18">
        <f>56.79734646</f>
        <v>56.79734646</v>
      </c>
      <c r="J18">
        <f>118.18592</f>
        <v>118.18592</v>
      </c>
      <c r="K18">
        <f>12.959896</f>
        <v>12.959896000000001</v>
      </c>
      <c r="L18">
        <f>5100.3553</f>
        <v>5100.3553000000002</v>
      </c>
    </row>
    <row r="19" spans="1:12" x14ac:dyDescent="0.25">
      <c r="A19">
        <f>0.77</f>
        <v>0.77</v>
      </c>
      <c r="B19">
        <f>53.33723072</f>
        <v>53.337230720000001</v>
      </c>
      <c r="C19">
        <f>52.18817189</f>
        <v>52.18817189</v>
      </c>
      <c r="D19">
        <f>28.9616647</f>
        <v>28.9616647</v>
      </c>
      <c r="E19">
        <f>81.14983659</f>
        <v>81.149836590000007</v>
      </c>
      <c r="F19">
        <f>50.1524655</f>
        <v>50.152465499999998</v>
      </c>
      <c r="G19">
        <f>49.07201695</f>
        <v>49.072016949999998</v>
      </c>
      <c r="H19">
        <f>8.46848697</f>
        <v>8.4684869700000007</v>
      </c>
      <c r="I19">
        <f>57.54050392</f>
        <v>57.540503919999999</v>
      </c>
      <c r="J19">
        <f>113.97348</f>
        <v>113.97348</v>
      </c>
      <c r="K19">
        <f>13.51451</f>
        <v>13.51451</v>
      </c>
      <c r="L19">
        <f>4854.6882</f>
        <v>4854.6881999999996</v>
      </c>
    </row>
    <row r="20" spans="1:12" x14ac:dyDescent="0.25">
      <c r="A20">
        <f>0.78</f>
        <v>0.78</v>
      </c>
      <c r="B20">
        <f>54.02992203</f>
        <v>54.029922030000002</v>
      </c>
      <c r="C20">
        <f>52.9302817</f>
        <v>52.930281700000002</v>
      </c>
      <c r="D20">
        <f>28.79156403</f>
        <v>28.79156403</v>
      </c>
      <c r="E20">
        <f>81.72184573</f>
        <v>81.721845729999998</v>
      </c>
      <c r="F20">
        <f>50.80379622</f>
        <v>50.803796220000002</v>
      </c>
      <c r="G20">
        <f>49.7698154</f>
        <v>49.769815399999999</v>
      </c>
      <c r="H20">
        <f>8.519285896</f>
        <v>8.5192858959999995</v>
      </c>
      <c r="I20">
        <f>58.2891013</f>
        <v>58.289101299999999</v>
      </c>
      <c r="J20">
        <f>109.58005</f>
        <v>109.58005</v>
      </c>
      <c r="K20">
        <f>14.121905</f>
        <v>14.121905</v>
      </c>
      <c r="L20">
        <f>4607.7102</f>
        <v>4607.7102000000004</v>
      </c>
    </row>
    <row r="21" spans="1:12" x14ac:dyDescent="0.25">
      <c r="A21">
        <f>0.79</f>
        <v>0.79</v>
      </c>
      <c r="B21">
        <f>54.72261334</f>
        <v>54.722613340000002</v>
      </c>
      <c r="C21">
        <f>53.6726913</f>
        <v>53.672691299999997</v>
      </c>
      <c r="D21">
        <f>28.62045832</f>
        <v>28.620458320000001</v>
      </c>
      <c r="E21">
        <f>82.29314962</f>
        <v>82.293149619999994</v>
      </c>
      <c r="F21">
        <f>51.45512694</f>
        <v>51.45512694</v>
      </c>
      <c r="G21">
        <f>50.46789573</f>
        <v>50.467895730000002</v>
      </c>
      <c r="H21">
        <f>8.575975531</f>
        <v>8.5759755309999992</v>
      </c>
      <c r="I21">
        <f>59.04387126</f>
        <v>59.043871260000003</v>
      </c>
      <c r="J21">
        <f>104.9899</f>
        <v>104.98990000000001</v>
      </c>
      <c r="K21">
        <f>14.790688</f>
        <v>14.790687999999999</v>
      </c>
      <c r="L21">
        <f>4358.8177</f>
        <v>4358.8176999999996</v>
      </c>
    </row>
    <row r="22" spans="1:12" x14ac:dyDescent="0.25">
      <c r="A22">
        <f>0.8</f>
        <v>0.8</v>
      </c>
      <c r="B22">
        <f>55.41530465</f>
        <v>55.415304650000003</v>
      </c>
      <c r="C22">
        <f>54.41546112</f>
        <v>54.415461120000003</v>
      </c>
      <c r="D22">
        <f>28.44814392</f>
        <v>28.44814392</v>
      </c>
      <c r="E22">
        <f>82.86360504</f>
        <v>82.863605039999996</v>
      </c>
      <c r="F22">
        <f>52.10645766</f>
        <v>52.106457659999997</v>
      </c>
      <c r="G22">
        <f>51.16631478</f>
        <v>51.16631478</v>
      </c>
      <c r="H22">
        <f>8.639380767</f>
        <v>8.6393807670000005</v>
      </c>
      <c r="I22">
        <f>59.80569554</f>
        <v>59.805695540000002</v>
      </c>
      <c r="J22">
        <f>100.19737</f>
        <v>100.19737000000001</v>
      </c>
      <c r="K22">
        <f>15.531559</f>
        <v>15.531559</v>
      </c>
      <c r="L22">
        <f>4107.8505</f>
        <v>4107.8504999999996</v>
      </c>
    </row>
    <row r="23" spans="1:12" x14ac:dyDescent="0.25">
      <c r="A23">
        <f>0.81</f>
        <v>0.81</v>
      </c>
      <c r="B23">
        <f>56.10799596</f>
        <v>56.107995959999997</v>
      </c>
      <c r="C23">
        <f>55.15867307</f>
        <v>55.158673069999999</v>
      </c>
      <c r="D23">
        <f>28.27434436</f>
        <v>28.274344360000001</v>
      </c>
      <c r="E23">
        <f>83.43301743</f>
        <v>83.433017430000007</v>
      </c>
      <c r="F23">
        <f>52.75778838</f>
        <v>52.757788380000001</v>
      </c>
      <c r="G23">
        <f>51.86514955</f>
        <v>51.865149549999998</v>
      </c>
      <c r="H23">
        <f>8.71052283</f>
        <v>8.7105228300000004</v>
      </c>
      <c r="I23">
        <f>60.57567238</f>
        <v>60.57567238</v>
      </c>
      <c r="J23">
        <f>95.189758</f>
        <v>95.189757999999998</v>
      </c>
      <c r="K23">
        <f>16.35818</f>
        <v>16.358180000000001</v>
      </c>
      <c r="L23">
        <f>3854.3707</f>
        <v>3854.3706999999999</v>
      </c>
    </row>
    <row r="24" spans="1:12" x14ac:dyDescent="0.25">
      <c r="A24">
        <f>0.82</f>
        <v>0.82</v>
      </c>
      <c r="B24">
        <f>56.80068726</f>
        <v>56.800687259999997</v>
      </c>
      <c r="C24">
        <f>55.90243805</f>
        <v>55.902438050000001</v>
      </c>
      <c r="D24">
        <f>28.09868496</f>
        <v>28.09868496</v>
      </c>
      <c r="E24">
        <f>84.00112301</f>
        <v>84.001123010000001</v>
      </c>
      <c r="F24">
        <f>53.40911911</f>
        <v>53.409119109999999</v>
      </c>
      <c r="G24">
        <f>52.56450434</f>
        <v>52.564504339999999</v>
      </c>
      <c r="H24">
        <f>8.790691599</f>
        <v>8.7906915990000005</v>
      </c>
      <c r="I24">
        <f>61.35519594</f>
        <v>61.355195940000002</v>
      </c>
      <c r="J24">
        <f>89.950129</f>
        <v>89.950129000000004</v>
      </c>
      <c r="K24">
        <f>17.288374</f>
        <v>17.288374000000001</v>
      </c>
      <c r="L24">
        <f>3597.7933</f>
        <v>3597.7932999999998</v>
      </c>
    </row>
    <row r="25" spans="1:12" x14ac:dyDescent="0.25">
      <c r="A25">
        <f>0.83</f>
        <v>0.83</v>
      </c>
      <c r="B25">
        <f>57.49337857</f>
        <v>57.493378569999997</v>
      </c>
      <c r="C25">
        <f>56.64691106</f>
        <v>56.646911060000001</v>
      </c>
      <c r="D25">
        <f>27.92064142</f>
        <v>27.920641419999999</v>
      </c>
      <c r="E25">
        <f>84.56755247</f>
        <v>84.567552469999995</v>
      </c>
      <c r="F25">
        <f>54.06044983</f>
        <v>54.060449830000003</v>
      </c>
      <c r="G25">
        <f>53.26452487</f>
        <v>53.264524870000002</v>
      </c>
      <c r="H25">
        <f>8.881562561</f>
        <v>8.8815625610000009</v>
      </c>
      <c r="I25">
        <f>62.14608743</f>
        <v>62.146087430000001</v>
      </c>
      <c r="J25">
        <f>84.455262</f>
        <v>84.455262000000005</v>
      </c>
      <c r="K25">
        <f>18.346071</f>
        <v>18.346070999999998</v>
      </c>
      <c r="L25">
        <f>3337.3126</f>
        <v>3337.3126000000002</v>
      </c>
    </row>
    <row r="26" spans="1:12" x14ac:dyDescent="0.25">
      <c r="A26">
        <f>0.84</f>
        <v>0.84</v>
      </c>
      <c r="B26">
        <f>58.18606988</f>
        <v>58.186069879999998</v>
      </c>
      <c r="C26">
        <f>57.39231759</f>
        <v>57.392317589999998</v>
      </c>
      <c r="D26">
        <f>27.73945244</f>
        <v>27.739452440000001</v>
      </c>
      <c r="E26">
        <f>85.13177003</f>
        <v>85.131770029999998</v>
      </c>
      <c r="F26">
        <f>54.71178055</f>
        <v>54.71178055</v>
      </c>
      <c r="G26">
        <f>53.9654232</f>
        <v>53.965423199999996</v>
      </c>
      <c r="H26">
        <f>8.985394499</f>
        <v>8.9853944989999999</v>
      </c>
      <c r="I26">
        <f>62.9508177</f>
        <v>62.950817700000002</v>
      </c>
      <c r="J26">
        <f>78.672032</f>
        <v>78.672032000000002</v>
      </c>
      <c r="K26">
        <f>19.564605</f>
        <v>19.564605</v>
      </c>
      <c r="L26">
        <f>3071.7747</f>
        <v>3071.7746999999999</v>
      </c>
    </row>
    <row r="27" spans="1:12" x14ac:dyDescent="0.25">
      <c r="A27">
        <f>0.85</f>
        <v>0.85</v>
      </c>
      <c r="B27">
        <f>58.87876119</f>
        <v>58.878761189999999</v>
      </c>
      <c r="C27">
        <f>58.13900346</f>
        <v>58.139003459999998</v>
      </c>
      <c r="D27">
        <f>27.55394383</f>
        <v>27.553943830000001</v>
      </c>
      <c r="E27">
        <f>85.69294728</f>
        <v>85.692947279999998</v>
      </c>
      <c r="F27">
        <f>55.36311127</f>
        <v>55.363111269999997</v>
      </c>
      <c r="G27">
        <f>54.66752446</f>
        <v>54.667524460000003</v>
      </c>
      <c r="H27">
        <f>9.105384038</f>
        <v>9.1053840380000004</v>
      </c>
      <c r="I27">
        <f>63.7729085</f>
        <v>63.7729085</v>
      </c>
      <c r="J27">
        <f>72.550754</f>
        <v>72.550753999999998</v>
      </c>
      <c r="K27">
        <f>20.99277</f>
        <v>20.99277</v>
      </c>
      <c r="L27">
        <f>2799.4407</f>
        <v>2799.4407000000001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</row>
    <row r="2" spans="1:12" x14ac:dyDescent="0.25">
      <c r="A2">
        <f>0.6</f>
        <v>0.6</v>
      </c>
      <c r="B2">
        <f>42.08757315</f>
        <v>42.087573149999997</v>
      </c>
      <c r="C2">
        <f>40.07881683</f>
        <v>40.078816830000001</v>
      </c>
      <c r="D2">
        <f>30.74883471</f>
        <v>30.748834710000001</v>
      </c>
      <c r="E2">
        <f>70.82765154</f>
        <v>70.827651540000005</v>
      </c>
      <c r="F2">
        <f>39.57452481</f>
        <v>39.57452481</v>
      </c>
      <c r="G2">
        <f>37.6857113</f>
        <v>37.685711300000001</v>
      </c>
      <c r="H2">
        <f>7.714707075</f>
        <v>7.7147070749999997</v>
      </c>
      <c r="I2">
        <f>45.40041838</f>
        <v>45.400418379999998</v>
      </c>
      <c r="J2">
        <f>162.83408</f>
        <v>162.83408</v>
      </c>
      <c r="K2">
        <f>7.828261</f>
        <v>7.8282610000000004</v>
      </c>
      <c r="L2">
        <f>8901.0722</f>
        <v>8901.0722000000005</v>
      </c>
    </row>
    <row r="3" spans="1:12" x14ac:dyDescent="0.25">
      <c r="A3">
        <f>0.61</f>
        <v>0.61</v>
      </c>
      <c r="B3">
        <f>42.7890327</f>
        <v>42.7890327</v>
      </c>
      <c r="C3">
        <f>40.82852832</f>
        <v>40.828528319999997</v>
      </c>
      <c r="D3">
        <f>30.58255527</f>
        <v>30.58255527</v>
      </c>
      <c r="E3">
        <f>71.41108358</f>
        <v>71.411083579999996</v>
      </c>
      <c r="F3">
        <f>40.23410022</f>
        <v>40.234100220000002</v>
      </c>
      <c r="G3">
        <f>38.39065752</f>
        <v>38.390657519999998</v>
      </c>
      <c r="H3">
        <f>7.716500028</f>
        <v>7.7165000279999996</v>
      </c>
      <c r="I3">
        <f>46.10715755</f>
        <v>46.107157549999997</v>
      </c>
      <c r="J3">
        <f>161.15384</f>
        <v>161.15384</v>
      </c>
      <c r="K3">
        <f>8.020938</f>
        <v>8.0209379999999992</v>
      </c>
      <c r="L3">
        <f>8664.8112</f>
        <v>8664.8112000000001</v>
      </c>
    </row>
    <row r="4" spans="1:12" x14ac:dyDescent="0.25">
      <c r="A4">
        <f>0.62</f>
        <v>0.62</v>
      </c>
      <c r="B4">
        <f>43.49049226</f>
        <v>43.490492260000003</v>
      </c>
      <c r="C4">
        <f>41.57827921</f>
        <v>41.578279209999998</v>
      </c>
      <c r="D4">
        <f>30.41614483</f>
        <v>30.41614483</v>
      </c>
      <c r="E4">
        <f>71.99442404</f>
        <v>71.994424039999998</v>
      </c>
      <c r="F4">
        <f>40.89367563</f>
        <v>40.893675629999997</v>
      </c>
      <c r="G4">
        <f>39.0956408</f>
        <v>39.095640799999998</v>
      </c>
      <c r="H4">
        <f>7.719462242</f>
        <v>7.7194622419999996</v>
      </c>
      <c r="I4">
        <f>46.81510304</f>
        <v>46.815103039999997</v>
      </c>
      <c r="J4">
        <f>159.32457</f>
        <v>159.32456999999999</v>
      </c>
      <c r="K4">
        <f>8.2235085</f>
        <v>8.2235084999999994</v>
      </c>
      <c r="L4">
        <f>8428.2876</f>
        <v>8428.2875999999997</v>
      </c>
    </row>
    <row r="5" spans="1:12" x14ac:dyDescent="0.25">
      <c r="A5">
        <f>0.63</f>
        <v>0.63</v>
      </c>
      <c r="B5">
        <f>44.19195181</f>
        <v>44.191951809999999</v>
      </c>
      <c r="C5">
        <f>42.32807306</f>
        <v>42.328073060000001</v>
      </c>
      <c r="D5">
        <f>30.24959152</f>
        <v>30.249591519999999</v>
      </c>
      <c r="E5">
        <f>72.57766458</f>
        <v>72.577664580000004</v>
      </c>
      <c r="F5">
        <f>41.55325105</f>
        <v>41.55325105</v>
      </c>
      <c r="G5">
        <f>39.80066448</f>
        <v>39.800664480000002</v>
      </c>
      <c r="H5">
        <f>7.723674947</f>
        <v>7.7236749470000001</v>
      </c>
      <c r="I5">
        <f>47.52433942</f>
        <v>47.524339419999997</v>
      </c>
      <c r="J5">
        <f>157.3456</f>
        <v>157.34559999999999</v>
      </c>
      <c r="K5">
        <f>8.4367706</f>
        <v>8.4367705999999991</v>
      </c>
      <c r="L5">
        <f>8191.4793</f>
        <v>8191.4793</v>
      </c>
    </row>
    <row r="6" spans="1:12" x14ac:dyDescent="0.25">
      <c r="A6">
        <f>0.64</f>
        <v>0.64</v>
      </c>
      <c r="B6">
        <f>44.89341136</f>
        <v>44.893411360000002</v>
      </c>
      <c r="C6">
        <f>43.0779139</f>
        <v>43.077913899999999</v>
      </c>
      <c r="D6">
        <f>30.08288192</f>
        <v>30.082881919999998</v>
      </c>
      <c r="E6">
        <f>73.16079582</f>
        <v>73.160795820000004</v>
      </c>
      <c r="F6">
        <f>42.21282646</f>
        <v>42.212826460000002</v>
      </c>
      <c r="G6">
        <f>40.50573232</f>
        <v>40.50573232</v>
      </c>
      <c r="H6">
        <f>7.729227346</f>
        <v>7.7292273460000001</v>
      </c>
      <c r="I6">
        <f>48.23495967</f>
        <v>48.234959670000002</v>
      </c>
      <c r="J6">
        <f>155.21619</f>
        <v>155.21619000000001</v>
      </c>
      <c r="K6">
        <f>8.6616124</f>
        <v>8.6616123999999992</v>
      </c>
      <c r="L6">
        <f>7954.3614</f>
        <v>7954.3613999999998</v>
      </c>
    </row>
    <row r="7" spans="1:12" x14ac:dyDescent="0.25">
      <c r="A7">
        <f>0.65</f>
        <v>0.65</v>
      </c>
      <c r="B7">
        <f>45.59487091</f>
        <v>45.594870909999997</v>
      </c>
      <c r="C7">
        <f>43.82780624</f>
        <v>43.827806240000001</v>
      </c>
      <c r="D7">
        <f>29.91600089</f>
        <v>29.916000889999999</v>
      </c>
      <c r="E7">
        <f>73.74380713</f>
        <v>73.743807129999993</v>
      </c>
      <c r="F7">
        <f>42.87240188</f>
        <v>42.872401879999998</v>
      </c>
      <c r="G7">
        <f>41.21084861</f>
        <v>41.210848609999999</v>
      </c>
      <c r="H7">
        <f>7.736217666</f>
        <v>7.7362176659999999</v>
      </c>
      <c r="I7">
        <f>48.94706627</f>
        <v>48.947066270000001</v>
      </c>
      <c r="J7">
        <f>152.93549</f>
        <v>152.93548999999999</v>
      </c>
      <c r="K7">
        <f>8.8990259</f>
        <v>8.8990258999999998</v>
      </c>
      <c r="L7">
        <f>7716.906</f>
        <v>7716.9059999999999</v>
      </c>
    </row>
    <row r="8" spans="1:12" x14ac:dyDescent="0.25">
      <c r="A8">
        <f>0.66</f>
        <v>0.66</v>
      </c>
      <c r="B8">
        <f>46.29633047</f>
        <v>46.296330470000001</v>
      </c>
      <c r="C8">
        <f>44.57775524</f>
        <v>44.577755240000002</v>
      </c>
      <c r="D8">
        <f>29.74893119</f>
        <v>29.74893119</v>
      </c>
      <c r="E8">
        <f>74.32668643</f>
        <v>74.326686429999995</v>
      </c>
      <c r="F8">
        <f>43.53197729</f>
        <v>43.53197729</v>
      </c>
      <c r="G8">
        <f>41.91601816</f>
        <v>41.91601816</v>
      </c>
      <c r="H8">
        <f>7.744754381</f>
        <v>7.7447543809999999</v>
      </c>
      <c r="I8">
        <f>49.66077255</f>
        <v>49.660772549999997</v>
      </c>
      <c r="J8">
        <f>150.50257</f>
        <v>150.50256999999999</v>
      </c>
      <c r="K8">
        <f>9.1501228</f>
        <v>9.1501228000000001</v>
      </c>
      <c r="L8">
        <f>7479.0814</f>
        <v>7479.0814</v>
      </c>
    </row>
    <row r="9" spans="1:12" x14ac:dyDescent="0.25">
      <c r="A9">
        <f>0.67</f>
        <v>0.67</v>
      </c>
      <c r="B9">
        <f>46.99779002</f>
        <v>46.997790019999997</v>
      </c>
      <c r="C9">
        <f>45.32776678</f>
        <v>45.327766779999997</v>
      </c>
      <c r="D9">
        <f>29.58165314</f>
        <v>29.58165314</v>
      </c>
      <c r="E9">
        <f>74.90941992</f>
        <v>74.909419920000005</v>
      </c>
      <c r="F9">
        <f>44.1915527</f>
        <v>44.191552700000003</v>
      </c>
      <c r="G9">
        <f>42.62124653</f>
        <v>42.621246530000001</v>
      </c>
      <c r="H9">
        <f>7.754957659</f>
        <v>7.7549576589999996</v>
      </c>
      <c r="I9">
        <f>50.37620419</f>
        <v>50.376204190000003</v>
      </c>
      <c r="J9">
        <f>147.91635</f>
        <v>147.91634999999999</v>
      </c>
      <c r="K9">
        <f>9.4161538</f>
        <v>9.4161538</v>
      </c>
      <c r="L9">
        <f>7240.8519</f>
        <v>7240.8518999999997</v>
      </c>
    </row>
    <row r="10" spans="1:12" x14ac:dyDescent="0.25">
      <c r="A10">
        <f>0.68</f>
        <v>0.68</v>
      </c>
      <c r="B10">
        <f>47.69924957</f>
        <v>47.699249569999999</v>
      </c>
      <c r="C10">
        <f>46.0778476</f>
        <v>46.077847599999998</v>
      </c>
      <c r="D10">
        <f>29.41414416</f>
        <v>29.414144159999999</v>
      </c>
      <c r="E10">
        <f>75.49199177</f>
        <v>75.491991769999998</v>
      </c>
      <c r="F10">
        <f>44.85112812</f>
        <v>44.851128119999998</v>
      </c>
      <c r="G10">
        <f>43.32654003</f>
        <v>43.326540029999997</v>
      </c>
      <c r="H10">
        <f>7.766961068</f>
        <v>7.7669610679999996</v>
      </c>
      <c r="I10">
        <f>51.0935011</f>
        <v>51.093501099999997</v>
      </c>
      <c r="J10">
        <f>145.17562</f>
        <v>145.17562000000001</v>
      </c>
      <c r="K10">
        <f>9.6985315</f>
        <v>9.6985314999999996</v>
      </c>
      <c r="L10">
        <f>7002.1767</f>
        <v>7002.1767</v>
      </c>
    </row>
    <row r="11" spans="1:12" x14ac:dyDescent="0.25">
      <c r="A11">
        <f>0.69</f>
        <v>0.69</v>
      </c>
      <c r="B11">
        <f>48.40070912</f>
        <v>48.400709120000002</v>
      </c>
      <c r="C11">
        <f>46.82800547</f>
        <v>46.828005470000001</v>
      </c>
      <c r="D11">
        <f>29.24637821</f>
        <v>29.24637821</v>
      </c>
      <c r="E11">
        <f>76.07438368</f>
        <v>76.074383679999997</v>
      </c>
      <c r="F11">
        <f>45.51070353</f>
        <v>45.510703530000001</v>
      </c>
      <c r="G11">
        <f>44.03190599</f>
        <v>44.031905989999998</v>
      </c>
      <c r="H11">
        <f>7.78091362</f>
        <v>7.7809136199999998</v>
      </c>
      <c r="I11">
        <f>51.81281961</f>
        <v>51.812819609999998</v>
      </c>
      <c r="J11">
        <f>142.279</f>
        <v>142.279</v>
      </c>
      <c r="K11">
        <f>9.998859</f>
        <v>9.9988589999999995</v>
      </c>
      <c r="L11">
        <f>6763.0091</f>
        <v>6763.0091000000002</v>
      </c>
    </row>
    <row r="12" spans="1:12" x14ac:dyDescent="0.25">
      <c r="A12">
        <f>0.7</f>
        <v>0.7</v>
      </c>
      <c r="B12">
        <f>49.10216868</f>
        <v>49.102168679999998</v>
      </c>
      <c r="C12">
        <f>47.57824941</f>
        <v>47.578249409999998</v>
      </c>
      <c r="D12">
        <f>29.07832505</f>
        <v>29.07832505</v>
      </c>
      <c r="E12">
        <f>76.65657446</f>
        <v>76.656574460000002</v>
      </c>
      <c r="F12">
        <f>46.17027894</f>
        <v>46.170278940000003</v>
      </c>
      <c r="G12">
        <f>44.73735287</f>
        <v>44.737352870000002</v>
      </c>
      <c r="H12">
        <f>7.796982217</f>
        <v>7.796982217</v>
      </c>
      <c r="I12">
        <f>52.53433509</f>
        <v>52.534335089999999</v>
      </c>
      <c r="J12">
        <f>139.22487</f>
        <v>139.22487000000001</v>
      </c>
      <c r="K12">
        <f>10.318964</f>
        <v>10.318963999999999</v>
      </c>
      <c r="L12">
        <f>6523.2955</f>
        <v>6523.2955000000002</v>
      </c>
    </row>
    <row r="13" spans="1:12" x14ac:dyDescent="0.25">
      <c r="A13">
        <f>0.71</f>
        <v>0.71</v>
      </c>
      <c r="B13">
        <f>49.80362823</f>
        <v>49.803628230000001</v>
      </c>
      <c r="C13">
        <f>48.32858994</f>
        <v>48.328589940000001</v>
      </c>
      <c r="D13">
        <f>28.90994936</f>
        <v>28.909949359999999</v>
      </c>
      <c r="E13">
        <f>77.23853931</f>
        <v>77.238539309999993</v>
      </c>
      <c r="F13">
        <f>46.82985436</f>
        <v>46.829854359999999</v>
      </c>
      <c r="G13">
        <f>45.44289058</f>
        <v>45.442890579999997</v>
      </c>
      <c r="H13">
        <f>7.815354626</f>
        <v>7.8153546260000004</v>
      </c>
      <c r="I13">
        <f>53.25824521</f>
        <v>53.258245209999998</v>
      </c>
      <c r="J13">
        <f>136.0114</f>
        <v>136.01140000000001</v>
      </c>
      <c r="K13">
        <f>10.66094</f>
        <v>10.66094</v>
      </c>
      <c r="L13">
        <f>6282.9736</f>
        <v>6282.9736000000003</v>
      </c>
    </row>
    <row r="14" spans="1:12" x14ac:dyDescent="0.25">
      <c r="A14">
        <f>0.72</f>
        <v>0.72</v>
      </c>
      <c r="B14">
        <f>50.50508778</f>
        <v>50.505087779999997</v>
      </c>
      <c r="C14">
        <f>49.07903943</f>
        <v>49.079039430000002</v>
      </c>
      <c r="D14">
        <f>28.74120962</f>
        <v>28.741209619999999</v>
      </c>
      <c r="E14">
        <f>77.82024906</f>
        <v>77.820249059999995</v>
      </c>
      <c r="F14">
        <f>47.48942977</f>
        <v>47.489429770000001</v>
      </c>
      <c r="G14">
        <f>46.14853075</f>
        <v>46.148530749999999</v>
      </c>
      <c r="H14">
        <f>7.83624311</f>
        <v>7.8362431099999998</v>
      </c>
      <c r="I14">
        <f>53.98477386</f>
        <v>53.984773859999997</v>
      </c>
      <c r="J14">
        <f>132.63643</f>
        <v>132.63642999999999</v>
      </c>
      <c r="K14">
        <f>11.027203</f>
        <v>11.027203</v>
      </c>
      <c r="L14">
        <f>6041.9707</f>
        <v>6041.9706999999999</v>
      </c>
    </row>
    <row r="15" spans="1:12" x14ac:dyDescent="0.25">
      <c r="A15">
        <f>0.73</f>
        <v>0.73</v>
      </c>
      <c r="B15">
        <f>51.20654733</f>
        <v>51.206547329999999</v>
      </c>
      <c r="C15">
        <f>49.82961254</f>
        <v>49.829612539999999</v>
      </c>
      <c r="D15">
        <f>28.57205659</f>
        <v>28.572056589999999</v>
      </c>
      <c r="E15">
        <f>78.40166913</f>
        <v>78.401669130000002</v>
      </c>
      <c r="F15">
        <f>48.14900518</f>
        <v>48.149005180000003</v>
      </c>
      <c r="G15">
        <f>46.85428715</f>
        <v>46.854287149999998</v>
      </c>
      <c r="H15">
        <f>7.859888919</f>
        <v>7.8598889190000003</v>
      </c>
      <c r="I15">
        <f>54.71417607</f>
        <v>54.714176070000001</v>
      </c>
      <c r="J15">
        <f>129.09745</f>
        <v>129.09745000000001</v>
      </c>
      <c r="K15">
        <f>11.420552</f>
        <v>11.420552000000001</v>
      </c>
      <c r="L15">
        <f>5800.2016</f>
        <v>5800.2016000000003</v>
      </c>
    </row>
    <row r="16" spans="1:12" x14ac:dyDescent="0.25">
      <c r="A16">
        <f>0.74</f>
        <v>0.74</v>
      </c>
      <c r="B16">
        <f>51.90800689</f>
        <v>51.908006890000003</v>
      </c>
      <c r="C16">
        <f>50.58032677</f>
        <v>50.580326769999999</v>
      </c>
      <c r="D16">
        <f>28.40243138</f>
        <v>28.402431379999999</v>
      </c>
      <c r="E16">
        <f>78.98275816</f>
        <v>78.982758160000003</v>
      </c>
      <c r="F16">
        <f>48.8085806</f>
        <v>48.808580599999999</v>
      </c>
      <c r="G16">
        <f>47.56017624</f>
        <v>47.560176239999997</v>
      </c>
      <c r="H16">
        <f>7.886567909</f>
        <v>7.886567909</v>
      </c>
      <c r="I16">
        <f>55.44674415</f>
        <v>55.446744150000001</v>
      </c>
      <c r="J16">
        <f>125.39148</f>
        <v>125.39148</v>
      </c>
      <c r="K16">
        <f>11.844261</f>
        <v>11.844260999999999</v>
      </c>
      <c r="L16">
        <f>5557.5654</f>
        <v>5557.5654000000004</v>
      </c>
    </row>
    <row r="17" spans="1:12" x14ac:dyDescent="0.25">
      <c r="A17">
        <f>0.75</f>
        <v>0.75</v>
      </c>
      <c r="B17">
        <f>52.60946644</f>
        <v>52.609466439999998</v>
      </c>
      <c r="C17">
        <f>51.33120324</f>
        <v>51.331203240000001</v>
      </c>
      <c r="D17">
        <f>28.23226296</f>
        <v>28.23226296</v>
      </c>
      <c r="E17">
        <f>79.5634662</f>
        <v>79.563466199999993</v>
      </c>
      <c r="F17">
        <f>49.46815601</f>
        <v>49.468156010000001</v>
      </c>
      <c r="G17">
        <f>48.26621789</f>
        <v>48.26621789</v>
      </c>
      <c r="H17">
        <f>7.916597661</f>
        <v>7.916597661</v>
      </c>
      <c r="I17">
        <f>56.18281555</f>
        <v>56.182815550000001</v>
      </c>
      <c r="J17">
        <f>121.51496</f>
        <v>121.51496</v>
      </c>
      <c r="K17">
        <f>12.302182</f>
        <v>12.302182</v>
      </c>
      <c r="L17">
        <f>5313.9412</f>
        <v>5313.9412000000002</v>
      </c>
    </row>
    <row r="18" spans="1:12" x14ac:dyDescent="0.25">
      <c r="A18">
        <f>0.76</f>
        <v>0.76</v>
      </c>
      <c r="B18">
        <f>53.31092599</f>
        <v>53.310925990000001</v>
      </c>
      <c r="C18">
        <f>52.08226771</f>
        <v>52.082267710000004</v>
      </c>
      <c r="D18">
        <f>28.06146459</f>
        <v>28.06146459</v>
      </c>
      <c r="E18">
        <f>80.1437323</f>
        <v>80.143732299999996</v>
      </c>
      <c r="F18">
        <f>50.12773142</f>
        <v>50.127731420000003</v>
      </c>
      <c r="G18">
        <f>48.97243631</f>
        <v>48.972436309999999</v>
      </c>
      <c r="H18">
        <f>7.950346648</f>
        <v>7.950346648</v>
      </c>
      <c r="I18">
        <f>56.92278295</f>
        <v>56.922782949999998</v>
      </c>
      <c r="J18">
        <f>117.4636</f>
        <v>117.4636</v>
      </c>
      <c r="K18">
        <f>12.798893</f>
        <v>12.798893</v>
      </c>
      <c r="L18">
        <f>5069.1833</f>
        <v>5069.1832999999997</v>
      </c>
    </row>
    <row r="19" spans="1:12" x14ac:dyDescent="0.25">
      <c r="A19">
        <f>0.77</f>
        <v>0.77</v>
      </c>
      <c r="B19">
        <f>54.01238554</f>
        <v>54.012385539999997</v>
      </c>
      <c r="C19">
        <f>52.83355194</f>
        <v>52.83355194</v>
      </c>
      <c r="D19">
        <f>27.88992918</f>
        <v>27.889929179999999</v>
      </c>
      <c r="E19">
        <f>80.72348112</f>
        <v>80.723481120000002</v>
      </c>
      <c r="F19">
        <f>50.78730684</f>
        <v>50.787306839999999</v>
      </c>
      <c r="G19">
        <f>49.67886137</f>
        <v>49.67886137</v>
      </c>
      <c r="H19">
        <f>7.988246234</f>
        <v>7.988246234</v>
      </c>
      <c r="I19">
        <f>57.6671076</f>
        <v>57.667107600000001</v>
      </c>
      <c r="J19">
        <f>113.2322</f>
        <v>113.23220000000001</v>
      </c>
      <c r="K19">
        <f>13.339889</f>
        <v>13.339888999999999</v>
      </c>
      <c r="L19">
        <f>4823.1137</f>
        <v>4823.1136999999999</v>
      </c>
    </row>
    <row r="20" spans="1:12" x14ac:dyDescent="0.25">
      <c r="A20">
        <f>0.78</f>
        <v>0.78</v>
      </c>
      <c r="B20">
        <f>54.7138451</f>
        <v>54.7138451</v>
      </c>
      <c r="C20">
        <f>53.58509396</f>
        <v>53.585093960000002</v>
      </c>
      <c r="D20">
        <f>27.71752862</f>
        <v>27.71752862</v>
      </c>
      <c r="E20">
        <f>81.30262258</f>
        <v>81.302622580000005</v>
      </c>
      <c r="F20">
        <f>51.44688225</f>
        <v>51.446882250000002</v>
      </c>
      <c r="G20">
        <f>50.38552883</f>
        <v>50.385528829999998</v>
      </c>
      <c r="H20">
        <f>8.030805162</f>
        <v>8.0308051620000001</v>
      </c>
      <c r="I20">
        <f>58.41633399</f>
        <v>58.416333989999998</v>
      </c>
      <c r="J20">
        <f>108.81818</f>
        <v>108.81818</v>
      </c>
      <c r="K20">
        <f>13.931819</f>
        <v>13.931819000000001</v>
      </c>
      <c r="L20">
        <f>4575.6745</f>
        <v>4575.6745000000001</v>
      </c>
    </row>
    <row r="21" spans="1:12" x14ac:dyDescent="0.25">
      <c r="A21">
        <f>0.79</f>
        <v>0.79</v>
      </c>
      <c r="B21">
        <f>55.41530465</f>
        <v>55.415304650000003</v>
      </c>
      <c r="C21">
        <f>54.33694777</f>
        <v>54.336947770000002</v>
      </c>
      <c r="D21">
        <f>27.54408038</f>
        <v>27.54408038</v>
      </c>
      <c r="E21">
        <f>81.88102815</f>
        <v>81.881028150000006</v>
      </c>
      <c r="F21">
        <f>52.10645766</f>
        <v>52.106457659999997</v>
      </c>
      <c r="G21">
        <f>51.09248946</f>
        <v>51.092489460000003</v>
      </c>
      <c r="H21">
        <f>8.078637544</f>
        <v>8.0786375439999993</v>
      </c>
      <c r="I21">
        <f>59.171127</f>
        <v>59.171126999999998</v>
      </c>
      <c r="J21">
        <f>104.20547</f>
        <v>104.20547000000001</v>
      </c>
      <c r="K21">
        <f>14.582935</f>
        <v>14.582935000000001</v>
      </c>
      <c r="L21">
        <f>4326.2509</f>
        <v>4326.2509</v>
      </c>
    </row>
    <row r="22" spans="1:12" x14ac:dyDescent="0.25">
      <c r="A22">
        <f>0.8</f>
        <v>0.8</v>
      </c>
      <c r="B22">
        <f>56.1167642</f>
        <v>56.116764199999999</v>
      </c>
      <c r="C22">
        <f>55.08917719</f>
        <v>55.089177190000001</v>
      </c>
      <c r="D22">
        <f>27.36936888</f>
        <v>27.36936888</v>
      </c>
      <c r="E22">
        <f>82.45854607</f>
        <v>82.458546069999997</v>
      </c>
      <c r="F22">
        <f>52.76603308</f>
        <v>52.76603308</v>
      </c>
      <c r="G22">
        <f>51.79980327</f>
        <v>51.799803269999998</v>
      </c>
      <c r="H22">
        <f>8.132485099</f>
        <v>8.1324850990000002</v>
      </c>
      <c r="I22">
        <f>59.93228837</f>
        <v>59.932288370000002</v>
      </c>
      <c r="J22">
        <f>99.387868</f>
        <v>99.387867999999997</v>
      </c>
      <c r="K22">
        <f>15.303488</f>
        <v>15.303488</v>
      </c>
      <c r="L22">
        <f>4074.6627</f>
        <v>4074.6626999999999</v>
      </c>
    </row>
    <row r="23" spans="1:12" x14ac:dyDescent="0.25">
      <c r="A23">
        <f>0.81</f>
        <v>0.81</v>
      </c>
      <c r="B23">
        <f>56.81822375</f>
        <v>56.818223750000001</v>
      </c>
      <c r="C23">
        <f>55.84186901</f>
        <v>55.841869010000003</v>
      </c>
      <c r="D23">
        <f>27.19310058</f>
        <v>27.193100579999999</v>
      </c>
      <c r="E23">
        <f>83.0349696</f>
        <v>83.034969599999997</v>
      </c>
      <c r="F23">
        <f>53.42560849</f>
        <v>53.425608490000002</v>
      </c>
      <c r="G23">
        <f>52.50755188</f>
        <v>52.507551880000001</v>
      </c>
      <c r="H23">
        <f>8.193267831</f>
        <v>8.193267831</v>
      </c>
      <c r="I23">
        <f>60.70081971</f>
        <v>60.700819709999998</v>
      </c>
      <c r="J23">
        <f>94.351923</f>
        <v>94.351922999999999</v>
      </c>
      <c r="K23">
        <f>16.106574</f>
        <v>16.106573999999998</v>
      </c>
      <c r="L23">
        <f>3820.4455</f>
        <v>3820.4454999999998</v>
      </c>
    </row>
    <row r="24" spans="1:12" x14ac:dyDescent="0.25">
      <c r="A24">
        <f>0.82</f>
        <v>0.82</v>
      </c>
      <c r="B24">
        <f>57.51968331</f>
        <v>57.519683309999998</v>
      </c>
      <c r="C24">
        <f>56.59514134</f>
        <v>56.595141339999998</v>
      </c>
      <c r="D24">
        <f>27.0148756</f>
        <v>27.0148756</v>
      </c>
      <c r="E24">
        <f>83.61001694</f>
        <v>83.610016939999994</v>
      </c>
      <c r="F24">
        <f>54.0851839</f>
        <v>54.085183899999997</v>
      </c>
      <c r="G24">
        <f>53.21584633</f>
        <v>53.215846329999998</v>
      </c>
      <c r="H24">
        <f>8.262151067</f>
        <v>8.2621510669999996</v>
      </c>
      <c r="I24">
        <f>61.4779974</f>
        <v>61.4779974</v>
      </c>
      <c r="J24">
        <f>89.079653</f>
        <v>89.079652999999993</v>
      </c>
      <c r="K24">
        <f>17.009289</f>
        <v>17.009288999999999</v>
      </c>
      <c r="L24">
        <f>3562.9763</f>
        <v>3562.9762999999998</v>
      </c>
    </row>
    <row r="25" spans="1:12" x14ac:dyDescent="0.25">
      <c r="A25">
        <f>0.83</f>
        <v>0.83</v>
      </c>
      <c r="B25">
        <f>58.22114286</f>
        <v>58.22114286</v>
      </c>
      <c r="C25">
        <f>57.34916031</f>
        <v>57.349160310000002</v>
      </c>
      <c r="D25">
        <f>26.8341308</f>
        <v>26.834130800000001</v>
      </c>
      <c r="E25">
        <f>84.18329111</f>
        <v>84.183291109999999</v>
      </c>
      <c r="F25">
        <f>54.74475932</f>
        <v>54.74475932</v>
      </c>
      <c r="G25">
        <f>53.92484284</f>
        <v>53.924842839999997</v>
      </c>
      <c r="H25">
        <f>8.340654614</f>
        <v>8.340654614</v>
      </c>
      <c r="I25">
        <f>62.26549745</f>
        <v>62.265497449999998</v>
      </c>
      <c r="J25">
        <f>83.546226</f>
        <v>83.546226000000004</v>
      </c>
      <c r="K25">
        <f>18.034631</f>
        <v>18.034631000000001</v>
      </c>
      <c r="L25">
        <f>3301.3914</f>
        <v>3301.3914</v>
      </c>
    </row>
    <row r="26" spans="1:12" x14ac:dyDescent="0.25">
      <c r="A26">
        <f>0.84</f>
        <v>0.84</v>
      </c>
      <c r="B26">
        <f>58.92260241</f>
        <v>58.922602410000003</v>
      </c>
      <c r="C26">
        <f>58.10416966</f>
        <v>58.104169659999997</v>
      </c>
      <c r="D26">
        <f>26.65004116</f>
        <v>26.650041160000001</v>
      </c>
      <c r="E26">
        <f>84.75421081</f>
        <v>84.754210810000004</v>
      </c>
      <c r="F26">
        <f>55.40433473</f>
        <v>55.404334730000002</v>
      </c>
      <c r="G26">
        <f>54.63477058</f>
        <v>54.634770580000001</v>
      </c>
      <c r="H26">
        <f>8.430839287</f>
        <v>8.4308392869999995</v>
      </c>
      <c r="I26">
        <f>63.06560987</f>
        <v>63.065609870000003</v>
      </c>
      <c r="J26">
        <f>77.715948</f>
        <v>77.715947999999997</v>
      </c>
      <c r="K26">
        <f>19.214746</f>
        <v>19.214746000000002</v>
      </c>
      <c r="L26">
        <f>3034.4441</f>
        <v>3034.4441000000002</v>
      </c>
    </row>
    <row r="27" spans="1:12" x14ac:dyDescent="0.25">
      <c r="A27">
        <f>0.85</f>
        <v>0.85</v>
      </c>
      <c r="B27">
        <f>59.62406196</f>
        <v>59.624061959999999</v>
      </c>
      <c r="C27">
        <f>58.86054731</f>
        <v>58.860547310000001</v>
      </c>
      <c r="D27">
        <f>26.46132142</f>
        <v>26.461321420000001</v>
      </c>
      <c r="E27">
        <f>85.32186873</f>
        <v>85.321868730000006</v>
      </c>
      <c r="F27">
        <f>56.06391014</f>
        <v>56.063910139999997</v>
      </c>
      <c r="G27">
        <f>55.34598494</f>
        <v>55.345984940000001</v>
      </c>
      <c r="H27">
        <f>8.535647395</f>
        <v>8.5356473949999998</v>
      </c>
      <c r="I27">
        <f>63.88163233</f>
        <v>63.881632330000002</v>
      </c>
      <c r="J27">
        <f>71.534719</f>
        <v>71.534718999999996</v>
      </c>
      <c r="K27">
        <f>20.59697</f>
        <v>20.596969999999999</v>
      </c>
      <c r="L27">
        <f>2760.2361</f>
        <v>2760.2361000000001</v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</row>
    <row r="2" spans="1:12" x14ac:dyDescent="0.25">
      <c r="A2">
        <f>0.6</f>
        <v>0.6</v>
      </c>
      <c r="B2">
        <f>42.61366781</f>
        <v>42.613667810000003</v>
      </c>
      <c r="C2">
        <f>40.56454543</f>
        <v>40.564545430000003</v>
      </c>
      <c r="D2">
        <f>29.71370862</f>
        <v>29.713708619999998</v>
      </c>
      <c r="E2">
        <f>70.27825406</f>
        <v>70.278254059999995</v>
      </c>
      <c r="F2">
        <f>40.06920637</f>
        <v>40.069206370000003</v>
      </c>
      <c r="G2">
        <f>38.14243705</f>
        <v>38.142437049999998</v>
      </c>
      <c r="H2">
        <f>7.331290011</f>
        <v>7.3312900110000001</v>
      </c>
      <c r="I2">
        <f>45.47372706</f>
        <v>45.473727060000002</v>
      </c>
      <c r="J2">
        <f>162.31374</f>
        <v>162.31374</v>
      </c>
      <c r="K2">
        <f>7.7699701</f>
        <v>7.7699701000000001</v>
      </c>
      <c r="L2">
        <f>8872.6287</f>
        <v>8872.6286999999993</v>
      </c>
    </row>
    <row r="3" spans="1:12" x14ac:dyDescent="0.25">
      <c r="A3">
        <f>0.61</f>
        <v>0.61</v>
      </c>
      <c r="B3">
        <f>43.32389561</f>
        <v>43.323895610000001</v>
      </c>
      <c r="C3">
        <f>41.32363317</f>
        <v>41.323633170000001</v>
      </c>
      <c r="D3">
        <f>29.54533014</f>
        <v>29.545330140000001</v>
      </c>
      <c r="E3">
        <f>70.86896331</f>
        <v>70.868963309999998</v>
      </c>
      <c r="F3">
        <f>40.73702647</f>
        <v>40.737026470000004</v>
      </c>
      <c r="G3">
        <f>38.85619968</f>
        <v>38.856199680000003</v>
      </c>
      <c r="H3">
        <f>7.329862389</f>
        <v>7.3298623889999996</v>
      </c>
      <c r="I3">
        <f>46.18606206</f>
        <v>46.186062059999998</v>
      </c>
      <c r="J3">
        <f>160.62282</f>
        <v>160.62281999999999</v>
      </c>
      <c r="K3">
        <f>7.9597729</f>
        <v>7.9597728999999999</v>
      </c>
      <c r="L3">
        <f>8636.2597</f>
        <v>8636.2597000000005</v>
      </c>
    </row>
    <row r="4" spans="1:12" x14ac:dyDescent="0.25">
      <c r="A4">
        <f>0.62</f>
        <v>0.62</v>
      </c>
      <c r="B4">
        <f>44.03412341</f>
        <v>44.034123409999999</v>
      </c>
      <c r="C4">
        <f>42.08276127</f>
        <v>42.082761269999999</v>
      </c>
      <c r="D4">
        <f>29.37681724</f>
        <v>29.376817240000001</v>
      </c>
      <c r="E4">
        <f>71.45957851</f>
        <v>71.45957851</v>
      </c>
      <c r="F4">
        <f>41.40484658</f>
        <v>41.404846579999997</v>
      </c>
      <c r="G4">
        <f>39.57000024</f>
        <v>39.570000239999999</v>
      </c>
      <c r="H4">
        <f>7.329475159</f>
        <v>7.3294751590000002</v>
      </c>
      <c r="I4">
        <f>46.8994754</f>
        <v>46.8994754</v>
      </c>
      <c r="J4">
        <f>158.78268</f>
        <v>158.78268</v>
      </c>
      <c r="K4">
        <f>8.1592496</f>
        <v>8.1592496000000008</v>
      </c>
      <c r="L4">
        <f>8399.6212</f>
        <v>8399.6211999999996</v>
      </c>
    </row>
    <row r="5" spans="1:12" x14ac:dyDescent="0.25">
      <c r="A5">
        <f>0.63</f>
        <v>0.63</v>
      </c>
      <c r="B5">
        <f>44.74435121</f>
        <v>44.744351209999998</v>
      </c>
      <c r="C5">
        <f>42.84193338</f>
        <v>42.84193338</v>
      </c>
      <c r="D5">
        <f>29.20815767</f>
        <v>29.208157669999999</v>
      </c>
      <c r="E5">
        <f>72.05009105</f>
        <v>72.050091050000006</v>
      </c>
      <c r="F5">
        <f>42.07266669</f>
        <v>42.072666689999998</v>
      </c>
      <c r="G5">
        <f>40.2838422</f>
        <v>40.283842200000002</v>
      </c>
      <c r="H5">
        <f>7.330200567</f>
        <v>7.3302005670000003</v>
      </c>
      <c r="I5">
        <f>47.61404277</f>
        <v>47.614042769999998</v>
      </c>
      <c r="J5">
        <f>156.79261</f>
        <v>156.79261</v>
      </c>
      <c r="K5">
        <f>8.3691749</f>
        <v>8.3691749000000009</v>
      </c>
      <c r="L5">
        <f>8162.6902</f>
        <v>8162.6902</v>
      </c>
    </row>
    <row r="6" spans="1:12" x14ac:dyDescent="0.25">
      <c r="A6">
        <f>0.64</f>
        <v>0.64</v>
      </c>
      <c r="B6">
        <f>45.454579</f>
        <v>45.454579000000003</v>
      </c>
      <c r="C6">
        <f>43.60115363</f>
        <v>43.601153629999999</v>
      </c>
      <c r="D6">
        <f>29.0393376</f>
        <v>29.0393376</v>
      </c>
      <c r="E6">
        <f>72.64049123</f>
        <v>72.640491229999995</v>
      </c>
      <c r="F6">
        <f>42.74048679</f>
        <v>42.740486789999999</v>
      </c>
      <c r="G6">
        <f>40.99772942</f>
        <v>40.997729419999999</v>
      </c>
      <c r="H6">
        <f>7.332117948</f>
        <v>7.3321179479999996</v>
      </c>
      <c r="I6">
        <f>48.32984737</f>
        <v>48.329847370000003</v>
      </c>
      <c r="J6">
        <f>154.65186</f>
        <v>154.65186</v>
      </c>
      <c r="K6">
        <f>8.5904107</f>
        <v>8.5904106999999996</v>
      </c>
      <c r="L6">
        <f>7925.441</f>
        <v>7925.4409999999998</v>
      </c>
    </row>
    <row r="7" spans="1:12" x14ac:dyDescent="0.25">
      <c r="A7">
        <f>0.65</f>
        <v>0.65</v>
      </c>
      <c r="B7">
        <f>46.1648068</f>
        <v>46.164806800000001</v>
      </c>
      <c r="C7">
        <f>44.36042671</f>
        <v>44.360426709999999</v>
      </c>
      <c r="D7">
        <f>28.87034138</f>
        <v>28.870341379999999</v>
      </c>
      <c r="E7">
        <f>73.23076809</f>
        <v>73.230768089999998</v>
      </c>
      <c r="F7">
        <f>43.4083069</f>
        <v>43.408306899999999</v>
      </c>
      <c r="G7">
        <f>41.71166631</f>
        <v>41.711666309999998</v>
      </c>
      <c r="H7">
        <f>7.33531466</f>
        <v>7.3353146599999999</v>
      </c>
      <c r="I7">
        <f>49.04698097</f>
        <v>49.04698097</v>
      </c>
      <c r="J7">
        <f>152.35955</f>
        <v>152.35955000000001</v>
      </c>
      <c r="K7">
        <f>8.823919</f>
        <v>8.8239190000000001</v>
      </c>
      <c r="L7">
        <f>7687.8448</f>
        <v>7687.8447999999999</v>
      </c>
    </row>
    <row r="8" spans="1:12" x14ac:dyDescent="0.25">
      <c r="A8">
        <f>0.66</f>
        <v>0.66</v>
      </c>
      <c r="B8">
        <f>46.8750346</f>
        <v>46.875034599999999</v>
      </c>
      <c r="C8">
        <f>45.1197579</f>
        <v>45.119757900000003</v>
      </c>
      <c r="D8">
        <f>28.7011512</f>
        <v>28.701151200000002</v>
      </c>
      <c r="E8">
        <f>73.82090911</f>
        <v>73.820909110000002</v>
      </c>
      <c r="F8">
        <f>44.076127</f>
        <v>44.076127</v>
      </c>
      <c r="G8">
        <f>42.42565786</f>
        <v>42.425657860000001</v>
      </c>
      <c r="H8">
        <f>7.339887179</f>
        <v>7.3398871789999998</v>
      </c>
      <c r="I8">
        <f>49.76554504</f>
        <v>49.765545039999999</v>
      </c>
      <c r="J8">
        <f>149.91472</f>
        <v>149.91471999999999</v>
      </c>
      <c r="K8">
        <f>9.0707771</f>
        <v>9.0707771000000008</v>
      </c>
      <c r="L8">
        <f>7449.8689</f>
        <v>7449.8689000000004</v>
      </c>
    </row>
    <row r="9" spans="1:12" x14ac:dyDescent="0.25">
      <c r="A9">
        <f>0.67</f>
        <v>0.67</v>
      </c>
      <c r="B9">
        <f>47.58526239</f>
        <v>47.585262389999997</v>
      </c>
      <c r="C9">
        <f>45.87915329</f>
        <v>45.879153289999998</v>
      </c>
      <c r="D9">
        <f>28.53174671</f>
        <v>28.53174671</v>
      </c>
      <c r="E9">
        <f>74.41090001</f>
        <v>74.410900010000006</v>
      </c>
      <c r="F9">
        <f>44.74394711</f>
        <v>44.743947110000001</v>
      </c>
      <c r="G9">
        <f>43.13970976</f>
        <v>43.139709760000002</v>
      </c>
      <c r="H9">
        <f>7.345942378</f>
        <v>7.3459423780000002</v>
      </c>
      <c r="I9">
        <f>50.48565214</f>
        <v>50.485652139999999</v>
      </c>
      <c r="J9">
        <f>147.31627</f>
        <v>147.31627</v>
      </c>
      <c r="K9">
        <f>9.3321959</f>
        <v>9.3321959000000003</v>
      </c>
      <c r="L9">
        <f>7211.4762</f>
        <v>7211.4762000000001</v>
      </c>
    </row>
    <row r="10" spans="1:12" x14ac:dyDescent="0.25">
      <c r="A10">
        <f>0.68</f>
        <v>0.68</v>
      </c>
      <c r="B10">
        <f>48.29549019</f>
        <v>48.295490190000002</v>
      </c>
      <c r="C10">
        <f>46.63861984</f>
        <v>46.638619839999997</v>
      </c>
      <c r="D10">
        <f>28.36210455</f>
        <v>28.362104550000002</v>
      </c>
      <c r="E10">
        <f>75.00072439</f>
        <v>75.000724390000002</v>
      </c>
      <c r="F10">
        <f>45.41176722</f>
        <v>45.411767220000002</v>
      </c>
      <c r="G10">
        <f>43.85382857</f>
        <v>43.853828569999997</v>
      </c>
      <c r="H10">
        <f>7.353599052</f>
        <v>7.3535990519999999</v>
      </c>
      <c r="I10">
        <f>51.20742762</f>
        <v>51.207427619999997</v>
      </c>
      <c r="J10">
        <f>144.56292</f>
        <v>144.56291999999999</v>
      </c>
      <c r="K10">
        <f>9.6095428</f>
        <v>9.6095427999999998</v>
      </c>
      <c r="L10">
        <f>6972.6244</f>
        <v>6972.6243999999997</v>
      </c>
    </row>
    <row r="11" spans="1:12" x14ac:dyDescent="0.25">
      <c r="A11">
        <f>0.69</f>
        <v>0.69</v>
      </c>
      <c r="B11">
        <f>49.00571799</f>
        <v>49.005717990000001</v>
      </c>
      <c r="C11">
        <f>47.39816558</f>
        <v>47.398165579999997</v>
      </c>
      <c r="D11">
        <f>28.19219772</f>
        <v>28.192197719999999</v>
      </c>
      <c r="E11">
        <f>75.5903633</f>
        <v>75.590363300000007</v>
      </c>
      <c r="F11">
        <f>46.07958732</f>
        <v>46.079587320000002</v>
      </c>
      <c r="G11">
        <f>44.56802184</f>
        <v>44.56802184</v>
      </c>
      <c r="H11">
        <f>7.362989736</f>
        <v>7.3629897360000003</v>
      </c>
      <c r="I11">
        <f>51.93101158</f>
        <v>51.931011580000003</v>
      </c>
      <c r="J11">
        <f>141.65325</f>
        <v>141.65325000000001</v>
      </c>
      <c r="K11">
        <f>9.9043677</f>
        <v>9.9043676999999999</v>
      </c>
      <c r="L11">
        <f>6733.2653</f>
        <v>6733.2653</v>
      </c>
    </row>
    <row r="12" spans="1:12" x14ac:dyDescent="0.25">
      <c r="A12">
        <f>0.7</f>
        <v>0.7</v>
      </c>
      <c r="B12">
        <f>49.71594578</f>
        <v>49.715945779999998</v>
      </c>
      <c r="C12">
        <f>48.15779984</f>
        <v>48.157799840000003</v>
      </c>
      <c r="D12">
        <f>28.02199486</f>
        <v>28.02199486</v>
      </c>
      <c r="E12">
        <f>76.1797947</f>
        <v>76.179794700000002</v>
      </c>
      <c r="F12">
        <f>46.74740743</f>
        <v>46.747407430000003</v>
      </c>
      <c r="G12">
        <f>45.28229835</f>
        <v>45.282298349999998</v>
      </c>
      <c r="H12">
        <f>7.374262889</f>
        <v>7.3742628889999997</v>
      </c>
      <c r="I12">
        <f>52.65656124</f>
        <v>52.656561240000002</v>
      </c>
      <c r="J12">
        <f>138.5856</f>
        <v>138.5856</v>
      </c>
      <c r="K12">
        <f>10.218436</f>
        <v>10.218436000000001</v>
      </c>
      <c r="L12">
        <f>6493.3429</f>
        <v>6493.3428999999996</v>
      </c>
    </row>
    <row r="13" spans="1:12" x14ac:dyDescent="0.25">
      <c r="A13">
        <f>0.71</f>
        <v>0.71</v>
      </c>
      <c r="B13">
        <f>50.42617358</f>
        <v>50.426173579999997</v>
      </c>
      <c r="C13">
        <f>48.91753352</f>
        <v>48.917533519999999</v>
      </c>
      <c r="D13">
        <f>27.85145933</f>
        <v>27.851459330000001</v>
      </c>
      <c r="E13">
        <f>76.76899285</f>
        <v>76.768992850000004</v>
      </c>
      <c r="F13">
        <f>47.41522754</f>
        <v>47.415227539999997</v>
      </c>
      <c r="G13">
        <f>45.99666835</f>
        <v>45.99666835</v>
      </c>
      <c r="H13">
        <f>7.38758554</f>
        <v>7.3875855399999999</v>
      </c>
      <c r="I13">
        <f>53.38425389</f>
        <v>53.384253889999997</v>
      </c>
      <c r="J13">
        <f>135.35805</f>
        <v>135.35804999999999</v>
      </c>
      <c r="K13">
        <f>10.553771</f>
        <v>10.553770999999999</v>
      </c>
      <c r="L13">
        <f>6252.7925</f>
        <v>6252.7924999999996</v>
      </c>
    </row>
    <row r="14" spans="1:12" x14ac:dyDescent="0.25">
      <c r="A14">
        <f>0.72</f>
        <v>0.72</v>
      </c>
      <c r="B14">
        <f>51.13640138</f>
        <v>51.136401380000002</v>
      </c>
      <c r="C14">
        <f>49.67737947</f>
        <v>49.677379469999998</v>
      </c>
      <c r="D14">
        <f>27.68054792</f>
        <v>27.680547919999999</v>
      </c>
      <c r="E14">
        <f>77.35792739</f>
        <v>77.35792739</v>
      </c>
      <c r="F14">
        <f>48.08304764</f>
        <v>48.083047639999997</v>
      </c>
      <c r="G14">
        <f>46.71114391</f>
        <v>46.711143909999997</v>
      </c>
      <c r="H14">
        <f>7.403146537</f>
        <v>7.4031465369999996</v>
      </c>
      <c r="I14">
        <f>54.11429044</f>
        <v>54.114290439999998</v>
      </c>
      <c r="J14">
        <f>131.96837</f>
        <v>131.96836999999999</v>
      </c>
      <c r="K14">
        <f>10.912702</f>
        <v>10.912701999999999</v>
      </c>
      <c r="L14">
        <f>6011.5387</f>
        <v>6011.5387000000001</v>
      </c>
    </row>
    <row r="15" spans="1:12" x14ac:dyDescent="0.25">
      <c r="A15">
        <f>0.73</f>
        <v>0.73</v>
      </c>
      <c r="B15">
        <f>51.84662917</f>
        <v>51.84662917</v>
      </c>
      <c r="C15">
        <f>50.43735289</f>
        <v>50.43735289</v>
      </c>
      <c r="D15">
        <f>27.50920939</f>
        <v>27.509209389999999</v>
      </c>
      <c r="E15">
        <f>77.94656228</f>
        <v>77.946562279999995</v>
      </c>
      <c r="F15">
        <f>48.75086775</f>
        <v>48.750867749999998</v>
      </c>
      <c r="G15">
        <f>47.42573933</f>
        <v>47.425739329999999</v>
      </c>
      <c r="H15">
        <f>7.421160555</f>
        <v>7.4211605550000002</v>
      </c>
      <c r="I15">
        <f>54.84689989</f>
        <v>54.846899890000003</v>
      </c>
      <c r="J15">
        <f>128.41395</f>
        <v>128.41395</v>
      </c>
      <c r="K15">
        <f>11.297928</f>
        <v>11.297928000000001</v>
      </c>
      <c r="L15">
        <f>5769.4924</f>
        <v>5769.4924000000001</v>
      </c>
    </row>
    <row r="16" spans="1:12" x14ac:dyDescent="0.25">
      <c r="A16">
        <f>0.74</f>
        <v>0.74</v>
      </c>
      <c r="B16">
        <f>52.55685697</f>
        <v>52.556856969999998</v>
      </c>
      <c r="C16">
        <f>51.19747202</f>
        <v>51.197472019999999</v>
      </c>
      <c r="D16">
        <f>27.33738234</f>
        <v>27.337382340000001</v>
      </c>
      <c r="E16">
        <f>78.53485436</f>
        <v>78.534854359999997</v>
      </c>
      <c r="F16">
        <f>49.41868785</f>
        <v>49.418687849999998</v>
      </c>
      <c r="G16">
        <f>48.14047176</f>
        <v>48.140471759999997</v>
      </c>
      <c r="H16">
        <f>7.441873124</f>
        <v>7.4418731239999998</v>
      </c>
      <c r="I16">
        <f>55.58234488</f>
        <v>55.582344880000001</v>
      </c>
      <c r="J16">
        <f>124.69166</f>
        <v>124.69166</v>
      </c>
      <c r="K16">
        <f>11.712602</f>
        <v>11.712602</v>
      </c>
      <c r="L16">
        <f>5526.5481</f>
        <v>5526.5481</v>
      </c>
    </row>
    <row r="17" spans="1:12" x14ac:dyDescent="0.25">
      <c r="A17">
        <f>0.75</f>
        <v>0.75</v>
      </c>
      <c r="B17">
        <f>53.26708477</f>
        <v>53.267084769999997</v>
      </c>
      <c r="C17">
        <f>51.95775886</f>
        <v>51.957758859999998</v>
      </c>
      <c r="D17">
        <f>27.16499256</f>
        <v>27.164992560000002</v>
      </c>
      <c r="E17">
        <f>79.12275142</f>
        <v>79.12275142</v>
      </c>
      <c r="F17">
        <f>50.08650796</f>
        <v>50.086507959999999</v>
      </c>
      <c r="G17">
        <f>48.85536188</f>
        <v>48.855361879999997</v>
      </c>
      <c r="H17">
        <f>7.465567007</f>
        <v>7.4655670069999998</v>
      </c>
      <c r="I17">
        <f>56.32092889</f>
        <v>56.320928889999998</v>
      </c>
      <c r="J17">
        <f>120.79781</f>
        <v>120.79781</v>
      </c>
      <c r="K17">
        <f>12.160433</f>
        <v>12.160432999999999</v>
      </c>
      <c r="L17">
        <f>5282.5797</f>
        <v>5282.5797000000002</v>
      </c>
    </row>
    <row r="18" spans="1:12" x14ac:dyDescent="0.25">
      <c r="A18">
        <f>0.76</f>
        <v>0.76</v>
      </c>
      <c r="B18">
        <f>53.97731257</f>
        <v>53.977312570000002</v>
      </c>
      <c r="C18">
        <f>52.71824032</f>
        <v>52.71824032</v>
      </c>
      <c r="D18">
        <f>26.99194927</f>
        <v>26.991949269999999</v>
      </c>
      <c r="E18">
        <f>79.71018958</f>
        <v>79.710189580000005</v>
      </c>
      <c r="F18">
        <f>50.75432807</f>
        <v>50.75432807</v>
      </c>
      <c r="G18">
        <f>49.570435</f>
        <v>49.570435000000003</v>
      </c>
      <c r="H18">
        <f>7.49257043</f>
        <v>7.4925704299999998</v>
      </c>
      <c r="I18">
        <f>57.06300543</f>
        <v>57.063005429999997</v>
      </c>
      <c r="J18">
        <f>116.72791</f>
        <v>116.72790999999999</v>
      </c>
      <c r="K18">
        <f>12.645826</f>
        <v>12.645826</v>
      </c>
      <c r="L18">
        <f>5037.4343</f>
        <v>5037.4342999999999</v>
      </c>
    </row>
    <row r="19" spans="1:12" x14ac:dyDescent="0.25">
      <c r="A19">
        <f>0.77</f>
        <v>0.77</v>
      </c>
      <c r="B19">
        <f>54.68754036</f>
        <v>54.68754036</v>
      </c>
      <c r="C19">
        <f>53.47894965</f>
        <v>53.478949649999997</v>
      </c>
      <c r="D19">
        <f>26.81814011</f>
        <v>26.818140110000002</v>
      </c>
      <c r="E19">
        <f>80.29708977</f>
        <v>80.297089769999999</v>
      </c>
      <c r="F19">
        <f>51.42214817</f>
        <v>51.42214817</v>
      </c>
      <c r="G19">
        <f>50.2857224</f>
        <v>50.285722399999997</v>
      </c>
      <c r="H19">
        <f>7.523267877</f>
        <v>7.5232678770000003</v>
      </c>
      <c r="I19">
        <f>57.80899027</f>
        <v>57.808990270000002</v>
      </c>
      <c r="J19">
        <f>112.4765</f>
        <v>112.4765</v>
      </c>
      <c r="K19">
        <f>13.174064</f>
        <v>13.174064</v>
      </c>
      <c r="L19">
        <f>4790.9246</f>
        <v>4790.9246000000003</v>
      </c>
    </row>
    <row r="20" spans="1:12" x14ac:dyDescent="0.25">
      <c r="A20">
        <f>0.78</f>
        <v>0.78</v>
      </c>
      <c r="B20">
        <f>55.39776816</f>
        <v>55.397768159999998</v>
      </c>
      <c r="C20">
        <f>54.23992685</f>
        <v>54.239926850000003</v>
      </c>
      <c r="D20">
        <f>26.64343011</f>
        <v>26.643430110000001</v>
      </c>
      <c r="E20">
        <f>80.88335695</f>
        <v>80.883356950000007</v>
      </c>
      <c r="F20">
        <f>52.08996828</f>
        <v>52.089968280000001</v>
      </c>
      <c r="G20">
        <f>51.00126165</f>
        <v>51.001261649999996</v>
      </c>
      <c r="H20">
        <f>7.558113281</f>
        <v>7.5581132809999998</v>
      </c>
      <c r="I20">
        <f>58.55937493</f>
        <v>58.559374929999997</v>
      </c>
      <c r="J20">
        <f>108.04064</f>
        <v>108.04064</v>
      </c>
      <c r="K20">
        <f>13.751537</f>
        <v>13.751537000000001</v>
      </c>
      <c r="L20">
        <f>4542.9798</f>
        <v>4542.9798000000001</v>
      </c>
    </row>
    <row r="21" spans="1:12" x14ac:dyDescent="0.25">
      <c r="A21">
        <f>0.79</f>
        <v>0.79</v>
      </c>
      <c r="B21">
        <f>56.10799596</f>
        <v>56.107995959999997</v>
      </c>
      <c r="C21">
        <f>55.00122864</f>
        <v>55.001228640000001</v>
      </c>
      <c r="D21">
        <f>26.46762706</f>
        <v>26.467627060000002</v>
      </c>
      <c r="E21">
        <f>81.4688557</f>
        <v>81.468855700000006</v>
      </c>
      <c r="F21">
        <f>52.75778838</f>
        <v>52.757788380000001</v>
      </c>
      <c r="G21">
        <f>51.71710613</f>
        <v>51.717106129999998</v>
      </c>
      <c r="H21">
        <f>7.597654895</f>
        <v>7.5976548949999998</v>
      </c>
      <c r="I21">
        <f>59.31476103</f>
        <v>59.31476103</v>
      </c>
      <c r="J21">
        <f>103.40388</f>
        <v>103.40388</v>
      </c>
      <c r="K21">
        <f>14.386175</f>
        <v>14.386175</v>
      </c>
      <c r="L21">
        <f>4292.9717</f>
        <v>4292.9717000000001</v>
      </c>
    </row>
    <row r="22" spans="1:12" x14ac:dyDescent="0.25">
      <c r="A22">
        <f>0.8</f>
        <v>0.8</v>
      </c>
      <c r="B22">
        <f>56.81822375</f>
        <v>56.818223750000001</v>
      </c>
      <c r="C22">
        <f>55.7629226</f>
        <v>55.762922600000003</v>
      </c>
      <c r="D22">
        <f>26.29050237</f>
        <v>26.290502369999999</v>
      </c>
      <c r="E22">
        <f>82.05342497</f>
        <v>82.053424969999995</v>
      </c>
      <c r="F22">
        <f>53.42560849</f>
        <v>53.425608490000002</v>
      </c>
      <c r="G22">
        <f>52.43331935</f>
        <v>52.433319349999998</v>
      </c>
      <c r="H22">
        <f>7.64255628</f>
        <v>7.64255628</v>
      </c>
      <c r="I22">
        <f>60.07587563</f>
        <v>60.075875629999999</v>
      </c>
      <c r="J22">
        <f>98.559385</f>
        <v>98.559385000000006</v>
      </c>
      <c r="K22">
        <f>15.08783</f>
        <v>15.08783</v>
      </c>
      <c r="L22">
        <f>4040.6969</f>
        <v>4040.6968999999999</v>
      </c>
    </row>
    <row r="23" spans="1:12" x14ac:dyDescent="0.25">
      <c r="A23">
        <f>0.81</f>
        <v>0.81</v>
      </c>
      <c r="B23">
        <f>57.52845155</f>
        <v>57.52845155</v>
      </c>
      <c r="C23">
        <f>56.52510089</f>
        <v>56.525100889999997</v>
      </c>
      <c r="D23">
        <f>26.11174363</f>
        <v>26.111743629999999</v>
      </c>
      <c r="E23">
        <f>82.63684452</f>
        <v>82.636844519999997</v>
      </c>
      <c r="F23">
        <f>54.0934286</f>
        <v>54.093428600000003</v>
      </c>
      <c r="G23">
        <f>53.14998799</f>
        <v>53.14998799</v>
      </c>
      <c r="H23">
        <f>7.693642169</f>
        <v>7.6936421690000003</v>
      </c>
      <c r="I23">
        <f>60.84363016</f>
        <v>60.843630159999996</v>
      </c>
      <c r="J23">
        <f>93.49285</f>
        <v>93.492850000000004</v>
      </c>
      <c r="K23">
        <f>15.869094</f>
        <v>15.869094</v>
      </c>
      <c r="L23">
        <f>3785.6604</f>
        <v>3785.6604000000002</v>
      </c>
    </row>
    <row r="24" spans="1:12" x14ac:dyDescent="0.25">
      <c r="A24">
        <f>0.82</f>
        <v>0.82</v>
      </c>
      <c r="B24">
        <f>58.23867935</f>
        <v>58.238679349999998</v>
      </c>
      <c r="C24">
        <f>57.28788968</f>
        <v>57.287889679999999</v>
      </c>
      <c r="D24">
        <f>25.93092287</f>
        <v>25.93092287</v>
      </c>
      <c r="E24">
        <f>83.21881256</f>
        <v>83.218812560000003</v>
      </c>
      <c r="F24">
        <f>54.7612487</f>
        <v>54.761248700000003</v>
      </c>
      <c r="G24">
        <f>53.86723068</f>
        <v>53.867230679999999</v>
      </c>
      <c r="H24">
        <f>7.751960442</f>
        <v>7.7519604419999997</v>
      </c>
      <c r="I24">
        <f>61.61919112</f>
        <v>61.619191120000004</v>
      </c>
      <c r="J24">
        <f>88.185043</f>
        <v>88.185042999999993</v>
      </c>
      <c r="K24">
        <f>16.746434</f>
        <v>16.746434000000001</v>
      </c>
      <c r="L24">
        <f>3527.194</f>
        <v>3527.194</v>
      </c>
    </row>
    <row r="25" spans="1:12" x14ac:dyDescent="0.25">
      <c r="A25">
        <f>0.83</f>
        <v>0.83</v>
      </c>
      <c r="B25">
        <f>58.94890714</f>
        <v>58.948907140000003</v>
      </c>
      <c r="C25">
        <f>58.05146773</f>
        <v>58.051467729999999</v>
      </c>
      <c r="D25">
        <f>25.74743309</f>
        <v>25.747433090000001</v>
      </c>
      <c r="E25">
        <f>83.79890082</f>
        <v>83.79890082</v>
      </c>
      <c r="F25">
        <f>55.42906881</f>
        <v>55.429068809999997</v>
      </c>
      <c r="G25">
        <f>54.58521549</f>
        <v>54.585215490000003</v>
      </c>
      <c r="H25">
        <f>7.818883801</f>
        <v>7.8188838010000001</v>
      </c>
      <c r="I25">
        <f>62.40409929</f>
        <v>62.404099289999998</v>
      </c>
      <c r="J25">
        <f>82.60922</f>
        <v>82.609219999999993</v>
      </c>
      <c r="K25">
        <f>17.742051</f>
        <v>17.742051</v>
      </c>
      <c r="L25">
        <f>3264.3649</f>
        <v>3264.3649</v>
      </c>
    </row>
    <row r="26" spans="1:12" x14ac:dyDescent="0.25">
      <c r="A26">
        <f>0.84</f>
        <v>0.84</v>
      </c>
      <c r="B26">
        <f>59.65913494</f>
        <v>59.659134940000001</v>
      </c>
      <c r="C26">
        <f>58.81609977</f>
        <v>58.816099770000001</v>
      </c>
      <c r="D26">
        <f>25.56037419</f>
        <v>25.560374190000001</v>
      </c>
      <c r="E26">
        <f>84.37647396</f>
        <v>84.376473959999998</v>
      </c>
      <c r="F26">
        <f>56.09688892</f>
        <v>56.096888919999998</v>
      </c>
      <c r="G26">
        <f>55.30419136</f>
        <v>55.304191359999997</v>
      </c>
      <c r="H26">
        <f>7.896284908</f>
        <v>7.8962849080000002</v>
      </c>
      <c r="I26">
        <f>63.20047627</f>
        <v>63.200476270000003</v>
      </c>
      <c r="J26">
        <f>76.726588</f>
        <v>76.726588000000007</v>
      </c>
      <c r="K26">
        <f>18.887121</f>
        <v>18.887121</v>
      </c>
      <c r="L26">
        <f>2995.8141</f>
        <v>2995.8141000000001</v>
      </c>
    </row>
    <row r="27" spans="1:12" x14ac:dyDescent="0.25">
      <c r="A27">
        <f>0.85</f>
        <v>0.85</v>
      </c>
      <c r="B27">
        <f>60.36936274</f>
        <v>60.36936274</v>
      </c>
      <c r="C27">
        <f>59.58220159</f>
        <v>59.582201589999997</v>
      </c>
      <c r="D27">
        <f>25.36833597</f>
        <v>25.36833597</v>
      </c>
      <c r="E27">
        <f>84.95053756</f>
        <v>84.950537560000001</v>
      </c>
      <c r="F27">
        <f>56.76470902</f>
        <v>56.764709019999998</v>
      </c>
      <c r="G27">
        <f>56.02454925</f>
        <v>56.02454925</v>
      </c>
      <c r="H27">
        <f>7.986867818</f>
        <v>7.9868678180000003</v>
      </c>
      <c r="I27">
        <f>64.01141707</f>
        <v>64.011417069999993</v>
      </c>
      <c r="J27">
        <f>70.477607</f>
        <v>70.477607000000006</v>
      </c>
      <c r="K27">
        <f>20.227896</f>
        <v>20.227896000000001</v>
      </c>
      <c r="L27">
        <f>2719.4464</f>
        <v>2719.4463999999998</v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J30" sqref="J30"/>
    </sheetView>
  </sheetViews>
  <sheetFormatPr defaultRowHeight="15" x14ac:dyDescent="0.25"/>
  <sheetData>
    <row r="1" spans="1:12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</row>
    <row r="2" spans="1:12" x14ac:dyDescent="0.25">
      <c r="A2">
        <f>0.6</f>
        <v>0.6</v>
      </c>
      <c r="B2">
        <f>43.13976248</f>
        <v>43.139762480000002</v>
      </c>
      <c r="C2">
        <f>41.05027766</f>
        <v>41.050277659999999</v>
      </c>
      <c r="D2">
        <f>28.67857236</f>
        <v>28.67857236</v>
      </c>
      <c r="E2">
        <f>69.72885001</f>
        <v>69.728850010000002</v>
      </c>
      <c r="F2">
        <f>40.56388793</f>
        <v>40.56388793</v>
      </c>
      <c r="G2">
        <f>38.59916621</f>
        <v>38.59916621</v>
      </c>
      <c r="H2">
        <f>6.957328129</f>
        <v>6.9573281290000004</v>
      </c>
      <c r="I2">
        <f>45.55649434</f>
        <v>45.55649434</v>
      </c>
      <c r="J2">
        <f>161.78651</f>
        <v>161.78650999999999</v>
      </c>
      <c r="K2">
        <f>7.7139449</f>
        <v>7.7139449000000004</v>
      </c>
      <c r="L2">
        <f>8843.8086</f>
        <v>8843.8086000000003</v>
      </c>
    </row>
    <row r="3" spans="1:12" x14ac:dyDescent="0.25">
      <c r="A3">
        <f>0.61</f>
        <v>0.61</v>
      </c>
      <c r="B3">
        <f>43.85875852</f>
        <v>43.858758520000002</v>
      </c>
      <c r="C3">
        <f>41.81874191</f>
        <v>41.81874191</v>
      </c>
      <c r="D3">
        <f>28.50809407</f>
        <v>28.508094069999999</v>
      </c>
      <c r="E3">
        <f>70.32683598</f>
        <v>70.326835979999998</v>
      </c>
      <c r="F3">
        <f>41.23995273</f>
        <v>41.239952729999999</v>
      </c>
      <c r="G3">
        <f>39.32174547</f>
        <v>39.321745470000003</v>
      </c>
      <c r="H3">
        <f>6.95288021</f>
        <v>6.95288021</v>
      </c>
      <c r="I3">
        <f>46.27462568</f>
        <v>46.27462568</v>
      </c>
      <c r="J3">
        <f>160.08466</f>
        <v>160.08466000000001</v>
      </c>
      <c r="K3">
        <f>7.9010071</f>
        <v>7.9010071000000002</v>
      </c>
      <c r="L3">
        <f>8607.3241</f>
        <v>8607.3240999999998</v>
      </c>
    </row>
    <row r="4" spans="1:12" x14ac:dyDescent="0.25">
      <c r="A4">
        <f>0.62</f>
        <v>0.62</v>
      </c>
      <c r="B4">
        <f>44.57775456</f>
        <v>44.577754560000002</v>
      </c>
      <c r="C4">
        <f>42.58724749</f>
        <v>42.587247490000003</v>
      </c>
      <c r="D4">
        <f>28.33747786</f>
        <v>28.33747786</v>
      </c>
      <c r="E4">
        <f>70.92472535</f>
        <v>70.924725350000003</v>
      </c>
      <c r="F4">
        <f>41.91601753</f>
        <v>41.916017529999998</v>
      </c>
      <c r="G4">
        <f>40.0443636</f>
        <v>40.044363599999997</v>
      </c>
      <c r="H4">
        <f>6.949352668</f>
        <v>6.9493526680000004</v>
      </c>
      <c r="I4">
        <f>46.99371627</f>
        <v>46.99371627</v>
      </c>
      <c r="J4">
        <f>158.23336</f>
        <v>158.23336</v>
      </c>
      <c r="K4">
        <f>8.0975353</f>
        <v>8.0975353000000005</v>
      </c>
      <c r="L4">
        <f>8370.5625</f>
        <v>8370.5625</v>
      </c>
    </row>
    <row r="5" spans="1:12" x14ac:dyDescent="0.25">
      <c r="A5">
        <f>0.63</f>
        <v>0.63</v>
      </c>
      <c r="B5">
        <f>45.2967506</f>
        <v>45.296750600000003</v>
      </c>
      <c r="C5">
        <f>43.35579817</f>
        <v>43.35579817</v>
      </c>
      <c r="D5">
        <f>28.16671109</f>
        <v>28.16671109</v>
      </c>
      <c r="E5">
        <f>71.52250926</f>
        <v>71.522509260000007</v>
      </c>
      <c r="F5">
        <f>42.59208232</f>
        <v>42.592082320000003</v>
      </c>
      <c r="G5">
        <f>40.76702413</f>
        <v>40.767024130000003</v>
      </c>
      <c r="H5">
        <f>6.94680938</f>
        <v>6.9468093800000004</v>
      </c>
      <c r="I5">
        <f>47.71383351</f>
        <v>47.713833510000001</v>
      </c>
      <c r="J5">
        <f>156.23191</f>
        <v>156.23191</v>
      </c>
      <c r="K5">
        <f>8.3042828</f>
        <v>8.3042827999999993</v>
      </c>
      <c r="L5">
        <f>8133.5</f>
        <v>8133.5</v>
      </c>
    </row>
    <row r="6" spans="1:12" x14ac:dyDescent="0.25">
      <c r="A6">
        <f>0.64</f>
        <v>0.64</v>
      </c>
      <c r="B6">
        <f>46.01574664</f>
        <v>46.015746640000003</v>
      </c>
      <c r="C6">
        <f>44.1243982</f>
        <v>44.124398200000002</v>
      </c>
      <c r="D6">
        <f>27.99577949</f>
        <v>27.99577949</v>
      </c>
      <c r="E6">
        <f>72.12017769</f>
        <v>72.120177690000006</v>
      </c>
      <c r="F6">
        <f>43.26814712</f>
        <v>43.268147120000002</v>
      </c>
      <c r="G6">
        <f>41.48973106</f>
        <v>41.489731059999997</v>
      </c>
      <c r="H6">
        <f>6.945320487</f>
        <v>6.945320487</v>
      </c>
      <c r="I6">
        <f>48.43505155</f>
        <v>48.435051549999997</v>
      </c>
      <c r="J6">
        <f>154.07951</f>
        <v>154.07951</v>
      </c>
      <c r="K6">
        <f>8.5220866</f>
        <v>8.5220865999999997</v>
      </c>
      <c r="L6">
        <f>7896.1101</f>
        <v>7896.1100999999999</v>
      </c>
    </row>
    <row r="7" spans="1:12" x14ac:dyDescent="0.25">
      <c r="A7">
        <f>0.65</f>
        <v>0.65</v>
      </c>
      <c r="B7">
        <f>46.73474269</f>
        <v>46.734742689999997</v>
      </c>
      <c r="C7">
        <f>44.89305239</f>
        <v>44.893052390000001</v>
      </c>
      <c r="D7">
        <f>27.82466689</f>
        <v>27.82466689</v>
      </c>
      <c r="E7">
        <f>72.71771928</f>
        <v>72.717719279999997</v>
      </c>
      <c r="F7">
        <f>43.94421192</f>
        <v>43.944211920000001</v>
      </c>
      <c r="G7">
        <f>42.21248892</f>
        <v>42.212488919999998</v>
      </c>
      <c r="H7">
        <f>6.944963224</f>
        <v>6.9449632240000003</v>
      </c>
      <c r="I7">
        <f>49.15745215</f>
        <v>49.157452149999997</v>
      </c>
      <c r="J7">
        <f>151.77527</f>
        <v>151.77527000000001</v>
      </c>
      <c r="K7">
        <f>8.7518806</f>
        <v>8.7518805999999998</v>
      </c>
      <c r="L7">
        <f>7658.3628</f>
        <v>7658.3627999999999</v>
      </c>
    </row>
    <row r="8" spans="1:12" x14ac:dyDescent="0.25">
      <c r="A8">
        <f>0.66</f>
        <v>0.66</v>
      </c>
      <c r="B8">
        <f>47.45373873</f>
        <v>47.453738729999998</v>
      </c>
      <c r="C8">
        <f>45.66176622</f>
        <v>45.661766219999997</v>
      </c>
      <c r="D8">
        <f>27.65335489</f>
        <v>27.653354889999999</v>
      </c>
      <c r="E8">
        <f>73.31512111</f>
        <v>73.315121110000007</v>
      </c>
      <c r="F8">
        <f>44.62027672</f>
        <v>44.62027672</v>
      </c>
      <c r="G8">
        <f>42.93530287</f>
        <v>42.935302870000001</v>
      </c>
      <c r="H8">
        <f>6.945822881</f>
        <v>6.9458228809999998</v>
      </c>
      <c r="I8">
        <f>49.88112575</f>
        <v>49.881125750000002</v>
      </c>
      <c r="J8">
        <f>149.31818</f>
        <v>149.31818000000001</v>
      </c>
      <c r="K8">
        <f>8.99471</f>
        <v>8.9947099999999995</v>
      </c>
      <c r="L8">
        <f>7420.2243</f>
        <v>7420.2242999999999</v>
      </c>
    </row>
    <row r="9" spans="1:12" x14ac:dyDescent="0.25">
      <c r="A9">
        <f>0.67</f>
        <v>0.67</v>
      </c>
      <c r="B9">
        <f>48.17273477</f>
        <v>48.172734769999998</v>
      </c>
      <c r="C9">
        <f>46.43054597</f>
        <v>46.430545969999997</v>
      </c>
      <c r="D9">
        <f>27.48182243</f>
        <v>27.481822430000001</v>
      </c>
      <c r="E9">
        <f>73.91236839</f>
        <v>73.912368389999997</v>
      </c>
      <c r="F9">
        <f>45.29634152</f>
        <v>45.296341519999999</v>
      </c>
      <c r="G9">
        <f>43.65817878</f>
        <v>43.65817878</v>
      </c>
      <c r="H9">
        <f>6.947993944</f>
        <v>6.9479939440000003</v>
      </c>
      <c r="I9">
        <f>50.60617273</f>
        <v>50.606172729999997</v>
      </c>
      <c r="J9">
        <f>146.7071</f>
        <v>146.7071</v>
      </c>
      <c r="K9">
        <f>9.251749</f>
        <v>9.2517490000000002</v>
      </c>
      <c r="L9">
        <f>7181.656</f>
        <v>7181.6559999999999</v>
      </c>
    </row>
    <row r="10" spans="1:12" x14ac:dyDescent="0.25">
      <c r="A10">
        <f>0.68</f>
        <v>0.68</v>
      </c>
      <c r="B10">
        <f>48.89173081</f>
        <v>48.891730809999999</v>
      </c>
      <c r="C10">
        <f>47.19939881</f>
        <v>47.199398809999998</v>
      </c>
      <c r="D10">
        <f>27.31004532</f>
        <v>27.31004532</v>
      </c>
      <c r="E10">
        <f>74.50944413</f>
        <v>74.509444130000006</v>
      </c>
      <c r="F10">
        <f>45.97240632</f>
        <v>45.972406319999997</v>
      </c>
      <c r="G10">
        <f>44.38112344</f>
        <v>44.381123440000003</v>
      </c>
      <c r="H10">
        <f>6.951581438</f>
        <v>6.9515814379999998</v>
      </c>
      <c r="I10">
        <f>51.33270487</f>
        <v>51.332704870000001</v>
      </c>
      <c r="J10">
        <f>143.94072</f>
        <v>143.94072</v>
      </c>
      <c r="K10">
        <f>9.5243222</f>
        <v>9.5243222000000003</v>
      </c>
      <c r="L10">
        <f>6942.6142</f>
        <v>6942.6142</v>
      </c>
    </row>
    <row r="11" spans="1:12" x14ac:dyDescent="0.25">
      <c r="A11">
        <f>0.69</f>
        <v>0.69</v>
      </c>
      <c r="B11">
        <f>49.61072685</f>
        <v>49.610726849999999</v>
      </c>
      <c r="C11">
        <f>47.96833307</f>
        <v>47.96833307</v>
      </c>
      <c r="D11">
        <f>27.13799558</f>
        <v>27.137995579999998</v>
      </c>
      <c r="E11">
        <f>75.10632865</f>
        <v>75.106328649999995</v>
      </c>
      <c r="F11">
        <f>46.64847112</f>
        <v>46.648471120000004</v>
      </c>
      <c r="G11">
        <f>45.10414464</f>
        <v>45.104144640000001</v>
      </c>
      <c r="H11">
        <f>6.956702538</f>
        <v>6.956702538</v>
      </c>
      <c r="I11">
        <f>52.06084718</f>
        <v>52.060847180000003</v>
      </c>
      <c r="J11">
        <f>141.01755</f>
        <v>141.01755</v>
      </c>
      <c r="K11">
        <f>9.8139305</f>
        <v>9.8139304999999997</v>
      </c>
      <c r="L11">
        <f>6703.0484</f>
        <v>6703.0483999999997</v>
      </c>
    </row>
    <row r="12" spans="1:12" x14ac:dyDescent="0.25">
      <c r="A12">
        <f>0.7</f>
        <v>0.7</v>
      </c>
      <c r="B12">
        <f>50.32972289</f>
        <v>50.329722889999999</v>
      </c>
      <c r="C12">
        <f>48.7373584</f>
        <v>48.737358399999998</v>
      </c>
      <c r="D12">
        <f>26.96564069</f>
        <v>26.965640690000001</v>
      </c>
      <c r="E12">
        <f>75.70299909</f>
        <v>75.702999090000006</v>
      </c>
      <c r="F12">
        <f>47.32453592</f>
        <v>47.324535920000002</v>
      </c>
      <c r="G12">
        <f>45.82725148</f>
        <v>45.827251480000001</v>
      </c>
      <c r="H12">
        <f>6.963488502</f>
        <v>6.9634885019999997</v>
      </c>
      <c r="I12">
        <f>52.79073998</f>
        <v>52.790739979999998</v>
      </c>
      <c r="J12">
        <f>137.93588</f>
        <v>137.93588</v>
      </c>
      <c r="K12">
        <f>10.122282</f>
        <v>10.122282</v>
      </c>
      <c r="L12">
        <f>6462.9006</f>
        <v>6462.9005999999999</v>
      </c>
    </row>
    <row r="13" spans="1:12" x14ac:dyDescent="0.25">
      <c r="A13">
        <f>0.71</f>
        <v>0.71</v>
      </c>
      <c r="B13">
        <f>51.04871893</f>
        <v>51.04871893</v>
      </c>
      <c r="C13">
        <f>49.50648611</f>
        <v>49.506486109999997</v>
      </c>
      <c r="D13">
        <f>26.79294256</f>
        <v>26.79294256</v>
      </c>
      <c r="E13">
        <f>76.29942868</f>
        <v>76.299428680000005</v>
      </c>
      <c r="F13">
        <f>48.00060071</f>
        <v>48.000600710000001</v>
      </c>
      <c r="G13">
        <f>46.55045459</f>
        <v>46.550454590000001</v>
      </c>
      <c r="H13">
        <f>6.972087021</f>
        <v>6.9720870210000001</v>
      </c>
      <c r="I13">
        <f>53.52254161</f>
        <v>53.522541609999998</v>
      </c>
      <c r="J13">
        <f>134.6937</f>
        <v>134.69370000000001</v>
      </c>
      <c r="K13">
        <f>10.451333</f>
        <v>10.451333</v>
      </c>
      <c r="L13">
        <f>6222.1033</f>
        <v>6222.1032999999998</v>
      </c>
    </row>
    <row r="14" spans="1:12" x14ac:dyDescent="0.25">
      <c r="A14">
        <f>0.72</f>
        <v>0.72</v>
      </c>
      <c r="B14">
        <f>51.76771498</f>
        <v>51.767714980000001</v>
      </c>
      <c r="C14">
        <f>50.27572953</f>
        <v>50.27572953</v>
      </c>
      <c r="D14">
        <f>26.61985628</f>
        <v>26.61985628</v>
      </c>
      <c r="E14">
        <f>76.89558581</f>
        <v>76.89558581</v>
      </c>
      <c r="F14">
        <f>48.67666551</f>
        <v>48.676665509999999</v>
      </c>
      <c r="G14">
        <f>47.2737665</f>
        <v>47.273766500000001</v>
      </c>
      <c r="H14">
        <f>6.982665094</f>
        <v>6.9826650939999997</v>
      </c>
      <c r="I14">
        <f>54.25643159</f>
        <v>54.256431589999998</v>
      </c>
      <c r="J14">
        <f>131.2887</f>
        <v>131.28870000000001</v>
      </c>
      <c r="K14">
        <f>10.803334</f>
        <v>10.803334</v>
      </c>
      <c r="L14">
        <f>5980.5776</f>
        <v>5980.5775999999996</v>
      </c>
    </row>
    <row r="15" spans="1:12" x14ac:dyDescent="0.25">
      <c r="A15">
        <f>0.73</f>
        <v>0.73</v>
      </c>
      <c r="B15">
        <f>52.48671102</f>
        <v>52.486711020000001</v>
      </c>
      <c r="C15">
        <f>51.04510448</f>
        <v>51.045104479999999</v>
      </c>
      <c r="D15">
        <f>26.44632843</f>
        <v>26.446328430000001</v>
      </c>
      <c r="E15">
        <f>77.49143291</f>
        <v>77.49143291</v>
      </c>
      <c r="F15">
        <f>49.35273031</f>
        <v>49.352730309999998</v>
      </c>
      <c r="G15">
        <f>47.99720208</f>
        <v>47.997202080000001</v>
      </c>
      <c r="H15">
        <f>6.995412593</f>
        <v>6.9954125930000002</v>
      </c>
      <c r="I15">
        <f>54.99261468</f>
        <v>54.992614680000003</v>
      </c>
      <c r="J15">
        <f>127.71814</f>
        <v>127.71814000000001</v>
      </c>
      <c r="K15">
        <f>11.180892</f>
        <v>11.180892</v>
      </c>
      <c r="L15">
        <f>5738.2305</f>
        <v>5738.2304999999997</v>
      </c>
    </row>
    <row r="16" spans="1:12" x14ac:dyDescent="0.25">
      <c r="A16">
        <f>0.74</f>
        <v>0.74</v>
      </c>
      <c r="B16">
        <f>53.20570706</f>
        <v>53.205707060000002</v>
      </c>
      <c r="C16">
        <f>51.81462994</f>
        <v>51.814629940000003</v>
      </c>
      <c r="D16">
        <f>26.27229497</f>
        <v>26.272294970000001</v>
      </c>
      <c r="E16">
        <f>78.08692491</f>
        <v>78.086924909999993</v>
      </c>
      <c r="F16">
        <f>50.02879511</f>
        <v>50.028795109999997</v>
      </c>
      <c r="G16">
        <f>48.72077919</f>
        <v>48.720779190000002</v>
      </c>
      <c r="H16">
        <f>7.010546729</f>
        <v>7.0105467289999996</v>
      </c>
      <c r="I16">
        <f>55.73132592</f>
        <v>55.731325920000003</v>
      </c>
      <c r="J16">
        <f>123.97876</f>
        <v>123.97875999999999</v>
      </c>
      <c r="K16">
        <f>11.58705</f>
        <v>11.58705</v>
      </c>
      <c r="L16">
        <f>5494.9514</f>
        <v>5494.9513999999999</v>
      </c>
    </row>
    <row r="17" spans="1:12" x14ac:dyDescent="0.25">
      <c r="A17">
        <f>0.75</f>
        <v>0.75</v>
      </c>
      <c r="B17">
        <f>53.9247031</f>
        <v>53.924703100000002</v>
      </c>
      <c r="C17">
        <f>52.58432888</f>
        <v>52.584328880000001</v>
      </c>
      <c r="D17">
        <f>26.09767828</f>
        <v>26.09767828</v>
      </c>
      <c r="E17">
        <f>78.68200717</f>
        <v>78.682007170000006</v>
      </c>
      <c r="F17">
        <f>50.70485991</f>
        <v>50.704859910000003</v>
      </c>
      <c r="G17">
        <f>49.44451942</f>
        <v>49.444519419999999</v>
      </c>
      <c r="H17">
        <f>7.028317732</f>
        <v>7.0283177319999997</v>
      </c>
      <c r="I17">
        <f>56.47283715</f>
        <v>56.472837149999997</v>
      </c>
      <c r="J17">
        <f>120.0667</f>
        <v>120.0667</v>
      </c>
      <c r="K17">
        <f>12.025384</f>
        <v>12.025384000000001</v>
      </c>
      <c r="L17">
        <f>5250.6079</f>
        <v>5250.6079</v>
      </c>
    </row>
    <row r="18" spans="1:12" x14ac:dyDescent="0.25">
      <c r="A18">
        <f>0.76</f>
        <v>0.76</v>
      </c>
      <c r="B18">
        <f>54.64369914</f>
        <v>54.643699140000003</v>
      </c>
      <c r="C18">
        <f>53.35422944</f>
        <v>53.354229439999997</v>
      </c>
      <c r="D18">
        <f>25.92238327</f>
        <v>25.922383270000001</v>
      </c>
      <c r="E18">
        <f>79.27661271</f>
        <v>79.276612709999995</v>
      </c>
      <c r="F18">
        <f>51.38092471</f>
        <v>51.380924710000002</v>
      </c>
      <c r="G18">
        <f>50.16844922</f>
        <v>50.168449219999999</v>
      </c>
      <c r="H18">
        <f>7.049016196</f>
        <v>7.0490161960000002</v>
      </c>
      <c r="I18">
        <f>57.21746542</f>
        <v>57.217465420000003</v>
      </c>
      <c r="J18">
        <f>115.97724</f>
        <v>115.97723999999999</v>
      </c>
      <c r="K18">
        <f>12.500141</f>
        <v>12.500140999999999</v>
      </c>
      <c r="L18">
        <f>5005.039</f>
        <v>5005.0389999999998</v>
      </c>
    </row>
    <row r="19" spans="1:12" x14ac:dyDescent="0.25">
      <c r="A19">
        <f>0.77</f>
        <v>0.77</v>
      </c>
      <c r="B19">
        <f>55.36269518</f>
        <v>55.362695180000003</v>
      </c>
      <c r="C19">
        <f>54.12436649</f>
        <v>54.12436649</v>
      </c>
      <c r="D19">
        <f>25.74629191</f>
        <v>25.74629191</v>
      </c>
      <c r="E19">
        <f>79.8706584</f>
        <v>79.870658399999996</v>
      </c>
      <c r="F19">
        <f>52.05698951</f>
        <v>52.056989510000001</v>
      </c>
      <c r="G19">
        <f>50.8926014</f>
        <v>50.892601399999997</v>
      </c>
      <c r="H19">
        <f>7.072982735</f>
        <v>7.0729827350000001</v>
      </c>
      <c r="I19">
        <f>57.96558414</f>
        <v>57.965584139999997</v>
      </c>
      <c r="J19">
        <f>111.70464</f>
        <v>111.70464</v>
      </c>
      <c r="K19">
        <f>13.01641</f>
        <v>13.01641</v>
      </c>
      <c r="L19">
        <f>4758.0472</f>
        <v>4758.0472</v>
      </c>
    </row>
    <row r="20" spans="1:12" x14ac:dyDescent="0.25">
      <c r="A20">
        <f>0.78</f>
        <v>0.78</v>
      </c>
      <c r="B20">
        <f>56.08169122</f>
        <v>56.081691220000003</v>
      </c>
      <c r="C20">
        <f>54.89478213</f>
        <v>54.894782130000003</v>
      </c>
      <c r="D20">
        <f>25.56926176</f>
        <v>25.56926176</v>
      </c>
      <c r="E20">
        <f>80.46404389</f>
        <v>80.464043889999999</v>
      </c>
      <c r="F20">
        <f>52.73305431</f>
        <v>52.73305431</v>
      </c>
      <c r="G20">
        <f>51.61701554</f>
        <v>51.617015539999997</v>
      </c>
      <c r="H20">
        <f>7.100619937</f>
        <v>7.1006199370000003</v>
      </c>
      <c r="I20">
        <f>58.71763547</f>
        <v>58.717635469999998</v>
      </c>
      <c r="J20">
        <f>107.24553</f>
        <v>107.24553</v>
      </c>
      <c r="K20">
        <f>13.580349</f>
        <v>13.580349</v>
      </c>
      <c r="L20">
        <f>4509.5466</f>
        <v>4509.5465999999997</v>
      </c>
    </row>
    <row r="21" spans="1:12" x14ac:dyDescent="0.25">
      <c r="A21">
        <f>0.79</f>
        <v>0.79</v>
      </c>
      <c r="B21">
        <f>56.80068726</f>
        <v>56.800687259999997</v>
      </c>
      <c r="C21">
        <f>55.66553613</f>
        <v>55.66553613</v>
      </c>
      <c r="D21">
        <f>25.39109011</f>
        <v>25.39109011</v>
      </c>
      <c r="E21">
        <f>81.05662623</f>
        <v>81.056626230000006</v>
      </c>
      <c r="F21">
        <f>53.40911911</f>
        <v>53.409119109999999</v>
      </c>
      <c r="G21">
        <f>52.34174783</f>
        <v>52.341747830000003</v>
      </c>
      <c r="H21">
        <f>7.13241427</f>
        <v>7.1324142699999999</v>
      </c>
      <c r="I21">
        <f>59.4741621</f>
        <v>59.474162100000001</v>
      </c>
      <c r="J21">
        <f>102.58304</f>
        <v>102.58304</v>
      </c>
      <c r="K21">
        <f>14.199597</f>
        <v>14.199597000000001</v>
      </c>
      <c r="L21">
        <f>4258.8933</f>
        <v>4258.8932999999997</v>
      </c>
    </row>
    <row r="22" spans="1:12" x14ac:dyDescent="0.25">
      <c r="A22">
        <f>0.8</f>
        <v>0.8</v>
      </c>
      <c r="B22">
        <f>57.51968331</f>
        <v>57.519683309999998</v>
      </c>
      <c r="C22">
        <f>56.43670013</f>
        <v>56.436700129999998</v>
      </c>
      <c r="D22">
        <f>25.211534</f>
        <v>25.211534</v>
      </c>
      <c r="E22">
        <f>81.64823413</f>
        <v>81.648234130000006</v>
      </c>
      <c r="F22">
        <f>54.0851839</f>
        <v>54.085183899999997</v>
      </c>
      <c r="G22">
        <f>53.06686564</f>
        <v>53.066865640000003</v>
      </c>
      <c r="H22">
        <f>7.168955859</f>
        <v>7.1689558590000004</v>
      </c>
      <c r="I22">
        <f>60.2358215</f>
        <v>60.2358215</v>
      </c>
      <c r="J22">
        <f>97.70959</f>
        <v>97.709590000000006</v>
      </c>
      <c r="K22">
        <f>14.883651</f>
        <v>14.883651</v>
      </c>
      <c r="L22">
        <f>4005.8573</f>
        <v>4005.8573000000001</v>
      </c>
    </row>
    <row r="23" spans="1:12" x14ac:dyDescent="0.25">
      <c r="A23">
        <f>0.81</f>
        <v>0.81</v>
      </c>
      <c r="B23">
        <f>58.23867935</f>
        <v>58.238679349999998</v>
      </c>
      <c r="C23">
        <f>57.20837234</f>
        <v>57.208372339999997</v>
      </c>
      <c r="D23">
        <f>25.03026011</f>
        <v>25.03026011</v>
      </c>
      <c r="E23">
        <f>82.23863245</f>
        <v>82.238632449999997</v>
      </c>
      <c r="F23">
        <f>54.7612487</f>
        <v>54.761248700000003</v>
      </c>
      <c r="G23">
        <f>53.79246131</f>
        <v>53.79246131</v>
      </c>
      <c r="H23">
        <f>7.210979743</f>
        <v>7.2109797430000002</v>
      </c>
      <c r="I23">
        <f>61.00344106</f>
        <v>61.00344106</v>
      </c>
      <c r="J23">
        <f>92.60988</f>
        <v>92.609880000000004</v>
      </c>
      <c r="K23">
        <f>15.644661</f>
        <v>15.644660999999999</v>
      </c>
      <c r="L23">
        <f>3749.9077</f>
        <v>3749.9077000000002</v>
      </c>
    </row>
    <row r="24" spans="1:12" x14ac:dyDescent="0.25">
      <c r="A24">
        <f>0.82</f>
        <v>0.82</v>
      </c>
      <c r="B24">
        <f>58.95767539</f>
        <v>58.957675389999999</v>
      </c>
      <c r="C24">
        <f>57.98068799</f>
        <v>57.98068799</v>
      </c>
      <c r="D24">
        <f>24.84680889</f>
        <v>24.846808889999998</v>
      </c>
      <c r="E24">
        <f>82.82749688</f>
        <v>82.827496879999998</v>
      </c>
      <c r="F24">
        <f>55.4373135</f>
        <v>55.437313500000002</v>
      </c>
      <c r="G24">
        <f>54.51866201</f>
        <v>54.51866201</v>
      </c>
      <c r="H24">
        <f>7.259422959</f>
        <v>7.2594229590000001</v>
      </c>
      <c r="I24">
        <f>61.77808496</f>
        <v>61.778084960000001</v>
      </c>
      <c r="J24">
        <f>87.263203</f>
        <v>87.263203000000004</v>
      </c>
      <c r="K24">
        <f>16.498547</f>
        <v>16.498546999999999</v>
      </c>
      <c r="L24">
        <f>3490.3226</f>
        <v>3490.3226</v>
      </c>
    </row>
    <row r="25" spans="1:12" x14ac:dyDescent="0.25">
      <c r="A25">
        <f>0.83</f>
        <v>0.83</v>
      </c>
      <c r="B25">
        <f>59.67667143</f>
        <v>59.676671429999999</v>
      </c>
      <c r="C25">
        <f>58.75384025</f>
        <v>58.753840250000003</v>
      </c>
      <c r="D25">
        <f>24.66052331</f>
        <v>24.660523309999999</v>
      </c>
      <c r="E25">
        <f>83.41436356</f>
        <v>83.414363559999998</v>
      </c>
      <c r="F25">
        <f>56.1133783</f>
        <v>56.113378300000001</v>
      </c>
      <c r="G25">
        <f>55.24564936</f>
        <v>55.245649360000002</v>
      </c>
      <c r="H25">
        <f>7.315519007</f>
        <v>7.3155190069999998</v>
      </c>
      <c r="I25">
        <f>62.56116837</f>
        <v>62.561168369999997</v>
      </c>
      <c r="J25">
        <f>81.640526</f>
        <v>81.640525999999994</v>
      </c>
      <c r="K25">
        <f>17.466845</f>
        <v>17.466844999999999</v>
      </c>
      <c r="L25">
        <f>3226.0863</f>
        <v>3226.0862999999999</v>
      </c>
    </row>
    <row r="26" spans="1:12" x14ac:dyDescent="0.25">
      <c r="A26">
        <f>0.84</f>
        <v>0.84</v>
      </c>
      <c r="B26">
        <f>60.39566747</f>
        <v>60.395667469999999</v>
      </c>
      <c r="C26">
        <f>59.5281183</f>
        <v>59.528118300000003</v>
      </c>
      <c r="D26">
        <f>24.47041868</f>
        <v>24.470418680000002</v>
      </c>
      <c r="E26">
        <f>83.99853698</f>
        <v>83.998536979999997</v>
      </c>
      <c r="F26">
        <f>56.7894431</f>
        <v>56.7894431</v>
      </c>
      <c r="G26">
        <f>55.97369527</f>
        <v>55.97369527</v>
      </c>
      <c r="H26">
        <f>7.38096297</f>
        <v>7.3809629699999997</v>
      </c>
      <c r="I26">
        <f>63.35465824</f>
        <v>63.354658239999999</v>
      </c>
      <c r="J26">
        <f>75.699283</f>
        <v>75.699282999999994</v>
      </c>
      <c r="K26">
        <f>18.579971</f>
        <v>18.579971</v>
      </c>
      <c r="L26">
        <f>2955.7027</f>
        <v>2955.7026999999998</v>
      </c>
    </row>
    <row r="27" spans="1:12" x14ac:dyDescent="0.25">
      <c r="A27">
        <f>0.85</f>
        <v>0.85</v>
      </c>
      <c r="B27">
        <f>61.11466351</f>
        <v>61.11466351</v>
      </c>
      <c r="C27">
        <f>60.30398307</f>
        <v>60.303983070000001</v>
      </c>
      <c r="D27">
        <f>24.27492821</f>
        <v>24.274928209999999</v>
      </c>
      <c r="E27">
        <f>84.57891128</f>
        <v>84.57891128</v>
      </c>
      <c r="F27">
        <f>57.4655079</f>
        <v>57.465507899999999</v>
      </c>
      <c r="G27">
        <f>56.70323317</f>
        <v>56.703233169999997</v>
      </c>
      <c r="H27">
        <f>7.458230169</f>
        <v>7.4582301690000001</v>
      </c>
      <c r="I27">
        <f>64.16146334</f>
        <v>64.161463339999997</v>
      </c>
      <c r="J27">
        <f>69.373182</f>
        <v>69.373182</v>
      </c>
      <c r="K27">
        <f>19.883472</f>
        <v>19.883472000000001</v>
      </c>
      <c r="L27">
        <f>2676.831</f>
        <v>2676.8310000000001</v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D10" sqref="D10"/>
    </sheetView>
  </sheetViews>
  <sheetFormatPr defaultRowHeight="15" x14ac:dyDescent="0.25"/>
  <sheetData>
    <row r="1" spans="1:12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</row>
    <row r="2" spans="1:12" x14ac:dyDescent="0.25">
      <c r="A2">
        <f>0.6</f>
        <v>0.6</v>
      </c>
      <c r="B2">
        <f>43.66585714</f>
        <v>43.66585714</v>
      </c>
      <c r="C2">
        <f>41.53601373</f>
        <v>41.536013730000001</v>
      </c>
      <c r="D2">
        <f>27.64342496</f>
        <v>27.643424960000001</v>
      </c>
      <c r="E2">
        <f>69.17943869</f>
        <v>69.179438689999998</v>
      </c>
      <c r="F2">
        <f>41.05856949</f>
        <v>41.058569489999996</v>
      </c>
      <c r="G2">
        <f>39.05589899</f>
        <v>39.055898990000003</v>
      </c>
      <c r="H2">
        <f>6.592479993</f>
        <v>6.5924799930000004</v>
      </c>
      <c r="I2">
        <f>45.64837898</f>
        <v>45.648378979999997</v>
      </c>
      <c r="J2">
        <f>161.25153</f>
        <v>161.25153</v>
      </c>
      <c r="K2">
        <f>7.660057</f>
        <v>7.6600570000000001</v>
      </c>
      <c r="L2">
        <f>8814.5646</f>
        <v>8814.5645999999997</v>
      </c>
    </row>
    <row r="3" spans="1:12" x14ac:dyDescent="0.25">
      <c r="A3">
        <f>0.61</f>
        <v>0.61</v>
      </c>
      <c r="B3">
        <f>44.39362143</f>
        <v>44.393621430000003</v>
      </c>
      <c r="C3">
        <f>42.31385477</f>
        <v>42.313854769999999</v>
      </c>
      <c r="D3">
        <f>27.47084604</f>
        <v>27.470846040000001</v>
      </c>
      <c r="E3">
        <f>69.78470081</f>
        <v>69.784700810000004</v>
      </c>
      <c r="F3">
        <f>41.74287898</f>
        <v>41.74287898</v>
      </c>
      <c r="G3">
        <f>39.78729515</f>
        <v>39.787295149999999</v>
      </c>
      <c r="H3">
        <f>6.585204684</f>
        <v>6.5852046839999998</v>
      </c>
      <c r="I3">
        <f>46.37249984</f>
        <v>46.372499840000003</v>
      </c>
      <c r="J3">
        <f>159.53846</f>
        <v>159.53845999999999</v>
      </c>
      <c r="K3">
        <f>7.8445034</f>
        <v>7.8445033999999998</v>
      </c>
      <c r="L3">
        <f>8577.9563</f>
        <v>8577.9562999999998</v>
      </c>
    </row>
    <row r="4" spans="1:12" x14ac:dyDescent="0.25">
      <c r="A4">
        <f>0.62</f>
        <v>0.62</v>
      </c>
      <c r="B4">
        <f>45.12138572</f>
        <v>45.121385719999999</v>
      </c>
      <c r="C4">
        <f>43.09173814</f>
        <v>43.091738139999997</v>
      </c>
      <c r="D4">
        <f>27.2981256</f>
        <v>27.298125599999999</v>
      </c>
      <c r="E4">
        <f>70.38986374</f>
        <v>70.389863739999996</v>
      </c>
      <c r="F4">
        <f>42.42718847</f>
        <v>42.427188469999997</v>
      </c>
      <c r="G4">
        <f>40.51873112</f>
        <v>40.518731119999998</v>
      </c>
      <c r="H4">
        <f>6.578738255</f>
        <v>6.5787382550000002</v>
      </c>
      <c r="I4">
        <f>47.09746937</f>
        <v>47.097469369999999</v>
      </c>
      <c r="J4">
        <f>157.67571</f>
        <v>157.67571000000001</v>
      </c>
      <c r="K4">
        <f>8.0382192</f>
        <v>8.0382192000000003</v>
      </c>
      <c r="L4">
        <f>8341.0626</f>
        <v>8341.0625999999993</v>
      </c>
    </row>
    <row r="5" spans="1:12" x14ac:dyDescent="0.25">
      <c r="A5">
        <f>0.63</f>
        <v>0.63</v>
      </c>
      <c r="B5">
        <f>45.84915</f>
        <v>45.849150000000002</v>
      </c>
      <c r="C5">
        <f>43.86966772</f>
        <v>43.869667720000002</v>
      </c>
      <c r="D5">
        <f>27.1252506</f>
        <v>27.125250600000001</v>
      </c>
      <c r="E5">
        <f>70.99491832</f>
        <v>70.994918319999996</v>
      </c>
      <c r="F5">
        <f>43.11149796</f>
        <v>43.111497960000001</v>
      </c>
      <c r="G5">
        <f>41.25021054</f>
        <v>41.250210539999998</v>
      </c>
      <c r="H5">
        <f>6.573136801</f>
        <v>6.5731368010000004</v>
      </c>
      <c r="I5">
        <f>47.82334734</f>
        <v>47.823347339999998</v>
      </c>
      <c r="J5">
        <f>155.66255</f>
        <v>155.66255000000001</v>
      </c>
      <c r="K5">
        <f>8.2419371</f>
        <v>8.2419370999999995</v>
      </c>
      <c r="L5">
        <f>8103.8589</f>
        <v>8103.8589000000002</v>
      </c>
    </row>
    <row r="6" spans="1:12" x14ac:dyDescent="0.25">
      <c r="A6">
        <f>0.64</f>
        <v>0.64</v>
      </c>
      <c r="B6">
        <f>46.57691429</f>
        <v>46.576914289999998</v>
      </c>
      <c r="C6">
        <f>44.6476479</f>
        <v>44.647647900000003</v>
      </c>
      <c r="D6">
        <f>26.9522063</f>
        <v>26.9522063</v>
      </c>
      <c r="E6">
        <f>71.5998542</f>
        <v>71.599854199999996</v>
      </c>
      <c r="F6">
        <f>43.79580745</f>
        <v>43.795807449999998</v>
      </c>
      <c r="G6">
        <f>41.98173753</f>
        <v>41.981737529999997</v>
      </c>
      <c r="H6">
        <f>6.568461917</f>
        <v>6.5684619169999996</v>
      </c>
      <c r="I6">
        <f>48.55019945</f>
        <v>48.550199450000001</v>
      </c>
      <c r="J6">
        <f>153.49816</f>
        <v>153.49816000000001</v>
      </c>
      <c r="K6">
        <f>8.4564712</f>
        <v>8.4564711999999993</v>
      </c>
      <c r="L6">
        <f>7866.3177</f>
        <v>7866.3176999999996</v>
      </c>
    </row>
    <row r="7" spans="1:12" x14ac:dyDescent="0.25">
      <c r="A7">
        <f>0.65</f>
        <v>0.65</v>
      </c>
      <c r="B7">
        <f>47.30467857</f>
        <v>47.30467857</v>
      </c>
      <c r="C7">
        <f>45.42568364</f>
        <v>45.425683640000003</v>
      </c>
      <c r="D7">
        <f>26.77897601</f>
        <v>26.778976010000001</v>
      </c>
      <c r="E7">
        <f>72.20465965</f>
        <v>72.204659649999996</v>
      </c>
      <c r="F7">
        <f>44.48011695</f>
        <v>44.480116950000003</v>
      </c>
      <c r="G7">
        <f>42.71331677</f>
        <v>42.713316769999999</v>
      </c>
      <c r="H7">
        <f>6.564781426</f>
        <v>6.5647814259999997</v>
      </c>
      <c r="I7">
        <f>49.27809819</f>
        <v>49.278098190000001</v>
      </c>
      <c r="J7">
        <f>151.18162</f>
        <v>151.18162000000001</v>
      </c>
      <c r="K7">
        <f>8.6827289</f>
        <v>8.6827289000000007</v>
      </c>
      <c r="L7">
        <f>7628.4078</f>
        <v>7628.4078</v>
      </c>
    </row>
    <row r="8" spans="1:12" x14ac:dyDescent="0.25">
      <c r="A8">
        <f>0.66</f>
        <v>0.66</v>
      </c>
      <c r="B8">
        <f>48.03244286</f>
        <v>48.032442860000003</v>
      </c>
      <c r="C8">
        <f>46.20378059</f>
        <v>46.203780590000001</v>
      </c>
      <c r="D8">
        <f>26.6055407</f>
        <v>26.605540699999999</v>
      </c>
      <c r="E8">
        <f>72.80932129</f>
        <v>72.80932129</v>
      </c>
      <c r="F8">
        <f>45.16442644</f>
        <v>45.16442644</v>
      </c>
      <c r="G8">
        <f>43.44495356</f>
        <v>43.444953560000002</v>
      </c>
      <c r="H8">
        <f>6.562170219</f>
        <v>6.5621702190000004</v>
      </c>
      <c r="I8">
        <f>50.00712378</f>
        <v>50.007123780000001</v>
      </c>
      <c r="J8">
        <f>148.71187</f>
        <v>148.71187</v>
      </c>
      <c r="K8">
        <f>8.9217255</f>
        <v>8.9217255000000009</v>
      </c>
      <c r="L8">
        <f>7390.0941</f>
        <v>7390.0941000000003</v>
      </c>
    </row>
    <row r="9" spans="1:12" x14ac:dyDescent="0.25">
      <c r="A9">
        <f>0.67</f>
        <v>0.67</v>
      </c>
      <c r="B9">
        <f>48.76020714</f>
        <v>48.760207139999999</v>
      </c>
      <c r="C9">
        <f>46.98194522</f>
        <v>46.98194522</v>
      </c>
      <c r="D9">
        <f>26.43187858</f>
        <v>26.431878579999999</v>
      </c>
      <c r="E9">
        <f>73.4138238</f>
        <v>73.413823800000003</v>
      </c>
      <c r="F9">
        <f>45.84873593</f>
        <v>45.848735929999997</v>
      </c>
      <c r="G9">
        <f>44.176654</f>
        <v>44.176653999999999</v>
      </c>
      <c r="H9">
        <f>6.56071126</f>
        <v>6.5607112599999997</v>
      </c>
      <c r="I9">
        <f>50.73736526</f>
        <v>50.737365259999997</v>
      </c>
      <c r="J9">
        <f>146.08773</f>
        <v>146.08772999999999</v>
      </c>
      <c r="K9">
        <f>9.1746006</f>
        <v>9.1746005999999998</v>
      </c>
      <c r="L9">
        <f>7151.3366</f>
        <v>7151.3365999999996</v>
      </c>
    </row>
    <row r="10" spans="1:12" x14ac:dyDescent="0.25">
      <c r="A10">
        <f>0.68</f>
        <v>0.68</v>
      </c>
      <c r="B10">
        <f>49.48797143</f>
        <v>49.487971430000002</v>
      </c>
      <c r="C10">
        <f>47.76018498</f>
        <v>47.760184979999998</v>
      </c>
      <c r="D10">
        <f>26.25796459</f>
        <v>26.25796459</v>
      </c>
      <c r="E10">
        <f>74.01814957</f>
        <v>74.018149570000006</v>
      </c>
      <c r="F10">
        <f>46.53304542</f>
        <v>46.533045420000001</v>
      </c>
      <c r="G10">
        <f>44.90842507</f>
        <v>44.90842507</v>
      </c>
      <c r="H10">
        <f>6.560496766</f>
        <v>6.560496766</v>
      </c>
      <c r="I10">
        <f>51.46892184</f>
        <v>51.46892184</v>
      </c>
      <c r="J10">
        <f>143.30785</f>
        <v>143.30785</v>
      </c>
      <c r="K10">
        <f>9.4426394</f>
        <v>9.4426393999999991</v>
      </c>
      <c r="L10">
        <f>6912.0895</f>
        <v>6912.0895</v>
      </c>
    </row>
    <row r="11" spans="1:12" x14ac:dyDescent="0.25">
      <c r="A11">
        <f>0.69</f>
        <v>0.69</v>
      </c>
      <c r="B11">
        <f>50.21573572</f>
        <v>50.215735719999998</v>
      </c>
      <c r="C11">
        <f>48.53850847</f>
        <v>48.538508469999996</v>
      </c>
      <c r="D11">
        <f>26.08376972</f>
        <v>26.083769719999999</v>
      </c>
      <c r="E11">
        <f>74.62227819</f>
        <v>74.622278190000003</v>
      </c>
      <c r="F11">
        <f>47.21735491</f>
        <v>47.217354909999997</v>
      </c>
      <c r="G11">
        <f>45.64027488</f>
        <v>45.64027488</v>
      </c>
      <c r="H11">
        <f>6.561629619</f>
        <v>6.5616296189999996</v>
      </c>
      <c r="I11">
        <f>52.2019045</f>
        <v>52.201904499999998</v>
      </c>
      <c r="J11">
        <f>140.37068</f>
        <v>140.37067999999999</v>
      </c>
      <c r="K11">
        <f>9.7272967</f>
        <v>9.7272967000000001</v>
      </c>
      <c r="L11">
        <f>6672.3004</f>
        <v>6672.3004000000001</v>
      </c>
    </row>
    <row r="12" spans="1:12" x14ac:dyDescent="0.25">
      <c r="A12">
        <f>0.7</f>
        <v>0.7</v>
      </c>
      <c r="B12">
        <f>50.9435</f>
        <v>50.9435</v>
      </c>
      <c r="C12">
        <f>49.31692569</f>
        <v>49.316925689999998</v>
      </c>
      <c r="D12">
        <f>25.90926021</f>
        <v>25.909260209999999</v>
      </c>
      <c r="E12">
        <f>75.2261859</f>
        <v>75.226185900000004</v>
      </c>
      <c r="F12">
        <f>47.9016644</f>
        <v>47.901664400000001</v>
      </c>
      <c r="G12">
        <f>46.37221282</f>
        <v>46.372212820000001</v>
      </c>
      <c r="H12">
        <f>6.564225073</f>
        <v>6.5642250730000002</v>
      </c>
      <c r="I12">
        <f>52.93643789</f>
        <v>52.936437890000001</v>
      </c>
      <c r="J12">
        <f>137.27442</f>
        <v>137.27441999999999</v>
      </c>
      <c r="K12">
        <f>10.030228</f>
        <v>10.030227999999999</v>
      </c>
      <c r="L12">
        <f>6431.9086</f>
        <v>6431.9085999999998</v>
      </c>
    </row>
    <row r="13" spans="1:12" x14ac:dyDescent="0.25">
      <c r="A13">
        <f>0.71</f>
        <v>0.71</v>
      </c>
      <c r="B13">
        <f>51.67126429</f>
        <v>51.671264290000003</v>
      </c>
      <c r="C13">
        <f>50.09544838</f>
        <v>50.095448380000001</v>
      </c>
      <c r="D13">
        <f>25.73439647</f>
        <v>25.73439647</v>
      </c>
      <c r="E13">
        <f>75.82984485</f>
        <v>75.829844850000001</v>
      </c>
      <c r="F13">
        <f>48.58597389</f>
        <v>48.585973889999998</v>
      </c>
      <c r="G13">
        <f>47.10424993</f>
        <v>47.104249930000002</v>
      </c>
      <c r="H13">
        <f>6.568412812</f>
        <v>6.568412812</v>
      </c>
      <c r="I13">
        <f>53.67266275</f>
        <v>53.672662750000001</v>
      </c>
      <c r="J13">
        <f>134.017</f>
        <v>134.017</v>
      </c>
      <c r="K13">
        <f>10.353327</f>
        <v>10.353327</v>
      </c>
      <c r="L13">
        <f>6190.8435</f>
        <v>6190.8434999999999</v>
      </c>
    </row>
    <row r="14" spans="1:12" x14ac:dyDescent="0.25">
      <c r="A14">
        <f>0.72</f>
        <v>0.72</v>
      </c>
      <c r="B14">
        <f>52.39902857</f>
        <v>52.399028569999999</v>
      </c>
      <c r="C14">
        <f>50.87409039</f>
        <v>50.874090389999999</v>
      </c>
      <c r="D14">
        <f>25.55913174</f>
        <v>25.559131740000002</v>
      </c>
      <c r="E14">
        <f>76.43322212</f>
        <v>76.433222119999996</v>
      </c>
      <c r="F14">
        <f>49.27028339</f>
        <v>49.270283390000003</v>
      </c>
      <c r="G14">
        <f>47.83639924</f>
        <v>47.836399239999999</v>
      </c>
      <c r="H14">
        <f>6.574339489</f>
        <v>6.5743394889999998</v>
      </c>
      <c r="I14">
        <f>54.41073873</f>
        <v>54.410738729999998</v>
      </c>
      <c r="J14">
        <f>130.59599</f>
        <v>130.59599</v>
      </c>
      <c r="K14">
        <f>10.698771</f>
        <v>10.698771000000001</v>
      </c>
      <c r="L14">
        <f>5949.0226</f>
        <v>5949.0226000000002</v>
      </c>
    </row>
    <row r="15" spans="1:12" x14ac:dyDescent="0.25">
      <c r="A15">
        <f>0.73</f>
        <v>0.73</v>
      </c>
      <c r="B15">
        <f>53.12679286</f>
        <v>53.126792860000002</v>
      </c>
      <c r="C15">
        <f>51.65286818</f>
        <v>51.652868179999999</v>
      </c>
      <c r="D15">
        <f>25.38341034</f>
        <v>25.383410340000001</v>
      </c>
      <c r="E15">
        <f>77.03627853</f>
        <v>77.036278530000004</v>
      </c>
      <c r="F15">
        <f>49.95459288</f>
        <v>49.95459288</v>
      </c>
      <c r="G15">
        <f>48.56867622</f>
        <v>48.56867622</v>
      </c>
      <c r="H15">
        <f>6.582171861</f>
        <v>6.582171861</v>
      </c>
      <c r="I15">
        <f>55.15084808</f>
        <v>55.150848080000003</v>
      </c>
      <c r="J15">
        <f>127.00852</f>
        <v>127.00852</v>
      </c>
      <c r="K15">
        <f>11.069083</f>
        <v>11.069082999999999</v>
      </c>
      <c r="L15">
        <f>5706.3481</f>
        <v>5706.3481000000002</v>
      </c>
    </row>
    <row r="16" spans="1:12" x14ac:dyDescent="0.25">
      <c r="A16">
        <f>0.74</f>
        <v>0.74</v>
      </c>
      <c r="B16">
        <f>53.85455714</f>
        <v>53.854557139999997</v>
      </c>
      <c r="C16">
        <f>52.43180155</f>
        <v>52.431801550000003</v>
      </c>
      <c r="D16">
        <f>25.20716538</f>
        <v>25.207165379999999</v>
      </c>
      <c r="E16">
        <f>77.63896693</f>
        <v>77.638966929999995</v>
      </c>
      <c r="F16">
        <f>50.63890237</f>
        <v>50.638902369999997</v>
      </c>
      <c r="G16">
        <f>49.30109949</f>
        <v>49.301099489999999</v>
      </c>
      <c r="H16">
        <f>6.592100738</f>
        <v>6.5921007380000001</v>
      </c>
      <c r="I16">
        <f>55.89320023</f>
        <v>55.893200229999998</v>
      </c>
      <c r="J16">
        <f>123.25119</f>
        <v>123.25118999999999</v>
      </c>
      <c r="K16">
        <f>11.467202</f>
        <v>11.467202</v>
      </c>
      <c r="L16">
        <f>5462.704</f>
        <v>5462.7039999999997</v>
      </c>
    </row>
    <row r="17" spans="1:12" x14ac:dyDescent="0.25">
      <c r="A17">
        <f>0.75</f>
        <v>0.75</v>
      </c>
      <c r="B17">
        <f>54.58232143</f>
        <v>54.58232143</v>
      </c>
      <c r="C17">
        <f>53.2109145</f>
        <v>53.210914500000001</v>
      </c>
      <c r="D17">
        <f>25.03031562</f>
        <v>25.03031562</v>
      </c>
      <c r="E17">
        <f>78.24123012</f>
        <v>78.241230119999997</v>
      </c>
      <c r="F17">
        <f>51.32321186</f>
        <v>51.323211860000001</v>
      </c>
      <c r="G17">
        <f>50.03369161</f>
        <v>50.033691609999998</v>
      </c>
      <c r="H17">
        <f>6.604346</f>
        <v>6.6043459999999996</v>
      </c>
      <c r="I17">
        <f>56.63803761</f>
        <v>56.638037609999998</v>
      </c>
      <c r="J17">
        <f>119.31992</f>
        <v>119.31992</v>
      </c>
      <c r="K17">
        <f>11.896586</f>
        <v>11.896585999999999</v>
      </c>
      <c r="L17">
        <f>5217.9504</f>
        <v>5217.9503999999997</v>
      </c>
    </row>
    <row r="18" spans="1:12" x14ac:dyDescent="0.25">
      <c r="A18">
        <f>0.76</f>
        <v>0.76</v>
      </c>
      <c r="B18">
        <f>55.31008572</f>
        <v>55.310085719999996</v>
      </c>
      <c r="C18">
        <f>53.99023648</f>
        <v>53.99023648</v>
      </c>
      <c r="D18">
        <f>24.8527613</f>
        <v>24.852761300000001</v>
      </c>
      <c r="E18">
        <f>78.84299778</f>
        <v>78.842997780000005</v>
      </c>
      <c r="F18">
        <f>52.00752135</f>
        <v>52.007521349999998</v>
      </c>
      <c r="G18">
        <f>50.76648029</f>
        <v>50.766480289999997</v>
      </c>
      <c r="H18">
        <f>6.619163097</f>
        <v>6.6191630970000004</v>
      </c>
      <c r="I18">
        <f>57.38564339</f>
        <v>57.385643389999998</v>
      </c>
      <c r="J18">
        <f>115.20975</f>
        <v>115.20975</v>
      </c>
      <c r="K18">
        <f>12.361334</f>
        <v>12.361333999999999</v>
      </c>
      <c r="L18">
        <f>4971.9175</f>
        <v>4971.9174999999996</v>
      </c>
    </row>
    <row r="19" spans="1:12" x14ac:dyDescent="0.25">
      <c r="A19">
        <f>0.77</f>
        <v>0.77</v>
      </c>
      <c r="B19">
        <f>56.03785</f>
        <v>56.037849999999999</v>
      </c>
      <c r="C19">
        <f>54.76980414</f>
        <v>54.769804139999998</v>
      </c>
      <c r="D19">
        <f>24.67437823</f>
        <v>24.674378229999999</v>
      </c>
      <c r="E19">
        <f>79.44418237</f>
        <v>79.444182369999993</v>
      </c>
      <c r="F19">
        <f>52.69183084</f>
        <v>52.691830840000002</v>
      </c>
      <c r="G19">
        <f>51.49949998</f>
        <v>51.499499980000003</v>
      </c>
      <c r="H19">
        <f>6.636851634</f>
        <v>6.6368516340000001</v>
      </c>
      <c r="I19">
        <f>58.13635161</f>
        <v>58.136351609999998</v>
      </c>
      <c r="J19">
        <f>110.9146</f>
        <v>110.91459999999999</v>
      </c>
      <c r="K19">
        <f>12.866362</f>
        <v>12.866362000000001</v>
      </c>
      <c r="L19">
        <f>4724.3957</f>
        <v>4724.3957</v>
      </c>
    </row>
    <row r="20" spans="1:12" x14ac:dyDescent="0.25">
      <c r="A20">
        <f>0.78</f>
        <v>0.78</v>
      </c>
      <c r="B20">
        <f>56.76561429</f>
        <v>56.765614290000002</v>
      </c>
      <c r="C20">
        <f>55.54966189</f>
        <v>55.549661890000003</v>
      </c>
      <c r="D20">
        <f>24.49501589</f>
        <v>24.495015890000001</v>
      </c>
      <c r="E20">
        <f>80.04467778</f>
        <v>80.044677780000001</v>
      </c>
      <c r="F20">
        <f>53.37614033</f>
        <v>53.376140329999998</v>
      </c>
      <c r="G20">
        <f>52.23279244</f>
        <v>52.232792439999997</v>
      </c>
      <c r="H20">
        <f>6.657766142</f>
        <v>6.6577661419999998</v>
      </c>
      <c r="I20">
        <f>58.89055858</f>
        <v>58.890558579999997</v>
      </c>
      <c r="J20">
        <f>106.43066</f>
        <v>106.43066</v>
      </c>
      <c r="K20">
        <f>13.417616</f>
        <v>13.417616000000001</v>
      </c>
      <c r="L20">
        <f>4475.2821</f>
        <v>4475.2821000000004</v>
      </c>
    </row>
    <row r="21" spans="1:12" x14ac:dyDescent="0.25">
      <c r="A21">
        <f>0.79</f>
        <v>0.79</v>
      </c>
      <c r="B21">
        <f>57.49337857</f>
        <v>57.493378569999997</v>
      </c>
      <c r="C21">
        <f>56.32987281</f>
        <v>56.329872809999998</v>
      </c>
      <c r="D21">
        <f>24.31445999</f>
        <v>24.31445999</v>
      </c>
      <c r="E21">
        <f>80.6443328</f>
        <v>80.644332800000001</v>
      </c>
      <c r="F21">
        <f>54.06044983</f>
        <v>54.060449830000003</v>
      </c>
      <c r="G21">
        <f>52.96641697</f>
        <v>52.966416969999997</v>
      </c>
      <c r="H21">
        <f>6.682335162</f>
        <v>6.6823351620000002</v>
      </c>
      <c r="I21">
        <f>59.64875213</f>
        <v>59.648752129999998</v>
      </c>
      <c r="J21">
        <f>101.74051</f>
        <v>101.74051</v>
      </c>
      <c r="K21">
        <f>14.022475</f>
        <v>14.022475</v>
      </c>
      <c r="L21">
        <f>4223.9142</f>
        <v>4223.9142000000002</v>
      </c>
    </row>
    <row r="22" spans="1:12" x14ac:dyDescent="0.25">
      <c r="A22">
        <f>0.8</f>
        <v>0.8</v>
      </c>
      <c r="B22">
        <f>58.22114286</f>
        <v>58.22114286</v>
      </c>
      <c r="C22">
        <f>57.1105131</f>
        <v>57.110513099999999</v>
      </c>
      <c r="D22">
        <f>24.13245172</f>
        <v>24.132451719999999</v>
      </c>
      <c r="E22">
        <f>81.24296482</f>
        <v>81.242964819999997</v>
      </c>
      <c r="F22">
        <f>54.74475932</f>
        <v>54.74475932</v>
      </c>
      <c r="G22">
        <f>53.70044525</f>
        <v>53.700445250000001</v>
      </c>
      <c r="H22">
        <f>6.711079833</f>
        <v>6.7110798330000003</v>
      </c>
      <c r="I22">
        <f>60.41152508</f>
        <v>60.411525079999997</v>
      </c>
      <c r="J22">
        <f>96.835734</f>
        <v>96.835734000000002</v>
      </c>
      <c r="K22">
        <f>14.690119</f>
        <v>14.690118999999999</v>
      </c>
      <c r="L22">
        <f>3970.0313</f>
        <v>3970.0313000000001</v>
      </c>
    </row>
    <row r="23" spans="1:12" x14ac:dyDescent="0.25">
      <c r="A23">
        <f>0.81</f>
        <v>0.81</v>
      </c>
      <c r="B23">
        <f>58.94890714</f>
        <v>58.948907140000003</v>
      </c>
      <c r="C23">
        <f>57.89168771</f>
        <v>57.891687709999999</v>
      </c>
      <c r="D23">
        <f>23.9486343</f>
        <v>23.948634299999998</v>
      </c>
      <c r="E23">
        <f>81.84032201</f>
        <v>81.840322009999994</v>
      </c>
      <c r="F23">
        <f>55.42906881</f>
        <v>55.429068809999997</v>
      </c>
      <c r="G23">
        <f>54.43497593</f>
        <v>54.43497593</v>
      </c>
      <c r="H23">
        <f>6.74465072</f>
        <v>6.7446507200000001</v>
      </c>
      <c r="I23">
        <f>61.17962665</f>
        <v>61.179626650000003</v>
      </c>
      <c r="J23">
        <f>91.699859</f>
        <v>91.699859000000004</v>
      </c>
      <c r="K23">
        <f>15.432314</f>
        <v>15.432314</v>
      </c>
      <c r="L23">
        <f>3713.0596</f>
        <v>3713.0596</v>
      </c>
    </row>
    <row r="24" spans="1:12" x14ac:dyDescent="0.25">
      <c r="A24">
        <f>0.82</f>
        <v>0.82</v>
      </c>
      <c r="B24">
        <f>59.67667143</f>
        <v>59.676671429999999</v>
      </c>
      <c r="C24">
        <f>58.67354217</f>
        <v>58.673542169999997</v>
      </c>
      <c r="D24">
        <f>23.76251242</f>
        <v>23.76251242</v>
      </c>
      <c r="E24">
        <f>82.43605459</f>
        <v>82.436054589999998</v>
      </c>
      <c r="F24">
        <f>56.1133783</f>
        <v>56.113378300000001</v>
      </c>
      <c r="G24">
        <f>55.17014587</f>
        <v>55.170145869999999</v>
      </c>
      <c r="H24">
        <f>6.783880159</f>
        <v>6.7838801589999997</v>
      </c>
      <c r="I24">
        <f>61.95402603</f>
        <v>61.954026030000001</v>
      </c>
      <c r="J24">
        <f>86.310421</f>
        <v>86.310421000000005</v>
      </c>
      <c r="K24">
        <f>16.264513</f>
        <v>16.264513000000001</v>
      </c>
      <c r="L24">
        <f>3452.2136</f>
        <v>3452.2136</v>
      </c>
    </row>
    <row r="25" spans="1:12" x14ac:dyDescent="0.25">
      <c r="A25">
        <f>0.83</f>
        <v>0.83</v>
      </c>
      <c r="B25">
        <f>60.40443572</f>
        <v>60.404435720000002</v>
      </c>
      <c r="C25">
        <f>59.45628631</f>
        <v>59.456286310000003</v>
      </c>
      <c r="D25">
        <f>23.57337139</f>
        <v>23.573371389999998</v>
      </c>
      <c r="E25">
        <f>83.0296577</f>
        <v>83.029657700000001</v>
      </c>
      <c r="F25">
        <f>56.79768779</f>
        <v>56.797687789999998</v>
      </c>
      <c r="G25">
        <f>55.90615237</f>
        <v>55.906152370000001</v>
      </c>
      <c r="H25">
        <f>6.829869693</f>
        <v>6.829869693</v>
      </c>
      <c r="I25">
        <f>62.73602207</f>
        <v>62.736022069999997</v>
      </c>
      <c r="J25">
        <f>80.635628</f>
        <v>80.635627999999997</v>
      </c>
      <c r="K25">
        <f>17.207715</f>
        <v>17.207715</v>
      </c>
      <c r="L25">
        <f>3186.377</f>
        <v>3186.377</v>
      </c>
    </row>
    <row r="26" spans="1:12" x14ac:dyDescent="0.25">
      <c r="A26">
        <f>0.84</f>
        <v>0.84</v>
      </c>
      <c r="B26">
        <f>61.1322</f>
        <v>61.132199999999997</v>
      </c>
      <c r="C26">
        <f>60.24023809</f>
        <v>60.240238089999998</v>
      </c>
      <c r="D26">
        <f>23.38012702</f>
        <v>23.38012702</v>
      </c>
      <c r="E26">
        <f>83.6203651</f>
        <v>83.620365100000001</v>
      </c>
      <c r="F26">
        <f>57.48199728</f>
        <v>57.481997280000002</v>
      </c>
      <c r="G26">
        <f>56.6432944</f>
        <v>56.643294400000002</v>
      </c>
      <c r="H26">
        <f>6.884145489</f>
        <v>6.8841454889999998</v>
      </c>
      <c r="I26">
        <f>63.52743989</f>
        <v>63.527439889999997</v>
      </c>
      <c r="J26">
        <f>74.628275</f>
        <v>74.628275000000002</v>
      </c>
      <c r="K26">
        <f>18.29178</f>
        <v>18.291779999999999</v>
      </c>
      <c r="L26">
        <f>2913.8848</f>
        <v>2913.8847999999998</v>
      </c>
    </row>
    <row r="27" spans="1:12" x14ac:dyDescent="0.25">
      <c r="A27">
        <f>0.85</f>
        <v>0.85</v>
      </c>
      <c r="B27">
        <f>61.85996429</f>
        <v>61.859964290000001</v>
      </c>
      <c r="C27">
        <f>61.02591312</f>
        <v>61.025913119999998</v>
      </c>
      <c r="D27">
        <f>23.18102327</f>
        <v>23.181023270000001</v>
      </c>
      <c r="E27">
        <f>84.20693639</f>
        <v>84.206936389999996</v>
      </c>
      <c r="F27">
        <f>58.16630677</f>
        <v>58.166306769999998</v>
      </c>
      <c r="G27">
        <f>57.38205679</f>
        <v>57.38205679</v>
      </c>
      <c r="H27">
        <f>6.948965145</f>
        <v>6.9489651449999998</v>
      </c>
      <c r="I27">
        <f>64.33102193</f>
        <v>64.331021930000006</v>
      </c>
      <c r="J27">
        <f>68.213567</f>
        <v>68.213566999999998</v>
      </c>
      <c r="K27">
        <f>19.561956</f>
        <v>19.561955999999999</v>
      </c>
      <c r="L27">
        <f>2632.0862</f>
        <v>2632.0862000000002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F30" sqref="F30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0.7'!$C2</f>
        <v>35.221694589999998</v>
      </c>
      <c r="C2" s="15">
        <f>(B2+D2)/2</f>
        <v>35.70739639</v>
      </c>
      <c r="D2" s="15">
        <f>'FU 0.72'!$C2</f>
        <v>36.193098190000001</v>
      </c>
      <c r="E2" s="15">
        <f>'FU 0.73'!$C2</f>
        <v>36.678803549999998</v>
      </c>
      <c r="F2" s="15">
        <f>'FU 0.74'!$C2</f>
        <v>37.164511390000001</v>
      </c>
      <c r="G2" s="15">
        <f>'FU 0.75'!$C2</f>
        <v>37.650221819999999</v>
      </c>
      <c r="H2" s="15">
        <f>'FU 0.76'!$C2</f>
        <v>38.135934929999998</v>
      </c>
      <c r="I2" s="15">
        <f>'FU 0.77'!$C2</f>
        <v>38.621650860000003</v>
      </c>
      <c r="J2" s="15">
        <f>'FU 0.78'!$C2</f>
        <v>39.107369720000001</v>
      </c>
      <c r="K2" s="15">
        <f>'FU 0.79'!$C2</f>
        <v>39.593091649999998</v>
      </c>
      <c r="L2" s="15">
        <f>'FU 0.8'!$C2</f>
        <v>40.078816830000001</v>
      </c>
      <c r="M2" s="15">
        <f>'FU 0.81'!$C2</f>
        <v>40.564545430000003</v>
      </c>
      <c r="N2" s="15">
        <f>'FU 0.82'!$C2</f>
        <v>41.050277659999999</v>
      </c>
      <c r="O2" s="15">
        <f>'FU 0.83'!$C2</f>
        <v>41.536013730000001</v>
      </c>
      <c r="P2" s="15">
        <f>'FU 0.84'!$C2</f>
        <v>42.021753910000001</v>
      </c>
      <c r="Q2" s="15">
        <f>'FU 0.85'!$C2</f>
        <v>42.507498509999998</v>
      </c>
    </row>
    <row r="3" spans="1:17" x14ac:dyDescent="0.25">
      <c r="A3">
        <f>'FU 0.7'!A3</f>
        <v>0.61</v>
      </c>
      <c r="B3" s="15">
        <f>'FU 0.7'!$C3</f>
        <v>35.877654679999999</v>
      </c>
      <c r="C3" s="15">
        <f t="shared" ref="C3:C27" si="0">(B3+D3)/2</f>
        <v>36.372730919999995</v>
      </c>
      <c r="D3" s="15">
        <f>'FU 0.72'!$C3</f>
        <v>36.867807159999998</v>
      </c>
      <c r="E3" s="15">
        <f>'FU 0.73'!$C3</f>
        <v>37.362887190000002</v>
      </c>
      <c r="F3" s="15">
        <f>'FU 0.74'!$C3</f>
        <v>37.857969879999999</v>
      </c>
      <c r="G3" s="15">
        <f>'FU 0.75'!$C3</f>
        <v>38.353055320000003</v>
      </c>
      <c r="H3" s="15">
        <f>'FU 0.76'!$C3</f>
        <v>38.848143630000003</v>
      </c>
      <c r="I3" s="15">
        <f>'FU 0.77'!$C3</f>
        <v>39.343234940000002</v>
      </c>
      <c r="J3" s="15">
        <f>'FU 0.78'!$C3</f>
        <v>39.838329379999998</v>
      </c>
      <c r="K3" s="15">
        <f>'FU 0.79'!$C3</f>
        <v>40.333427120000003</v>
      </c>
      <c r="L3" s="15">
        <f>'FU 0.8'!$C3</f>
        <v>40.828528319999997</v>
      </c>
      <c r="M3" s="15">
        <f>'FU 0.81'!$C3</f>
        <v>41.323633170000001</v>
      </c>
      <c r="N3" s="15">
        <f>'FU 0.82'!$C3</f>
        <v>41.81874191</v>
      </c>
      <c r="O3" s="15">
        <f>'FU 0.83'!$C3</f>
        <v>42.313854769999999</v>
      </c>
      <c r="P3" s="15">
        <f>'FU 0.84'!$C3</f>
        <v>42.80897203</v>
      </c>
      <c r="Q3" s="15">
        <f>'FU 0.85'!$C3</f>
        <v>43.304094030000002</v>
      </c>
    </row>
    <row r="4" spans="1:17" x14ac:dyDescent="0.25">
      <c r="A4">
        <f>'FU 0.7'!A4</f>
        <v>0.62</v>
      </c>
      <c r="B4" s="15">
        <f>'FU 0.7'!$C4</f>
        <v>36.533645880000002</v>
      </c>
      <c r="C4" s="15">
        <f t="shared" si="0"/>
        <v>37.038097325000003</v>
      </c>
      <c r="D4" s="15">
        <f>'FU 0.72'!$C4</f>
        <v>37.542548770000003</v>
      </c>
      <c r="E4" s="15">
        <f>'FU 0.73'!$C4</f>
        <v>38.047004260000001</v>
      </c>
      <c r="F4" s="15">
        <f>'FU 0.74'!$C4</f>
        <v>38.551462579999999</v>
      </c>
      <c r="G4" s="15">
        <f>'FU 0.75'!$C4</f>
        <v>39.055923849999999</v>
      </c>
      <c r="H4" s="15">
        <f>'FU 0.76'!$C4</f>
        <v>39.560388189999998</v>
      </c>
      <c r="I4" s="15">
        <f>'FU 0.77'!$C4</f>
        <v>40.064855739999999</v>
      </c>
      <c r="J4" s="15">
        <f>'FU 0.78'!$C4</f>
        <v>40.56932664</v>
      </c>
      <c r="K4" s="15">
        <f>'FU 0.79'!$C4</f>
        <v>41.073801070000002</v>
      </c>
      <c r="L4" s="15">
        <f>'FU 0.8'!$C4</f>
        <v>41.578279209999998</v>
      </c>
      <c r="M4" s="15">
        <f>'FU 0.81'!$C4</f>
        <v>42.082761269999999</v>
      </c>
      <c r="N4" s="15">
        <f>'FU 0.82'!$C4</f>
        <v>42.587247490000003</v>
      </c>
      <c r="O4" s="15">
        <f>'FU 0.83'!$C4</f>
        <v>43.091738139999997</v>
      </c>
      <c r="P4" s="15">
        <f>'FU 0.84'!$C4</f>
        <v>43.596233519999998</v>
      </c>
      <c r="Q4" s="15">
        <f>'FU 0.85'!$C4</f>
        <v>44.100733990000002</v>
      </c>
    </row>
    <row r="5" spans="1:17" x14ac:dyDescent="0.25">
      <c r="A5">
        <f>'FU 0.7'!A5</f>
        <v>0.63</v>
      </c>
      <c r="B5" s="15">
        <f>'FU 0.7'!$C5</f>
        <v>37.189670900000003</v>
      </c>
      <c r="C5" s="15">
        <f t="shared" si="0"/>
        <v>37.703498379999999</v>
      </c>
      <c r="D5" s="15">
        <f>'FU 0.72'!$C5</f>
        <v>38.217325860000003</v>
      </c>
      <c r="E5" s="15">
        <f>'FU 0.73'!$C5</f>
        <v>38.731157670000002</v>
      </c>
      <c r="F5" s="15">
        <f>'FU 0.74'!$C5</f>
        <v>39.244992510000003</v>
      </c>
      <c r="G5" s="15">
        <f>'FU 0.75'!$C5</f>
        <v>39.758830510000003</v>
      </c>
      <c r="H5" s="15">
        <f>'FU 0.76'!$C5</f>
        <v>40.272671799999998</v>
      </c>
      <c r="I5" s="15">
        <f>'FU 0.77'!$C5</f>
        <v>40.786516519999999</v>
      </c>
      <c r="J5" s="15">
        <f>'FU 0.78'!$C5</f>
        <v>41.300364850000001</v>
      </c>
      <c r="K5" s="15">
        <f>'FU 0.79'!$C5</f>
        <v>41.814216960000003</v>
      </c>
      <c r="L5" s="15">
        <f>'FU 0.8'!$C5</f>
        <v>42.328073060000001</v>
      </c>
      <c r="M5" s="15">
        <f>'FU 0.81'!$C5</f>
        <v>42.84193338</v>
      </c>
      <c r="N5" s="15">
        <f>'FU 0.82'!$C5</f>
        <v>43.35579817</v>
      </c>
      <c r="O5" s="15">
        <f>'FU 0.83'!$C5</f>
        <v>43.869667720000002</v>
      </c>
      <c r="P5" s="15">
        <f>'FU 0.84'!$C5</f>
        <v>44.383542370000001</v>
      </c>
      <c r="Q5" s="15">
        <f>'FU 0.85'!$C5</f>
        <v>44.897422509999998</v>
      </c>
    </row>
    <row r="6" spans="1:17" x14ac:dyDescent="0.25">
      <c r="A6">
        <f>'FU 0.7'!A6</f>
        <v>0.64</v>
      </c>
      <c r="B6" s="15">
        <f>'FU 0.7'!$C6</f>
        <v>37.845732759999997</v>
      </c>
      <c r="C6" s="15">
        <f t="shared" si="0"/>
        <v>38.368937189999997</v>
      </c>
      <c r="D6" s="15">
        <f>'FU 0.72'!$C6</f>
        <v>38.892141619999997</v>
      </c>
      <c r="E6" s="15">
        <f>'FU 0.73'!$C6</f>
        <v>39.415350699999998</v>
      </c>
      <c r="F6" s="15">
        <f>'FU 0.74'!$C6</f>
        <v>39.938563029999997</v>
      </c>
      <c r="G6" s="15">
        <f>'FU 0.75'!$C6</f>
        <v>40.461778760000001</v>
      </c>
      <c r="H6" s="15">
        <f>'FU 0.76'!$C6</f>
        <v>40.984998019999999</v>
      </c>
      <c r="I6" s="15">
        <f>'FU 0.77'!$C6</f>
        <v>41.508220970000004</v>
      </c>
      <c r="J6" s="15">
        <f>'FU 0.78'!$C6</f>
        <v>42.031447800000002</v>
      </c>
      <c r="K6" s="15">
        <f>'FU 0.79'!$C6</f>
        <v>42.554678699999997</v>
      </c>
      <c r="L6" s="15">
        <f>'FU 0.8'!$C6</f>
        <v>43.077913899999999</v>
      </c>
      <c r="M6" s="15">
        <f>'FU 0.81'!$C6</f>
        <v>43.601153629999999</v>
      </c>
      <c r="N6" s="15">
        <f>'FU 0.82'!$C6</f>
        <v>44.124398200000002</v>
      </c>
      <c r="O6" s="15">
        <f>'FU 0.83'!$C6</f>
        <v>44.647647900000003</v>
      </c>
      <c r="P6" s="15">
        <f>'FU 0.84'!$C6</f>
        <v>45.170903109999998</v>
      </c>
      <c r="Q6" s="15">
        <f>'FU 0.85'!$C6</f>
        <v>45.69416425</v>
      </c>
    </row>
    <row r="7" spans="1:17" x14ac:dyDescent="0.25">
      <c r="A7">
        <f>'FU 0.7'!A7</f>
        <v>0.65</v>
      </c>
      <c r="B7" s="15">
        <f>'FU 0.7'!$C7</f>
        <v>38.501834850000002</v>
      </c>
      <c r="C7" s="15">
        <f t="shared" si="0"/>
        <v>39.034417255000001</v>
      </c>
      <c r="D7" s="15">
        <f>'FU 0.72'!$C7</f>
        <v>39.56699966</v>
      </c>
      <c r="E7" s="15">
        <f>'FU 0.73'!$C7</f>
        <v>40.099587059999998</v>
      </c>
      <c r="F7" s="15">
        <f>'FU 0.74'!$C7</f>
        <v>40.632177970000001</v>
      </c>
      <c r="G7" s="15">
        <f>'FU 0.75'!$C7</f>
        <v>41.16477252</v>
      </c>
      <c r="H7" s="15">
        <f>'FU 0.76'!$C7</f>
        <v>41.697370890000002</v>
      </c>
      <c r="I7" s="15">
        <f>'FU 0.77'!$C7</f>
        <v>42.22997324</v>
      </c>
      <c r="J7" s="15">
        <f>'FU 0.78'!$C7</f>
        <v>42.762579760000001</v>
      </c>
      <c r="K7" s="15">
        <f>'FU 0.79'!$C7</f>
        <v>43.295190679999997</v>
      </c>
      <c r="L7" s="15">
        <f>'FU 0.8'!$C7</f>
        <v>43.827806240000001</v>
      </c>
      <c r="M7" s="15">
        <f>'FU 0.81'!$C7</f>
        <v>44.360426709999999</v>
      </c>
      <c r="N7" s="15">
        <f>'FU 0.82'!$C7</f>
        <v>44.893052390000001</v>
      </c>
      <c r="O7" s="15">
        <f>'FU 0.83'!$C7</f>
        <v>45.425683640000003</v>
      </c>
      <c r="P7" s="15">
        <f>'FU 0.84'!$C7</f>
        <v>45.95832085</v>
      </c>
      <c r="Q7" s="15">
        <f>'FU 0.85'!$C7</f>
        <v>46.490964490000003</v>
      </c>
    </row>
    <row r="8" spans="1:17" x14ac:dyDescent="0.25">
      <c r="A8">
        <f>'FU 0.7'!A8</f>
        <v>0.66</v>
      </c>
      <c r="B8" s="15">
        <f>'FU 0.7'!$C8</f>
        <v>39.157980999999999</v>
      </c>
      <c r="C8" s="15">
        <f t="shared" si="0"/>
        <v>39.699942515000004</v>
      </c>
      <c r="D8" s="15">
        <f>'FU 0.72'!$C8</f>
        <v>40.241904030000001</v>
      </c>
      <c r="E8" s="15">
        <f>'FU 0.73'!$C8</f>
        <v>40.783870929999999</v>
      </c>
      <c r="F8" s="15">
        <f>'FU 0.74'!$C8</f>
        <v>41.325841619999998</v>
      </c>
      <c r="G8" s="15">
        <f>'FU 0.75'!$C8</f>
        <v>41.867816240000003</v>
      </c>
      <c r="H8" s="15">
        <f>'FU 0.76'!$C8</f>
        <v>42.409794980000001</v>
      </c>
      <c r="I8" s="15">
        <f>'FU 0.77'!$C8</f>
        <v>42.951778019999999</v>
      </c>
      <c r="J8" s="15">
        <f>'FU 0.78'!$C8</f>
        <v>43.493765580000002</v>
      </c>
      <c r="K8" s="15">
        <f>'FU 0.79'!$C8</f>
        <v>44.0357579</v>
      </c>
      <c r="L8" s="15">
        <f>'FU 0.8'!$C8</f>
        <v>44.577755240000002</v>
      </c>
      <c r="M8" s="15">
        <f>'FU 0.81'!$C8</f>
        <v>45.119757900000003</v>
      </c>
      <c r="N8" s="15">
        <f>'FU 0.82'!$C8</f>
        <v>45.661766219999997</v>
      </c>
      <c r="O8" s="15">
        <f>'FU 0.83'!$C8</f>
        <v>46.203780590000001</v>
      </c>
      <c r="P8" s="15">
        <f>'FU 0.84'!$C8</f>
        <v>46.745801440000001</v>
      </c>
      <c r="Q8" s="15">
        <f>'FU 0.85'!$C8</f>
        <v>47.287829279999997</v>
      </c>
    </row>
    <row r="9" spans="1:17" x14ac:dyDescent="0.25">
      <c r="A9">
        <f>'FU 0.7'!A9</f>
        <v>0.67</v>
      </c>
      <c r="B9" s="15">
        <f>'FU 0.7'!$C9</f>
        <v>39.814175570000003</v>
      </c>
      <c r="C9" s="15">
        <f t="shared" si="0"/>
        <v>40.365517460000007</v>
      </c>
      <c r="D9" s="15">
        <f>'FU 0.72'!$C9</f>
        <v>40.916859350000003</v>
      </c>
      <c r="E9" s="15">
        <f>'FU 0.73'!$C9</f>
        <v>41.468207069999998</v>
      </c>
      <c r="F9" s="15">
        <f>'FU 0.74'!$C9</f>
        <v>42.019558879999998</v>
      </c>
      <c r="G9" s="15">
        <f>'FU 0.75'!$C9</f>
        <v>42.570914960000003</v>
      </c>
      <c r="H9" s="15">
        <f>'FU 0.76'!$C9</f>
        <v>43.12227549</v>
      </c>
      <c r="I9" s="15">
        <f>'FU 0.77'!$C9</f>
        <v>43.673640689999999</v>
      </c>
      <c r="J9" s="15">
        <f>'FU 0.78'!$C9</f>
        <v>44.225010789999999</v>
      </c>
      <c r="K9" s="15">
        <f>'FU 0.79'!$C9</f>
        <v>44.77638606</v>
      </c>
      <c r="L9" s="15">
        <f>'FU 0.8'!$C9</f>
        <v>45.327766779999997</v>
      </c>
      <c r="M9" s="15">
        <f>'FU 0.81'!$C9</f>
        <v>45.879153289999998</v>
      </c>
      <c r="N9" s="15">
        <f>'FU 0.82'!$C9</f>
        <v>46.430545969999997</v>
      </c>
      <c r="O9" s="15">
        <f>'FU 0.83'!$C9</f>
        <v>46.98194522</v>
      </c>
      <c r="P9" s="15">
        <f>'FU 0.84'!$C9</f>
        <v>47.533351549999999</v>
      </c>
      <c r="Q9" s="15">
        <f>'FU 0.85'!$C9</f>
        <v>48.084765519999998</v>
      </c>
    </row>
    <row r="10" spans="1:17" x14ac:dyDescent="0.25">
      <c r="A10">
        <f>'FU 0.7'!A10</f>
        <v>0.68</v>
      </c>
      <c r="B10" s="15">
        <f>'FU 0.7'!$C10</f>
        <v>40.470423519999997</v>
      </c>
      <c r="C10" s="15">
        <f t="shared" si="0"/>
        <v>41.031147204999996</v>
      </c>
      <c r="D10" s="15">
        <f>'FU 0.72'!$C10</f>
        <v>41.591870890000003</v>
      </c>
      <c r="E10" s="15">
        <f>'FU 0.73'!$C10</f>
        <v>42.152600900000003</v>
      </c>
      <c r="F10" s="15">
        <f>'FU 0.74'!$C10</f>
        <v>42.713335350000001</v>
      </c>
      <c r="G10" s="15">
        <f>'FU 0.75'!$C10</f>
        <v>43.274074429999999</v>
      </c>
      <c r="H10" s="15">
        <f>'FU 0.76'!$C10</f>
        <v>43.83481836</v>
      </c>
      <c r="I10" s="15">
        <f>'FU 0.77'!$C10</f>
        <v>44.395567370000002</v>
      </c>
      <c r="J10" s="15">
        <f>'FU 0.78'!$C10</f>
        <v>44.956321709999997</v>
      </c>
      <c r="K10" s="15">
        <f>'FU 0.79'!$C10</f>
        <v>45.517081679999997</v>
      </c>
      <c r="L10" s="15">
        <f>'FU 0.8'!$C10</f>
        <v>46.077847599999998</v>
      </c>
      <c r="M10" s="15">
        <f>'FU 0.81'!$C10</f>
        <v>46.638619839999997</v>
      </c>
      <c r="N10" s="15">
        <f>'FU 0.82'!$C10</f>
        <v>47.199398809999998</v>
      </c>
      <c r="O10" s="15">
        <f>'FU 0.83'!$C10</f>
        <v>47.760184979999998</v>
      </c>
      <c r="P10" s="15">
        <f>'FU 0.84'!$C10</f>
        <v>48.3209789</v>
      </c>
      <c r="Q10" s="15">
        <f>'FU 0.85'!$C10</f>
        <v>48.881781189999998</v>
      </c>
    </row>
    <row r="11" spans="1:17" x14ac:dyDescent="0.25">
      <c r="A11">
        <f>'FU 0.7'!A11</f>
        <v>0.69</v>
      </c>
      <c r="B11" s="15">
        <f>'FU 0.7'!$C11</f>
        <v>41.126730510000002</v>
      </c>
      <c r="C11" s="15">
        <f t="shared" si="0"/>
        <v>41.696837595000005</v>
      </c>
      <c r="D11" s="15">
        <f>'FU 0.72'!$C11</f>
        <v>42.266944680000002</v>
      </c>
      <c r="E11" s="15">
        <f>'FU 0.73'!$C11</f>
        <v>42.837058640000002</v>
      </c>
      <c r="F11" s="15">
        <f>'FU 0.74'!$C11</f>
        <v>43.407177439999998</v>
      </c>
      <c r="G11" s="15">
        <f>'FU 0.75'!$C11</f>
        <v>43.97730129</v>
      </c>
      <c r="H11" s="15">
        <f>'FU 0.76'!$C11</f>
        <v>44.547430429999999</v>
      </c>
      <c r="I11" s="15">
        <f>'FU 0.77'!$C11</f>
        <v>45.117565110000001</v>
      </c>
      <c r="J11" s="15">
        <f>'FU 0.78'!$C11</f>
        <v>45.687705620000003</v>
      </c>
      <c r="K11" s="15">
        <f>'FU 0.79'!$C11</f>
        <v>46.257852290000002</v>
      </c>
      <c r="L11" s="15">
        <f>'FU 0.8'!$C11</f>
        <v>46.828005470000001</v>
      </c>
      <c r="M11" s="15">
        <f>'FU 0.81'!$C11</f>
        <v>47.398165579999997</v>
      </c>
      <c r="N11" s="15">
        <f>'FU 0.82'!$C11</f>
        <v>47.96833307</v>
      </c>
      <c r="O11" s="15">
        <f>'FU 0.83'!$C11</f>
        <v>48.538508469999996</v>
      </c>
      <c r="P11" s="15">
        <f>'FU 0.84'!$C11</f>
        <v>49.108692380000001</v>
      </c>
      <c r="Q11" s="15">
        <f>'FU 0.85'!$C11</f>
        <v>49.678885520000001</v>
      </c>
    </row>
    <row r="12" spans="1:17" x14ac:dyDescent="0.25">
      <c r="A12">
        <f>'FU 0.7'!A12</f>
        <v>0.7</v>
      </c>
      <c r="B12" s="15">
        <f>'FU 0.7'!$C12</f>
        <v>41.783103079999997</v>
      </c>
      <c r="C12" s="15">
        <f t="shared" si="0"/>
        <v>42.362595369999994</v>
      </c>
      <c r="D12" s="15">
        <f>'FU 0.72'!$C12</f>
        <v>42.942087659999999</v>
      </c>
      <c r="E12" s="15">
        <f>'FU 0.73'!$C12</f>
        <v>43.521587459999999</v>
      </c>
      <c r="F12" s="15">
        <f>'FU 0.74'!$C12</f>
        <v>44.101092559999998</v>
      </c>
      <c r="G12" s="15">
        <f>'FU 0.75'!$C12</f>
        <v>44.680603179999999</v>
      </c>
      <c r="H12" s="15">
        <f>'FU 0.76'!$C12</f>
        <v>45.260119590000002</v>
      </c>
      <c r="I12" s="15">
        <f>'FU 0.77'!$C12</f>
        <v>45.839642079999997</v>
      </c>
      <c r="J12" s="15">
        <f>'FU 0.78'!$C12</f>
        <v>46.419170960000002</v>
      </c>
      <c r="K12" s="15">
        <f>'FU 0.79'!$C12</f>
        <v>46.998706609999999</v>
      </c>
      <c r="L12" s="15">
        <f>'FU 0.8'!$C12</f>
        <v>47.578249409999998</v>
      </c>
      <c r="M12" s="15">
        <f>'FU 0.81'!$C12</f>
        <v>48.157799840000003</v>
      </c>
      <c r="N12" s="15">
        <f>'FU 0.82'!$C12</f>
        <v>48.737358399999998</v>
      </c>
      <c r="O12" s="15">
        <f>'FU 0.83'!$C12</f>
        <v>49.316925689999998</v>
      </c>
      <c r="P12" s="15">
        <f>'FU 0.84'!$C12</f>
        <v>49.896502390000002</v>
      </c>
      <c r="Q12" s="15">
        <f>'FU 0.85'!$C12</f>
        <v>50.476089289999997</v>
      </c>
    </row>
    <row r="13" spans="1:17" x14ac:dyDescent="0.25">
      <c r="A13">
        <f>'FU 0.7'!A13</f>
        <v>0.71</v>
      </c>
      <c r="B13" s="15">
        <f>'FU 0.7'!$C13</f>
        <v>42.439548780000003</v>
      </c>
      <c r="C13" s="15">
        <f t="shared" si="0"/>
        <v>43.028428335000001</v>
      </c>
      <c r="D13" s="15">
        <f>'FU 0.72'!$C13</f>
        <v>43.617307889999999</v>
      </c>
      <c r="E13" s="15">
        <f>'FU 0.73'!$C13</f>
        <v>44.206195690000001</v>
      </c>
      <c r="F13" s="15">
        <f>'FU 0.74'!$C13</f>
        <v>44.79508929</v>
      </c>
      <c r="G13" s="15">
        <f>'FU 0.75'!$C13</f>
        <v>45.383988969999997</v>
      </c>
      <c r="H13" s="15">
        <f>'FU 0.76'!$C13</f>
        <v>45.972895020000003</v>
      </c>
      <c r="I13" s="15">
        <f>'FU 0.77'!$C13</f>
        <v>46.561807760000001</v>
      </c>
      <c r="J13" s="15">
        <f>'FU 0.78'!$C13</f>
        <v>47.150727539999998</v>
      </c>
      <c r="K13" s="15">
        <f>'FU 0.79'!$C13</f>
        <v>47.739654790000003</v>
      </c>
      <c r="L13" s="15">
        <f>'FU 0.8'!$C13</f>
        <v>48.328589940000001</v>
      </c>
      <c r="M13" s="15">
        <f>'FU 0.81'!$C13</f>
        <v>48.917533519999999</v>
      </c>
      <c r="N13" s="15">
        <f>'FU 0.82'!$C13</f>
        <v>49.506486109999997</v>
      </c>
      <c r="O13" s="15">
        <f>'FU 0.83'!$C13</f>
        <v>50.095448380000001</v>
      </c>
      <c r="P13" s="15">
        <f>'FU 0.84'!$C13</f>
        <v>50.684421100000002</v>
      </c>
      <c r="Q13" s="15">
        <f>'FU 0.85'!$C13</f>
        <v>51.273405169999997</v>
      </c>
    </row>
    <row r="14" spans="1:17" x14ac:dyDescent="0.25">
      <c r="A14">
        <f>'FU 0.7'!A14</f>
        <v>0.72</v>
      </c>
      <c r="B14" s="15">
        <f>'FU 0.7'!$C14</f>
        <v>43.096076410000002</v>
      </c>
      <c r="C14" s="15">
        <f t="shared" si="0"/>
        <v>43.694345585000001</v>
      </c>
      <c r="D14" s="15">
        <f>'FU 0.72'!$C14</f>
        <v>44.292614759999999</v>
      </c>
      <c r="E14" s="15">
        <f>'FU 0.73'!$C14</f>
        <v>44.89089302</v>
      </c>
      <c r="F14" s="15">
        <f>'FU 0.74'!$C14</f>
        <v>45.489177689999998</v>
      </c>
      <c r="G14" s="15">
        <f>'FU 0.75'!$C14</f>
        <v>46.087469059999997</v>
      </c>
      <c r="H14" s="15">
        <f>'FU 0.76'!$C14</f>
        <v>46.685767460000001</v>
      </c>
      <c r="I14" s="15">
        <f>'FU 0.77'!$C14</f>
        <v>47.28407327</v>
      </c>
      <c r="J14" s="15">
        <f>'FU 0.78'!$C14</f>
        <v>47.882386879999999</v>
      </c>
      <c r="K14" s="15">
        <f>'FU 0.79'!$C14</f>
        <v>48.48070877</v>
      </c>
      <c r="L14" s="15">
        <f>'FU 0.8'!$C14</f>
        <v>49.079039430000002</v>
      </c>
      <c r="M14" s="15">
        <f>'FU 0.81'!$C14</f>
        <v>49.677379469999998</v>
      </c>
      <c r="N14" s="15">
        <f>'FU 0.82'!$C14</f>
        <v>50.27572953</v>
      </c>
      <c r="O14" s="15">
        <f>'FU 0.83'!$C14</f>
        <v>50.874090389999999</v>
      </c>
      <c r="P14" s="15">
        <f>'FU 0.84'!$C14</f>
        <v>51.472462919999998</v>
      </c>
      <c r="Q14" s="15">
        <f>'FU 0.85'!$C14</f>
        <v>52.070848159999997</v>
      </c>
    </row>
    <row r="15" spans="1:17" x14ac:dyDescent="0.25">
      <c r="A15">
        <f>'FU 0.7'!A15</f>
        <v>0.73</v>
      </c>
      <c r="B15" s="15">
        <f>'FU 0.7'!$C15</f>
        <v>43.752696270000001</v>
      </c>
      <c r="C15" s="15">
        <f t="shared" si="0"/>
        <v>44.360357785000005</v>
      </c>
      <c r="D15" s="15">
        <f>'FU 0.72'!$C15</f>
        <v>44.968019300000002</v>
      </c>
      <c r="E15" s="15">
        <f>'FU 0.73'!$C15</f>
        <v>45.575690870000003</v>
      </c>
      <c r="F15" s="15">
        <f>'FU 0.74'!$C15</f>
        <v>46.183369540000001</v>
      </c>
      <c r="G15" s="15">
        <f>'FU 0.75'!$C15</f>
        <v>46.791055659999998</v>
      </c>
      <c r="H15" s="15">
        <f>'FU 0.76'!$C15</f>
        <v>47.39874958</v>
      </c>
      <c r="I15" s="15">
        <f>'FU 0.77'!$C15</f>
        <v>48.006451740000003</v>
      </c>
      <c r="J15" s="15">
        <f>'FU 0.78'!$C15</f>
        <v>48.614162589999999</v>
      </c>
      <c r="K15" s="15">
        <f>'FU 0.79'!$C15</f>
        <v>49.221882659999999</v>
      </c>
      <c r="L15" s="15">
        <f>'FU 0.8'!$C15</f>
        <v>49.829612539999999</v>
      </c>
      <c r="M15" s="15">
        <f>'FU 0.81'!$C15</f>
        <v>50.43735289</v>
      </c>
      <c r="N15" s="15">
        <f>'FU 0.82'!$C15</f>
        <v>51.045104479999999</v>
      </c>
      <c r="O15" s="15">
        <f>'FU 0.83'!$C15</f>
        <v>51.652868179999999</v>
      </c>
      <c r="P15" s="15">
        <f>'FU 0.84'!$C15</f>
        <v>52.260645009999998</v>
      </c>
      <c r="Q15" s="15">
        <f>'FU 0.85'!$C15</f>
        <v>52.868436150000001</v>
      </c>
    </row>
    <row r="16" spans="1:17" x14ac:dyDescent="0.25">
      <c r="A16">
        <f>'FU 0.7'!A16</f>
        <v>0.74</v>
      </c>
      <c r="B16" s="15">
        <f>'FU 0.7'!$C16</f>
        <v>44.409420539999999</v>
      </c>
      <c r="C16" s="15">
        <f t="shared" si="0"/>
        <v>45.026477544999999</v>
      </c>
      <c r="D16" s="15">
        <f>'FU 0.72'!$C16</f>
        <v>45.643534549999998</v>
      </c>
      <c r="E16" s="15">
        <f>'FU 0.73'!$C16</f>
        <v>46.260602749999997</v>
      </c>
      <c r="F16" s="15">
        <f>'FU 0.74'!$C16</f>
        <v>46.877678860000003</v>
      </c>
      <c r="G16" s="15">
        <f>'FU 0.75'!$C16</f>
        <v>47.494763280000001</v>
      </c>
      <c r="H16" s="15">
        <f>'FU 0.76'!$C16</f>
        <v>48.111856430000003</v>
      </c>
      <c r="I16" s="15">
        <f>'FU 0.77'!$C16</f>
        <v>48.728958779999999</v>
      </c>
      <c r="J16" s="15">
        <f>'FU 0.78'!$C16</f>
        <v>49.346070879999999</v>
      </c>
      <c r="K16" s="15">
        <f>'FU 0.79'!$C16</f>
        <v>49.963193310000001</v>
      </c>
      <c r="L16" s="15">
        <f>'FU 0.8'!$C16</f>
        <v>50.580326769999999</v>
      </c>
      <c r="M16" s="15">
        <f>'FU 0.81'!$C16</f>
        <v>51.197472019999999</v>
      </c>
      <c r="N16" s="15">
        <f>'FU 0.82'!$C16</f>
        <v>51.814629940000003</v>
      </c>
      <c r="O16" s="15">
        <f>'FU 0.83'!$C16</f>
        <v>52.431801550000003</v>
      </c>
      <c r="P16" s="15">
        <f>'FU 0.84'!$C16</f>
        <v>53.048988029999997</v>
      </c>
      <c r="Q16" s="15">
        <f>'FU 0.85'!$C16</f>
        <v>53.666190749999998</v>
      </c>
    </row>
    <row r="17" spans="1:17" x14ac:dyDescent="0.25">
      <c r="A17">
        <f>'FU 0.7'!A17</f>
        <v>0.75</v>
      </c>
      <c r="B17" s="15">
        <f>'FU 0.7'!$C17</f>
        <v>45.066263730000003</v>
      </c>
      <c r="C17" s="15">
        <f t="shared" si="0"/>
        <v>45.692719905000004</v>
      </c>
      <c r="D17" s="15">
        <f>'FU 0.72'!$C17</f>
        <v>46.319176079999998</v>
      </c>
      <c r="E17" s="15">
        <f>'FU 0.73'!$C17</f>
        <v>46.945644799999997</v>
      </c>
      <c r="F17" s="15">
        <f>'FU 0.74'!$C17</f>
        <v>47.572122389999997</v>
      </c>
      <c r="G17" s="15">
        <f>'FU 0.75'!$C17</f>
        <v>48.198609300000001</v>
      </c>
      <c r="H17" s="15">
        <f>'FU 0.76'!$C17</f>
        <v>48.825106030000001</v>
      </c>
      <c r="I17" s="15">
        <f>'FU 0.77'!$C17</f>
        <v>49.451613129999998</v>
      </c>
      <c r="J17" s="15">
        <f>'FU 0.78'!$C17</f>
        <v>50.078131220000003</v>
      </c>
      <c r="K17" s="15">
        <f>'FU 0.79'!$C17</f>
        <v>50.704661000000002</v>
      </c>
      <c r="L17" s="15">
        <f>'FU 0.8'!$C17</f>
        <v>51.331203240000001</v>
      </c>
      <c r="M17" s="15">
        <f>'FU 0.81'!$C17</f>
        <v>51.957758859999998</v>
      </c>
      <c r="N17" s="15">
        <f>'FU 0.82'!$C17</f>
        <v>52.584328880000001</v>
      </c>
      <c r="O17" s="15">
        <f>'FU 0.83'!$C17</f>
        <v>53.210914500000001</v>
      </c>
      <c r="P17" s="15">
        <f>'FU 0.84'!$C17</f>
        <v>53.837517079999998</v>
      </c>
      <c r="Q17" s="15">
        <f>'FU 0.85'!$C17</f>
        <v>54.464138269999999</v>
      </c>
    </row>
    <row r="18" spans="1:17" x14ac:dyDescent="0.25">
      <c r="A18">
        <f>'FU 0.7'!A18</f>
        <v>0.76</v>
      </c>
      <c r="B18" s="15">
        <f>'FU 0.7'!$C18</f>
        <v>45.723243279999998</v>
      </c>
      <c r="C18" s="15">
        <f t="shared" si="0"/>
        <v>46.359102964999998</v>
      </c>
      <c r="D18" s="15">
        <f>'FU 0.72'!$C18</f>
        <v>46.994962649999998</v>
      </c>
      <c r="E18" s="15">
        <f>'FU 0.73'!$C18</f>
        <v>47.630836479999999</v>
      </c>
      <c r="F18" s="15">
        <f>'FU 0.74'!$C18</f>
        <v>48.266720329999998</v>
      </c>
      <c r="G18" s="15">
        <f>'FU 0.75'!$C18</f>
        <v>48.902614730000003</v>
      </c>
      <c r="H18" s="15">
        <f>'FU 0.76'!$C18</f>
        <v>49.538520249999998</v>
      </c>
      <c r="I18" s="15">
        <f>'FU 0.77'!$C18</f>
        <v>50.17443754</v>
      </c>
      <c r="J18" s="15">
        <f>'FU 0.78'!$C18</f>
        <v>50.810367309999997</v>
      </c>
      <c r="K18" s="15">
        <f>'FU 0.79'!$C18</f>
        <v>51.446310390000001</v>
      </c>
      <c r="L18" s="15">
        <f>'FU 0.8'!$C18</f>
        <v>52.082267710000004</v>
      </c>
      <c r="M18" s="15">
        <f>'FU 0.81'!$C18</f>
        <v>52.71824032</v>
      </c>
      <c r="N18" s="15">
        <f>'FU 0.82'!$C18</f>
        <v>53.354229439999997</v>
      </c>
      <c r="O18" s="15">
        <f>'FU 0.83'!$C18</f>
        <v>53.99023648</v>
      </c>
      <c r="P18" s="15">
        <f>'FU 0.84'!$C18</f>
        <v>54.626263090000002</v>
      </c>
      <c r="Q18" s="15">
        <f>'FU 0.85'!$C18</f>
        <v>55.26231121</v>
      </c>
    </row>
    <row r="19" spans="1:17" x14ac:dyDescent="0.25">
      <c r="A19">
        <f>'FU 0.7'!A19</f>
        <v>0.77</v>
      </c>
      <c r="B19" s="15">
        <f>'FU 0.7'!$C19</f>
        <v>46.380380340000002</v>
      </c>
      <c r="C19" s="15">
        <f t="shared" si="0"/>
        <v>47.025648709999999</v>
      </c>
      <c r="D19" s="15">
        <f>'FU 0.72'!$C19</f>
        <v>47.670917080000002</v>
      </c>
      <c r="E19" s="15">
        <f>'FU 0.73'!$C19</f>
        <v>48.31620152</v>
      </c>
      <c r="F19" s="15">
        <f>'FU 0.74'!$C19</f>
        <v>48.961497369999996</v>
      </c>
      <c r="G19" s="15">
        <f>'FU 0.75'!$C19</f>
        <v>49.606805250000001</v>
      </c>
      <c r="H19" s="15">
        <f>'FU 0.76'!$C19</f>
        <v>50.252125820000003</v>
      </c>
      <c r="I19" s="15">
        <f>'FU 0.77'!$C19</f>
        <v>50.897459869999999</v>
      </c>
      <c r="J19" s="15">
        <f>'FU 0.78'!$C19</f>
        <v>51.542808229999999</v>
      </c>
      <c r="K19" s="15">
        <f>'FU 0.79'!$C19</f>
        <v>52.18817189</v>
      </c>
      <c r="L19" s="15">
        <f>'FU 0.8'!$C19</f>
        <v>52.83355194</v>
      </c>
      <c r="M19" s="15">
        <f>'FU 0.81'!$C19</f>
        <v>53.478949649999997</v>
      </c>
      <c r="N19" s="15">
        <f>'FU 0.82'!$C19</f>
        <v>54.12436649</v>
      </c>
      <c r="O19" s="15">
        <f>'FU 0.83'!$C19</f>
        <v>54.769804139999998</v>
      </c>
      <c r="P19" s="15">
        <f>'FU 0.84'!$C19</f>
        <v>55.4152646</v>
      </c>
      <c r="Q19" s="15">
        <f>'FU 0.85'!$C19</f>
        <v>56.060750220000003</v>
      </c>
    </row>
    <row r="20" spans="1:17" x14ac:dyDescent="0.25">
      <c r="A20">
        <f>'FU 0.7'!A20</f>
        <v>0.78</v>
      </c>
      <c r="B20" s="15">
        <f>'FU 0.7'!$C20</f>
        <v>47.037699519999997</v>
      </c>
      <c r="C20" s="15">
        <f t="shared" si="0"/>
        <v>47.692382760000001</v>
      </c>
      <c r="D20" s="15">
        <f>'FU 0.72'!$C20</f>
        <v>48.347065999999998</v>
      </c>
      <c r="E20" s="15">
        <f>'FU 0.73'!$C20</f>
        <v>49.001767659999999</v>
      </c>
      <c r="F20" s="15">
        <f>'FU 0.74'!$C20</f>
        <v>49.656482439999998</v>
      </c>
      <c r="G20" s="15">
        <f>'FU 0.75'!$C20</f>
        <v>50.311211049999997</v>
      </c>
      <c r="H20" s="15">
        <f>'FU 0.76'!$C20</f>
        <v>50.965954310000001</v>
      </c>
      <c r="I20" s="15">
        <f>'FU 0.77'!$C20</f>
        <v>51.620713129999999</v>
      </c>
      <c r="J20" s="15">
        <f>'FU 0.78'!$C20</f>
        <v>52.275488539999998</v>
      </c>
      <c r="K20" s="15">
        <f>'FU 0.79'!$C20</f>
        <v>52.930281700000002</v>
      </c>
      <c r="L20" s="15">
        <f>'FU 0.8'!$C20</f>
        <v>53.585093960000002</v>
      </c>
      <c r="M20" s="15">
        <f>'FU 0.81'!$C20</f>
        <v>54.239926850000003</v>
      </c>
      <c r="N20" s="15">
        <f>'FU 0.82'!$C20</f>
        <v>54.894782130000003</v>
      </c>
      <c r="O20" s="15">
        <f>'FU 0.83'!$C20</f>
        <v>55.549661890000003</v>
      </c>
      <c r="P20" s="15">
        <f>'FU 0.84'!$C20</f>
        <v>56.204568569999999</v>
      </c>
      <c r="Q20" s="15">
        <f>'FU 0.85'!$C20</f>
        <v>56.859505079999998</v>
      </c>
    </row>
    <row r="21" spans="1:17" x14ac:dyDescent="0.25">
      <c r="A21">
        <f>'FU 0.7'!A21</f>
        <v>0.79</v>
      </c>
      <c r="B21" s="15">
        <f>'FU 0.7'!$C21</f>
        <v>47.695236010000002</v>
      </c>
      <c r="C21" s="15">
        <f t="shared" si="0"/>
        <v>48.359341735000001</v>
      </c>
      <c r="D21" s="15">
        <f>'FU 0.72'!$C21</f>
        <v>49.02344746</v>
      </c>
      <c r="E21" s="15">
        <f>'FU 0.73'!$C21</f>
        <v>49.687574509999997</v>
      </c>
      <c r="F21" s="15">
        <f>'FU 0.74'!$C21</f>
        <v>50.351716789999998</v>
      </c>
      <c r="G21" s="15">
        <f>'FU 0.75'!$C21</f>
        <v>51.015875170000001</v>
      </c>
      <c r="H21" s="15">
        <f>'FU 0.76'!$C21</f>
        <v>51.680050620000003</v>
      </c>
      <c r="I21" s="15">
        <f>'FU 0.77'!$C21</f>
        <v>52.344244260000004</v>
      </c>
      <c r="J21" s="15">
        <f>'FU 0.78'!$C21</f>
        <v>53.00845735</v>
      </c>
      <c r="K21" s="15">
        <f>'FU 0.79'!$C21</f>
        <v>53.672691299999997</v>
      </c>
      <c r="L21" s="15">
        <f>'FU 0.8'!$C21</f>
        <v>54.336947770000002</v>
      </c>
      <c r="M21" s="15">
        <f>'FU 0.81'!$C21</f>
        <v>55.001228640000001</v>
      </c>
      <c r="N21" s="15">
        <f>'FU 0.82'!$C21</f>
        <v>55.66553613</v>
      </c>
      <c r="O21" s="15">
        <f>'FU 0.83'!$C21</f>
        <v>56.329872809999998</v>
      </c>
      <c r="P21" s="15">
        <f>'FU 0.84'!$C21</f>
        <v>56.99424175</v>
      </c>
      <c r="Q21" s="15">
        <f>'FU 0.85'!$C21</f>
        <v>57.658646619999999</v>
      </c>
    </row>
    <row r="22" spans="1:17" x14ac:dyDescent="0.25">
      <c r="A22">
        <f>'FU 0.7'!A22</f>
        <v>0.8</v>
      </c>
      <c r="B22" s="15">
        <f>'FU 0.7'!$C22</f>
        <v>48.353029429999999</v>
      </c>
      <c r="C22" s="15">
        <f t="shared" si="0"/>
        <v>49.026567</v>
      </c>
      <c r="D22" s="15">
        <f>'FU 0.72'!$C22</f>
        <v>49.700104570000001</v>
      </c>
      <c r="E22" s="15">
        <f>'FU 0.73'!$C22</f>
        <v>50.373667130000001</v>
      </c>
      <c r="F22" s="15">
        <f>'FU 0.74'!$C22</f>
        <v>51.047247599999999</v>
      </c>
      <c r="G22" s="15">
        <f>'FU 0.75'!$C22</f>
        <v>51.720847020000001</v>
      </c>
      <c r="H22" s="15">
        <f>'FU 0.76'!$C22</f>
        <v>52.394466620000003</v>
      </c>
      <c r="I22" s="15">
        <f>'FU 0.77'!$C22</f>
        <v>53.068107759999997</v>
      </c>
      <c r="J22" s="15">
        <f>'FU 0.78'!$C22</f>
        <v>53.741771989999997</v>
      </c>
      <c r="K22" s="15">
        <f>'FU 0.79'!$C22</f>
        <v>54.415461120000003</v>
      </c>
      <c r="L22" s="15">
        <f>'FU 0.8'!$C22</f>
        <v>55.089177190000001</v>
      </c>
      <c r="M22" s="15">
        <f>'FU 0.81'!$C22</f>
        <v>55.762922600000003</v>
      </c>
      <c r="N22" s="15">
        <f>'FU 0.82'!$C22</f>
        <v>56.436700129999998</v>
      </c>
      <c r="O22" s="15">
        <f>'FU 0.83'!$C22</f>
        <v>57.110513099999999</v>
      </c>
      <c r="P22" s="15">
        <f>'FU 0.84'!$C22</f>
        <v>57.784365440000002</v>
      </c>
      <c r="Q22" s="15">
        <f>'FU 0.85'!$C22</f>
        <v>58.458261909999997</v>
      </c>
    </row>
    <row r="23" spans="1:17" x14ac:dyDescent="0.25">
      <c r="A23">
        <f>'FU 0.7'!A23</f>
        <v>0.81</v>
      </c>
      <c r="B23" s="15">
        <f>'FU 0.7'!$C23</f>
        <v>49.01113256</v>
      </c>
      <c r="C23" s="15">
        <f t="shared" si="0"/>
        <v>49.694113739999999</v>
      </c>
      <c r="D23" s="15">
        <f>'FU 0.72'!$C23</f>
        <v>50.377094919999998</v>
      </c>
      <c r="E23" s="15">
        <f>'FU 0.73'!$C23</f>
        <v>51.060105819999997</v>
      </c>
      <c r="F23" s="15">
        <f>'FU 0.74'!$C23</f>
        <v>51.743138049999999</v>
      </c>
      <c r="G23" s="15">
        <f>'FU 0.75'!$C23</f>
        <v>52.42619294</v>
      </c>
      <c r="H23" s="15">
        <f>'FU 0.76'!$C23</f>
        <v>53.10927203</v>
      </c>
      <c r="I23" s="15">
        <f>'FU 0.77'!$C23</f>
        <v>53.792377039999998</v>
      </c>
      <c r="J23" s="15">
        <f>'FU 0.78'!$C23</f>
        <v>54.475509959999997</v>
      </c>
      <c r="K23" s="15">
        <f>'FU 0.79'!$C23</f>
        <v>55.158673069999999</v>
      </c>
      <c r="L23" s="15">
        <f>'FU 0.8'!$C23</f>
        <v>55.841869010000003</v>
      </c>
      <c r="M23" s="15">
        <f>'FU 0.81'!$C23</f>
        <v>56.525100889999997</v>
      </c>
      <c r="N23" s="15">
        <f>'FU 0.82'!$C23</f>
        <v>57.208372339999997</v>
      </c>
      <c r="O23" s="15">
        <f>'FU 0.83'!$C23</f>
        <v>57.891687709999999</v>
      </c>
      <c r="P23" s="15">
        <f>'FU 0.84'!$C23</f>
        <v>58.575052210000003</v>
      </c>
      <c r="Q23" s="15">
        <f>'FU 0.85'!$C23</f>
        <v>59.258472220000002</v>
      </c>
    </row>
    <row r="24" spans="1:17" x14ac:dyDescent="0.25">
      <c r="A24">
        <f>'FU 0.7'!A24</f>
        <v>0.82</v>
      </c>
      <c r="B24" s="15">
        <f>'FU 0.7'!$C24</f>
        <v>49.669614920000001</v>
      </c>
      <c r="C24" s="15">
        <f t="shared" si="0"/>
        <v>50.362054780000001</v>
      </c>
      <c r="D24" s="15">
        <f>'FU 0.72'!$C24</f>
        <v>51.054494640000001</v>
      </c>
      <c r="E24" s="15">
        <f>'FU 0.73'!$C24</f>
        <v>51.746970410000003</v>
      </c>
      <c r="F24" s="15">
        <f>'FU 0.74'!$C24</f>
        <v>52.43947206</v>
      </c>
      <c r="G24" s="15">
        <f>'FU 0.75'!$C24</f>
        <v>53.132001299999999</v>
      </c>
      <c r="H24" s="15">
        <f>'FU 0.76'!$C24</f>
        <v>53.824560089999999</v>
      </c>
      <c r="I24" s="15">
        <f>'FU 0.77'!$C24</f>
        <v>54.51715068</v>
      </c>
      <c r="J24" s="15">
        <f>'FU 0.78'!$C24</f>
        <v>55.209775669999999</v>
      </c>
      <c r="K24" s="15">
        <f>'FU 0.79'!$C24</f>
        <v>55.902438050000001</v>
      </c>
      <c r="L24" s="15">
        <f>'FU 0.8'!$C24</f>
        <v>56.595141339999998</v>
      </c>
      <c r="M24" s="15">
        <f>'FU 0.81'!$C24</f>
        <v>57.287889679999999</v>
      </c>
      <c r="N24" s="15">
        <f>'FU 0.82'!$C24</f>
        <v>57.98068799</v>
      </c>
      <c r="O24" s="15">
        <f>'FU 0.83'!$C24</f>
        <v>58.673542169999997</v>
      </c>
      <c r="P24" s="15">
        <f>'FU 0.84'!$C24</f>
        <v>59.366459429999999</v>
      </c>
      <c r="Q24" s="15">
        <f>'FU 0.85'!$C24</f>
        <v>60.05944865</v>
      </c>
    </row>
    <row r="25" spans="1:17" x14ac:dyDescent="0.25">
      <c r="A25">
        <f>'FU 0.7'!A25</f>
        <v>0.83</v>
      </c>
      <c r="B25" s="15">
        <f>'FU 0.7'!$C25</f>
        <v>50.328570480000003</v>
      </c>
      <c r="C25" s="15">
        <f t="shared" si="0"/>
        <v>51.030488750000004</v>
      </c>
      <c r="D25" s="15">
        <f>'FU 0.72'!$C25</f>
        <v>51.732407019999997</v>
      </c>
      <c r="E25" s="15">
        <f>'FU 0.73'!$C25</f>
        <v>52.434369590000003</v>
      </c>
      <c r="F25" s="15">
        <f>'FU 0.74'!$C25</f>
        <v>53.136364219999997</v>
      </c>
      <c r="G25" s="15">
        <f>'FU 0.75'!$C25</f>
        <v>53.838393179999997</v>
      </c>
      <c r="H25" s="15">
        <f>'FU 0.76'!$C25</f>
        <v>54.540459069999997</v>
      </c>
      <c r="I25" s="15">
        <f>'FU 0.77'!$C25</f>
        <v>55.242564909999999</v>
      </c>
      <c r="J25" s="15">
        <f>'FU 0.78'!$C25</f>
        <v>55.9447142</v>
      </c>
      <c r="K25" s="15">
        <f>'FU 0.79'!$C25</f>
        <v>56.646911060000001</v>
      </c>
      <c r="L25" s="15">
        <f>'FU 0.8'!$C25</f>
        <v>57.349160310000002</v>
      </c>
      <c r="M25" s="15">
        <f>'FU 0.81'!$C25</f>
        <v>58.051467729999999</v>
      </c>
      <c r="N25" s="15">
        <f>'FU 0.82'!$C25</f>
        <v>58.753840250000003</v>
      </c>
      <c r="O25" s="15">
        <f>'FU 0.83'!$C25</f>
        <v>59.456286310000003</v>
      </c>
      <c r="P25" s="15">
        <f>'FU 0.84'!$C25</f>
        <v>60.158816350000002</v>
      </c>
      <c r="Q25" s="15">
        <f>'FU 0.85'!$C25</f>
        <v>60.861443479999998</v>
      </c>
    </row>
    <row r="26" spans="1:17" x14ac:dyDescent="0.25">
      <c r="A26">
        <f>'FU 0.7'!A26</f>
        <v>0.84</v>
      </c>
      <c r="B26" s="15">
        <f>'FU 0.7'!$C26</f>
        <v>50.988130509999998</v>
      </c>
      <c r="C26" s="15">
        <f t="shared" si="0"/>
        <v>51.699553754999997</v>
      </c>
      <c r="D26" s="15">
        <f>'FU 0.72'!$C26</f>
        <v>52.410977000000003</v>
      </c>
      <c r="E26" s="15">
        <f>'FU 0.73'!$C26</f>
        <v>53.122456319999998</v>
      </c>
      <c r="F26" s="15">
        <f>'FU 0.74'!$C26</f>
        <v>53.83397643</v>
      </c>
      <c r="G26" s="15">
        <f>'FU 0.75'!$C26</f>
        <v>54.545540440000003</v>
      </c>
      <c r="H26" s="15">
        <f>'FU 0.76'!$C26</f>
        <v>55.257151960000002</v>
      </c>
      <c r="I26" s="15">
        <f>'FU 0.77'!$C26</f>
        <v>55.968815190000001</v>
      </c>
      <c r="J26" s="15">
        <f>'FU 0.78'!$C26</f>
        <v>56.680535110000001</v>
      </c>
      <c r="K26" s="15">
        <f>'FU 0.79'!$C26</f>
        <v>57.392317589999998</v>
      </c>
      <c r="L26" s="15">
        <f>'FU 0.8'!$C26</f>
        <v>58.104169659999997</v>
      </c>
      <c r="M26" s="15">
        <f>'FU 0.81'!$C26</f>
        <v>58.816099770000001</v>
      </c>
      <c r="N26" s="15">
        <f>'FU 0.82'!$C26</f>
        <v>59.528118300000003</v>
      </c>
      <c r="O26" s="15">
        <f>'FU 0.83'!$C26</f>
        <v>60.240238089999998</v>
      </c>
      <c r="P26" s="15">
        <f>'FU 0.84'!$C26</f>
        <v>60.952475339999999</v>
      </c>
      <c r="Q26" s="15">
        <f>'FU 0.85'!$C26</f>
        <v>61.664850919999999</v>
      </c>
    </row>
    <row r="27" spans="1:17" x14ac:dyDescent="0.25">
      <c r="A27">
        <f>'FU 0.7'!A27</f>
        <v>0.85</v>
      </c>
      <c r="B27" s="15">
        <f>'FU 0.7'!$C27</f>
        <v>51.648486339999998</v>
      </c>
      <c r="C27" s="15">
        <f t="shared" si="0"/>
        <v>52.369451574999999</v>
      </c>
      <c r="D27" s="15">
        <f>'FU 0.72'!$C27</f>
        <v>53.090416810000001</v>
      </c>
      <c r="E27" s="15">
        <f>'FU 0.73'!$C27</f>
        <v>53.811455420000001</v>
      </c>
      <c r="F27" s="15">
        <f>'FU 0.74'!$C27</f>
        <v>54.532547749999999</v>
      </c>
      <c r="G27" s="15">
        <f>'FU 0.75'!$C27</f>
        <v>55.25369826</v>
      </c>
      <c r="H27" s="15">
        <f>'FU 0.76'!$C27</f>
        <v>55.974912209999999</v>
      </c>
      <c r="I27" s="15">
        <f>'FU 0.77'!$C27</f>
        <v>56.696195840000001</v>
      </c>
      <c r="J27" s="15">
        <f>'FU 0.78'!$C27</f>
        <v>57.417556599999998</v>
      </c>
      <c r="K27" s="15">
        <f>'FU 0.79'!$C27</f>
        <v>58.139003459999998</v>
      </c>
      <c r="L27" s="15">
        <f>'FU 0.8'!$C27</f>
        <v>58.860547310000001</v>
      </c>
      <c r="M27" s="15">
        <f>'FU 0.81'!$C27</f>
        <v>59.582201589999997</v>
      </c>
      <c r="N27" s="15">
        <f>'FU 0.82'!$C27</f>
        <v>60.303983070000001</v>
      </c>
      <c r="O27" s="15">
        <f>'FU 0.83'!$C27</f>
        <v>61.025913119999998</v>
      </c>
      <c r="P27" s="15">
        <f>'FU 0.84'!$C27</f>
        <v>61.748019489999997</v>
      </c>
      <c r="Q27" s="15">
        <f>'FU 0.85'!$C27</f>
        <v>62.47033923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J29" sqref="J29"/>
    </sheetView>
  </sheetViews>
  <sheetFormatPr defaultRowHeight="15" x14ac:dyDescent="0.25"/>
  <sheetData>
    <row r="1" spans="1:12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</row>
    <row r="2" spans="1:12" x14ac:dyDescent="0.25">
      <c r="A2">
        <f>0.6</f>
        <v>0.6</v>
      </c>
      <c r="B2">
        <f>44.19195181</f>
        <v>44.191951809999999</v>
      </c>
      <c r="C2">
        <f>42.02175391</f>
        <v>42.021753910000001</v>
      </c>
      <c r="D2">
        <f>26.60826537</f>
        <v>26.608265370000002</v>
      </c>
      <c r="E2">
        <f>68.63001928</f>
        <v>68.630019279999999</v>
      </c>
      <c r="F2">
        <f>41.55325105</f>
        <v>41.55325105</v>
      </c>
      <c r="G2">
        <f>39.51263564</f>
        <v>39.512635639999999</v>
      </c>
      <c r="H2">
        <f>6.236420862</f>
        <v>6.2364208620000001</v>
      </c>
      <c r="I2">
        <f>45.7490565</f>
        <v>45.749056500000002</v>
      </c>
      <c r="J2">
        <f>160.70782</f>
        <v>160.70782</v>
      </c>
      <c r="K2">
        <f>7.6081879</f>
        <v>7.6081878999999999</v>
      </c>
      <c r="L2">
        <f>8784.8433</f>
        <v>8784.8433000000005</v>
      </c>
    </row>
    <row r="3" spans="1:12" x14ac:dyDescent="0.25">
      <c r="A3">
        <f>0.61</f>
        <v>0.61</v>
      </c>
      <c r="B3">
        <f>44.92848434</f>
        <v>44.928484339999997</v>
      </c>
      <c r="C3">
        <f>42.80897203</f>
        <v>42.80897203</v>
      </c>
      <c r="D3">
        <f>26.43358491</f>
        <v>26.43358491</v>
      </c>
      <c r="E3">
        <f>69.24255694</f>
        <v>69.24255694</v>
      </c>
      <c r="F3">
        <f>42.24580523</f>
        <v>42.245805230000002</v>
      </c>
      <c r="G3">
        <f>40.25284897</f>
        <v>40.252848970000002</v>
      </c>
      <c r="H3">
        <f>6.226504089</f>
        <v>6.2265040889999996</v>
      </c>
      <c r="I3">
        <f>46.47935306</f>
        <v>46.479353060000001</v>
      </c>
      <c r="J3">
        <f>158.98321</f>
        <v>158.98321000000001</v>
      </c>
      <c r="K3">
        <f>7.7901354</f>
        <v>7.7901353999999996</v>
      </c>
      <c r="L3">
        <f>8548.1018</f>
        <v>8548.1018000000004</v>
      </c>
    </row>
    <row r="4" spans="1:12" x14ac:dyDescent="0.25">
      <c r="A4">
        <f>0.62</f>
        <v>0.62</v>
      </c>
      <c r="B4">
        <f>45.66501687</f>
        <v>45.665016870000002</v>
      </c>
      <c r="C4">
        <f>43.59623352</f>
        <v>43.596233519999998</v>
      </c>
      <c r="D4">
        <f>26.25875923</f>
        <v>26.258759229999999</v>
      </c>
      <c r="E4">
        <f>69.85499275</f>
        <v>69.854992749999994</v>
      </c>
      <c r="F4">
        <f>42.93835942</f>
        <v>42.938359419999998</v>
      </c>
      <c r="G4">
        <f>40.99310309</f>
        <v>40.993103089999998</v>
      </c>
      <c r="H4">
        <f>6.217292896</f>
        <v>6.217292896</v>
      </c>
      <c r="I4">
        <f>47.21039599</f>
        <v>47.210395990000002</v>
      </c>
      <c r="J4">
        <f>157.10867</f>
        <v>157.10866999999999</v>
      </c>
      <c r="K4">
        <f>7.9811659</f>
        <v>7.9811658999999997</v>
      </c>
      <c r="L4">
        <f>8311.066</f>
        <v>8311.0660000000007</v>
      </c>
    </row>
    <row r="5" spans="1:12" x14ac:dyDescent="0.25">
      <c r="A5">
        <f>0.63</f>
        <v>0.63</v>
      </c>
      <c r="B5">
        <f>46.4015494</f>
        <v>46.4015494</v>
      </c>
      <c r="C5">
        <f>44.38354237</f>
        <v>44.383542370000001</v>
      </c>
      <c r="D5">
        <f>26.08377486</f>
        <v>26.083774859999998</v>
      </c>
      <c r="E5">
        <f>70.46731723</f>
        <v>70.467317230000006</v>
      </c>
      <c r="F5">
        <f>43.6309136</f>
        <v>43.6309136</v>
      </c>
      <c r="G5">
        <f>41.73340174</f>
        <v>41.733401739999998</v>
      </c>
      <c r="H5">
        <f>6.208836163</f>
        <v>6.208836163</v>
      </c>
      <c r="I5">
        <f>47.94223791</f>
        <v>47.942237910000003</v>
      </c>
      <c r="J5">
        <f>155.08344</f>
        <v>155.08344</v>
      </c>
      <c r="K5">
        <f>8.1819929</f>
        <v>8.1819928999999991</v>
      </c>
      <c r="L5">
        <f>8073.7102</f>
        <v>8073.7102000000004</v>
      </c>
    </row>
    <row r="6" spans="1:12" x14ac:dyDescent="0.25">
      <c r="A6">
        <f>0.64</f>
        <v>0.64</v>
      </c>
      <c r="B6">
        <f>47.13808193</f>
        <v>47.138081929999998</v>
      </c>
      <c r="C6">
        <f>45.17090311</f>
        <v>45.170903109999998</v>
      </c>
      <c r="D6">
        <f>25.90861659</f>
        <v>25.908616590000001</v>
      </c>
      <c r="E6">
        <f>71.0795197</f>
        <v>71.079519700000006</v>
      </c>
      <c r="F6">
        <f>44.32346778</f>
        <v>44.323467780000001</v>
      </c>
      <c r="G6">
        <f>42.47374918</f>
        <v>42.473749179999999</v>
      </c>
      <c r="H6">
        <f>6.201187563</f>
        <v>6.2011875630000004</v>
      </c>
      <c r="I6">
        <f>48.67493675</f>
        <v>48.674936750000001</v>
      </c>
      <c r="J6">
        <f>152.90668</f>
        <v>152.90667999999999</v>
      </c>
      <c r="K6">
        <f>8.3934088</f>
        <v>8.3934087999999996</v>
      </c>
      <c r="L6">
        <f>7836.0058</f>
        <v>7836.0057999999999</v>
      </c>
    </row>
    <row r="7" spans="1:12" x14ac:dyDescent="0.25">
      <c r="A7">
        <f>0.65</f>
        <v>0.65</v>
      </c>
      <c r="B7">
        <f>47.87461446</f>
        <v>47.874614459999997</v>
      </c>
      <c r="C7">
        <f>45.95832085</f>
        <v>45.95832085</v>
      </c>
      <c r="D7">
        <f>25.73326717</f>
        <v>25.733267170000001</v>
      </c>
      <c r="E7">
        <f>71.69158802</f>
        <v>71.691588019999998</v>
      </c>
      <c r="F7">
        <f>45.01602197</f>
        <v>45.016021969999997</v>
      </c>
      <c r="G7">
        <f>43.21415022</f>
        <v>43.214150220000001</v>
      </c>
      <c r="H7">
        <f>6.194406187</f>
        <v>6.1944061870000002</v>
      </c>
      <c r="I7">
        <f>49.40855641</f>
        <v>49.408556410000003</v>
      </c>
      <c r="J7">
        <f>150.57741</f>
        <v>150.57740999999999</v>
      </c>
      <c r="K7">
        <f>8.6162965</f>
        <v>8.6162965000000007</v>
      </c>
      <c r="L7">
        <f>7597.9205</f>
        <v>7597.9205000000002</v>
      </c>
    </row>
    <row r="8" spans="1:12" x14ac:dyDescent="0.25">
      <c r="A8">
        <f>0.66</f>
        <v>0.66</v>
      </c>
      <c r="B8">
        <f>48.61114699</f>
        <v>48.611146990000002</v>
      </c>
      <c r="C8">
        <f>46.74580144</f>
        <v>46.745801440000001</v>
      </c>
      <c r="D8">
        <f>25.55770691</f>
        <v>25.55770691</v>
      </c>
      <c r="E8">
        <f>72.30350835</f>
        <v>72.303508350000001</v>
      </c>
      <c r="F8">
        <f>45.70857615</f>
        <v>45.708576149999999</v>
      </c>
      <c r="G8">
        <f>43.95461036</f>
        <v>43.954610359999997</v>
      </c>
      <c r="H8">
        <f>6.188557282</f>
        <v>6.1885572819999997</v>
      </c>
      <c r="I8">
        <f>50.14316764</f>
        <v>50.143167640000001</v>
      </c>
      <c r="J8">
        <f>148.09456</f>
        <v>148.09456</v>
      </c>
      <c r="K8">
        <f>8.8516429</f>
        <v>8.8516428999999999</v>
      </c>
      <c r="L8">
        <f>7359.4176</f>
        <v>7359.4175999999998</v>
      </c>
    </row>
    <row r="9" spans="1:12" x14ac:dyDescent="0.25">
      <c r="A9">
        <f>0.67</f>
        <v>0.67</v>
      </c>
      <c r="B9">
        <f>49.34767952</f>
        <v>49.34767952</v>
      </c>
      <c r="C9">
        <f>47.53335155</f>
        <v>47.533351549999999</v>
      </c>
      <c r="D9">
        <f>25.38191327</f>
        <v>25.381913269999998</v>
      </c>
      <c r="E9">
        <f>72.91526482</f>
        <v>72.915264820000004</v>
      </c>
      <c r="F9">
        <f>46.40113034</f>
        <v>46.401130340000002</v>
      </c>
      <c r="G9">
        <f>44.69513587</f>
        <v>44.695135870000001</v>
      </c>
      <c r="H9">
        <f>6.183713122</f>
        <v>6.1837131220000003</v>
      </c>
      <c r="I9">
        <f>50.87884899</f>
        <v>50.878848990000002</v>
      </c>
      <c r="J9">
        <f>145.45689</f>
        <v>145.45688999999999</v>
      </c>
      <c r="K9">
        <f>9.1005556</f>
        <v>9.1005555999999999</v>
      </c>
      <c r="L9">
        <f>7120.4553</f>
        <v>7120.4552999999996</v>
      </c>
    </row>
    <row r="10" spans="1:12" x14ac:dyDescent="0.25">
      <c r="A10">
        <f>0.68</f>
        <v>0.68</v>
      </c>
      <c r="B10">
        <f>50.08421205</f>
        <v>50.084212049999998</v>
      </c>
      <c r="C10">
        <f>48.3209789</f>
        <v>48.3209789</v>
      </c>
      <c r="D10">
        <f>25.20586026</f>
        <v>25.205860260000001</v>
      </c>
      <c r="E10">
        <f>73.52683916</f>
        <v>73.526839159999994</v>
      </c>
      <c r="F10">
        <f>47.09368452</f>
        <v>47.093684519999996</v>
      </c>
      <c r="G10">
        <f>45.435734</f>
        <v>45.435733999999997</v>
      </c>
      <c r="H10">
        <f>6.179954037</f>
        <v>6.1799540369999999</v>
      </c>
      <c r="I10">
        <f>51.61568803</f>
        <v>51.615688030000001</v>
      </c>
      <c r="J10">
        <f>142.66299</f>
        <v>142.66299000000001</v>
      </c>
      <c r="K10">
        <f>9.3642827</f>
        <v>9.3642827000000004</v>
      </c>
      <c r="L10">
        <f>6880.986</f>
        <v>6880.9859999999999</v>
      </c>
    </row>
    <row r="11" spans="1:12" x14ac:dyDescent="0.25">
      <c r="A11">
        <f>0.69</f>
        <v>0.69</v>
      </c>
      <c r="B11">
        <f>50.82074458</f>
        <v>50.820744580000003</v>
      </c>
      <c r="C11">
        <f>49.10869238</f>
        <v>49.108692380000001</v>
      </c>
      <c r="D11">
        <f>25.02951779</f>
        <v>25.02951779</v>
      </c>
      <c r="E11">
        <f>74.13821018</f>
        <v>74.138210180000002</v>
      </c>
      <c r="F11">
        <f>47.78623871</f>
        <v>47.786238709999999</v>
      </c>
      <c r="G11">
        <f>46.17641312</f>
        <v>46.176413119999999</v>
      </c>
      <c r="H11">
        <f>6.177369646</f>
        <v>6.1773696459999998</v>
      </c>
      <c r="I11">
        <f>52.35378277</f>
        <v>52.353782770000002</v>
      </c>
      <c r="J11">
        <f>139.71124</f>
        <v>139.71124</v>
      </c>
      <c r="K11">
        <f>9.6442363</f>
        <v>9.6442362999999993</v>
      </c>
      <c r="L11">
        <f>6640.9547</f>
        <v>6640.9547000000002</v>
      </c>
    </row>
    <row r="12" spans="1:12" x14ac:dyDescent="0.25">
      <c r="A12">
        <f>0.7</f>
        <v>0.7</v>
      </c>
      <c r="B12">
        <f>51.55727711</f>
        <v>51.557277110000001</v>
      </c>
      <c r="C12">
        <f>49.89650239</f>
        <v>49.896502390000002</v>
      </c>
      <c r="D12">
        <f>24.8528508</f>
        <v>24.852850799999999</v>
      </c>
      <c r="E12">
        <f>74.74935319</f>
        <v>74.749353189999994</v>
      </c>
      <c r="F12">
        <f>48.47879289</f>
        <v>48.478792890000001</v>
      </c>
      <c r="G12">
        <f>46.917183</f>
        <v>46.917183000000001</v>
      </c>
      <c r="H12">
        <f>6.176060336</f>
        <v>6.1760603359999999</v>
      </c>
      <c r="I12">
        <f>53.09324334</f>
        <v>53.093243340000001</v>
      </c>
      <c r="J12">
        <f>136.59976</f>
        <v>136.59976</v>
      </c>
      <c r="K12">
        <f>9.9420226</f>
        <v>9.9420225999999996</v>
      </c>
      <c r="L12">
        <f>6400.2979</f>
        <v>6400.2978999999996</v>
      </c>
    </row>
    <row r="13" spans="1:12" x14ac:dyDescent="0.25">
      <c r="A13">
        <f>0.71</f>
        <v>0.71</v>
      </c>
      <c r="B13">
        <f>52.29380964</f>
        <v>52.293809639999999</v>
      </c>
      <c r="C13">
        <f>50.6844211</f>
        <v>50.684421100000002</v>
      </c>
      <c r="D13">
        <f>24.67581809</f>
        <v>24.67581809</v>
      </c>
      <c r="E13">
        <f>75.36023919</f>
        <v>75.360239190000001</v>
      </c>
      <c r="F13">
        <f>49.17134707</f>
        <v>49.171347070000003</v>
      </c>
      <c r="G13">
        <f>47.6580551</f>
        <v>47.658055099999999</v>
      </c>
      <c r="H13">
        <f>6.176139067</f>
        <v>6.1761390670000003</v>
      </c>
      <c r="I13">
        <f>53.83419417</f>
        <v>53.834194170000004</v>
      </c>
      <c r="J13">
        <f>133.3264</f>
        <v>133.32640000000001</v>
      </c>
      <c r="K13">
        <f>10.259477</f>
        <v>10.259477</v>
      </c>
      <c r="L13">
        <f>6158.9415</f>
        <v>6158.9414999999999</v>
      </c>
    </row>
    <row r="14" spans="1:12" x14ac:dyDescent="0.25">
      <c r="A14">
        <f>0.72</f>
        <v>0.72</v>
      </c>
      <c r="B14">
        <f>53.03034217</f>
        <v>53.030342169999997</v>
      </c>
      <c r="C14">
        <f>51.47246292</f>
        <v>51.472462919999998</v>
      </c>
      <c r="D14">
        <f>24.49837096</f>
        <v>24.498370959999999</v>
      </c>
      <c r="E14">
        <f>75.97083388</f>
        <v>75.970833880000001</v>
      </c>
      <c r="F14">
        <f>49.86390126</f>
        <v>49.863901259999999</v>
      </c>
      <c r="G14">
        <f>48.39904296</f>
        <v>48.399042960000003</v>
      </c>
      <c r="H14">
        <f>6.177733578</f>
        <v>6.1777335779999998</v>
      </c>
      <c r="I14">
        <f>54.57677653</f>
        <v>54.576776529999997</v>
      </c>
      <c r="J14">
        <f>129.8886</f>
        <v>129.8886</v>
      </c>
      <c r="K14">
        <f>10.598711</f>
        <v>10.598711</v>
      </c>
      <c r="L14">
        <f>5916.7988</f>
        <v>5916.7987999999996</v>
      </c>
    </row>
    <row r="15" spans="1:12" x14ac:dyDescent="0.25">
      <c r="A15">
        <f>0.73</f>
        <v>0.73</v>
      </c>
      <c r="B15">
        <f>53.7668747</f>
        <v>53.766874700000002</v>
      </c>
      <c r="C15">
        <f>52.26064501</f>
        <v>52.260645009999998</v>
      </c>
      <c r="D15">
        <f>24.3204513</f>
        <v>24.320451299999998</v>
      </c>
      <c r="E15">
        <f>76.58109631</f>
        <v>76.581096310000007</v>
      </c>
      <c r="F15">
        <f>50.55645544</f>
        <v>50.556455440000001</v>
      </c>
      <c r="G15">
        <f>49.1401627</f>
        <v>49.140162699999998</v>
      </c>
      <c r="H15">
        <f>6.180989137</f>
        <v>6.1809891370000001</v>
      </c>
      <c r="I15">
        <f>55.32115184</f>
        <v>55.321151839999999</v>
      </c>
      <c r="J15">
        <f>126.28335</f>
        <v>126.28335</v>
      </c>
      <c r="K15">
        <f>10.962167</f>
        <v>10.962167000000001</v>
      </c>
      <c r="L15">
        <f>5673.767</f>
        <v>5673.7669999999998</v>
      </c>
    </row>
    <row r="16" spans="1:12" x14ac:dyDescent="0.25">
      <c r="A16">
        <f>0.74</f>
        <v>0.74</v>
      </c>
      <c r="B16">
        <f>54.50340723</f>
        <v>54.503407230000001</v>
      </c>
      <c r="C16">
        <f>53.04898803</f>
        <v>53.048988029999997</v>
      </c>
      <c r="D16">
        <f>24.14198917</f>
        <v>24.141989169999999</v>
      </c>
      <c r="E16">
        <f>77.19097719</f>
        <v>77.190977189999998</v>
      </c>
      <c r="F16">
        <f>51.24900963</f>
        <v>51.249009630000003</v>
      </c>
      <c r="G16">
        <f>49.88143377</f>
        <v>49.881433770000001</v>
      </c>
      <c r="H16">
        <f>6.186071981</f>
        <v>6.1860719810000004</v>
      </c>
      <c r="I16">
        <f>56.06750575</f>
        <v>56.067505750000002</v>
      </c>
      <c r="J16">
        <f>122.50707</f>
        <v>122.50707</v>
      </c>
      <c r="K16">
        <f>11.352691</f>
        <v>11.352691</v>
      </c>
      <c r="L16">
        <f>5429.7233</f>
        <v>5429.7232999999997</v>
      </c>
    </row>
    <row r="17" spans="1:12" x14ac:dyDescent="0.25">
      <c r="A17">
        <f>0.75</f>
        <v>0.75</v>
      </c>
      <c r="B17">
        <f>55.23993976</f>
        <v>55.239939759999999</v>
      </c>
      <c r="C17">
        <f>53.83751708</f>
        <v>53.837517079999998</v>
      </c>
      <c r="D17">
        <f>23.96289942</f>
        <v>23.962899419999999</v>
      </c>
      <c r="E17">
        <f>77.8004165</f>
        <v>77.800416499999997</v>
      </c>
      <c r="F17">
        <f>51.94156381</f>
        <v>51.941563809999998</v>
      </c>
      <c r="G17">
        <f>50.62287977</f>
        <v>50.622879769999997</v>
      </c>
      <c r="H17">
        <f>6.193173721</f>
        <v>6.193173721</v>
      </c>
      <c r="I17">
        <f>56.81605349</f>
        <v>56.816053490000002</v>
      </c>
      <c r="J17">
        <f>118.55546</f>
        <v>118.55546</v>
      </c>
      <c r="K17">
        <f>11.77363</f>
        <v>11.773630000000001</v>
      </c>
      <c r="L17">
        <f>5184.52</f>
        <v>5184.5200000000004</v>
      </c>
    </row>
    <row r="18" spans="1:12" x14ac:dyDescent="0.25">
      <c r="A18">
        <f>0.76</f>
        <v>0.76</v>
      </c>
      <c r="B18">
        <f>55.97647229</f>
        <v>55.976472289999997</v>
      </c>
      <c r="C18">
        <f>54.62626309</f>
        <v>54.626263090000002</v>
      </c>
      <c r="D18">
        <f>23.78307724</f>
        <v>23.783077240000001</v>
      </c>
      <c r="E18">
        <f>78.40934032</f>
        <v>78.409340319999998</v>
      </c>
      <c r="F18">
        <f>52.63411799</f>
        <v>52.63411799</v>
      </c>
      <c r="G18">
        <f>51.36452976</f>
        <v>51.364529760000003</v>
      </c>
      <c r="H18">
        <f>6.202517044</f>
        <v>6.2025170440000004</v>
      </c>
      <c r="I18">
        <f>57.56704681</f>
        <v>57.567046810000001</v>
      </c>
      <c r="J18">
        <f>114.42327</f>
        <v>114.42327</v>
      </c>
      <c r="K18">
        <f>12.228951</f>
        <v>12.228951</v>
      </c>
      <c r="L18">
        <f>4937.9765</f>
        <v>4937.9764999999998</v>
      </c>
    </row>
    <row r="19" spans="1:12" x14ac:dyDescent="0.25">
      <c r="A19">
        <f>0.77</f>
        <v>0.77</v>
      </c>
      <c r="B19">
        <f>56.71300482</f>
        <v>56.713004820000002</v>
      </c>
      <c r="C19">
        <f>55.4152646</f>
        <v>55.4152646</v>
      </c>
      <c r="D19">
        <f>23.60239176</f>
        <v>23.60239176</v>
      </c>
      <c r="E19">
        <f>79.01765636</f>
        <v>79.017656360000004</v>
      </c>
      <c r="F19">
        <f>53.32667218</f>
        <v>53.326672180000003</v>
      </c>
      <c r="G19">
        <f>52.10642</f>
        <v>52.10642</v>
      </c>
      <c r="H19">
        <f>6.214363268</f>
        <v>6.2143632679999996</v>
      </c>
      <c r="I19">
        <f>58.32078327</f>
        <v>58.32078327</v>
      </c>
      <c r="J19">
        <f>110.10404</f>
        <v>110.10404</v>
      </c>
      <c r="K19">
        <f>12.723411</f>
        <v>12.723411</v>
      </c>
      <c r="L19">
        <f>4689.8699</f>
        <v>4689.8698999999997</v>
      </c>
    </row>
    <row r="20" spans="1:12" x14ac:dyDescent="0.25">
      <c r="A20">
        <f>0.78</f>
        <v>0.78</v>
      </c>
      <c r="B20">
        <f>57.44953735</f>
        <v>57.44953735</v>
      </c>
      <c r="C20">
        <f>56.20456857</f>
        <v>56.204568569999999</v>
      </c>
      <c r="D20">
        <f>23.42068356</f>
        <v>23.420683560000001</v>
      </c>
      <c r="E20">
        <f>79.62525213</f>
        <v>79.625252130000007</v>
      </c>
      <c r="F20">
        <f>54.01922636</f>
        <v>54.019226359999998</v>
      </c>
      <c r="G20">
        <f>52.84859465</f>
        <v>52.848594650000003</v>
      </c>
      <c r="H20">
        <f>6.229021989</f>
        <v>6.2290219889999996</v>
      </c>
      <c r="I20">
        <f>59.07761664</f>
        <v>59.077616640000002</v>
      </c>
      <c r="J20">
        <f>105.59342</f>
        <v>105.59341999999999</v>
      </c>
      <c r="K20">
        <f>13.262762</f>
        <v>13.262762</v>
      </c>
      <c r="L20">
        <f>4440.0773</f>
        <v>4440.0772999999999</v>
      </c>
    </row>
    <row r="21" spans="1:12" x14ac:dyDescent="0.25">
      <c r="A21">
        <f>0.79</f>
        <v>0.79</v>
      </c>
      <c r="B21">
        <f>58.18606988</f>
        <v>58.186069879999998</v>
      </c>
      <c r="C21">
        <f>56.99424175</f>
        <v>56.99424175</v>
      </c>
      <c r="D21">
        <f>23.23772561</f>
        <v>23.237725609999998</v>
      </c>
      <c r="E21">
        <f>80.23196735</f>
        <v>80.231967350000005</v>
      </c>
      <c r="F21">
        <f>54.71178055</f>
        <v>54.71178055</v>
      </c>
      <c r="G21">
        <f>53.59111645</f>
        <v>53.591116450000001</v>
      </c>
      <c r="H21">
        <f>6.246867475</f>
        <v>6.2468674750000002</v>
      </c>
      <c r="I21">
        <f>59.83798393</f>
        <v>59.83798393</v>
      </c>
      <c r="J21">
        <f>100.87339</f>
        <v>100.87339</v>
      </c>
      <c r="K21">
        <f>13.854155</f>
        <v>13.854155</v>
      </c>
      <c r="L21">
        <f>4187.9146</f>
        <v>4187.9146000000001</v>
      </c>
    </row>
    <row r="22" spans="1:12" x14ac:dyDescent="0.25">
      <c r="A22">
        <f>0.8</f>
        <v>0.8</v>
      </c>
      <c r="B22">
        <f>58.92260241</f>
        <v>58.922602410000003</v>
      </c>
      <c r="C22">
        <f>57.78436544</f>
        <v>57.784365440000002</v>
      </c>
      <c r="D22">
        <f>23.05324134</f>
        <v>23.05324134</v>
      </c>
      <c r="E22">
        <f>80.83760678</f>
        <v>80.837606780000002</v>
      </c>
      <c r="F22">
        <f>55.40433473</f>
        <v>55.404334730000002</v>
      </c>
      <c r="G22">
        <f>54.33406187</f>
        <v>54.334061869999999</v>
      </c>
      <c r="H22">
        <f>6.268356072</f>
        <v>6.2683560719999996</v>
      </c>
      <c r="I22">
        <f>60.60241795</f>
        <v>60.602417950000003</v>
      </c>
      <c r="J22">
        <f>95.934539</f>
        <v>95.934539000000001</v>
      </c>
      <c r="K22">
        <f>14.506491</f>
        <v>14.506491</v>
      </c>
      <c r="L22">
        <f>3933.0845</f>
        <v>3933.0844999999999</v>
      </c>
    </row>
    <row r="23" spans="1:12" x14ac:dyDescent="0.25">
      <c r="A23">
        <f>0.81</f>
        <v>0.81</v>
      </c>
      <c r="B23">
        <f>59.65913494</f>
        <v>59.659134940000001</v>
      </c>
      <c r="C23">
        <f>58.57505221</f>
        <v>58.575052210000003</v>
      </c>
      <c r="D23">
        <f>22.86684753</f>
        <v>22.866847530000001</v>
      </c>
      <c r="E23">
        <f>81.44189974</f>
        <v>81.441899739999997</v>
      </c>
      <c r="F23">
        <f>56.09688891</f>
        <v>56.096888909999997</v>
      </c>
      <c r="G23">
        <f>55.07753675</f>
        <v>55.07753675</v>
      </c>
      <c r="H23">
        <f>6.29405876</f>
        <v>6.2940587600000004</v>
      </c>
      <c r="I23">
        <f>61.37159551</f>
        <v>61.371595509999999</v>
      </c>
      <c r="J23">
        <f>90.758996</f>
        <v>90.758995999999996</v>
      </c>
      <c r="K23">
        <f>15.231201</f>
        <v>15.231201</v>
      </c>
      <c r="L23">
        <f>3674.9627</f>
        <v>3674.9627</v>
      </c>
    </row>
    <row r="24" spans="1:12" x14ac:dyDescent="0.25">
      <c r="A24">
        <f>0.82</f>
        <v>0.82</v>
      </c>
      <c r="B24">
        <f>60.39566747</f>
        <v>60.395667469999999</v>
      </c>
      <c r="C24">
        <f>59.36645943</f>
        <v>59.366459429999999</v>
      </c>
      <c r="D24">
        <f>22.67800789</f>
        <v>22.67800789</v>
      </c>
      <c r="E24">
        <f>82.04446731</f>
        <v>82.044467310000002</v>
      </c>
      <c r="F24">
        <f>56.7894431</f>
        <v>56.7894431</v>
      </c>
      <c r="G24">
        <f>55.82168905</f>
        <v>55.821689050000003</v>
      </c>
      <c r="H24">
        <f>6.324708853</f>
        <v>6.3247088529999997</v>
      </c>
      <c r="I24">
        <f>62.1463979</f>
        <v>62.146397899999997</v>
      </c>
      <c r="J24">
        <f>85.322195</f>
        <v>85.322194999999994</v>
      </c>
      <c r="K24">
        <f>16.043352</f>
        <v>16.043351999999999</v>
      </c>
      <c r="L24">
        <f>3412.6868</f>
        <v>3412.6867999999999</v>
      </c>
    </row>
    <row r="25" spans="1:12" x14ac:dyDescent="0.25">
      <c r="A25">
        <f>0.83</f>
        <v>0.83</v>
      </c>
      <c r="B25">
        <f>61.1322</f>
        <v>61.132199999999997</v>
      </c>
      <c r="C25">
        <f>60.15881635</f>
        <v>60.158816350000002</v>
      </c>
      <c r="D25">
        <f>22.4859405</f>
        <v>22.485940500000002</v>
      </c>
      <c r="E25">
        <f>82.64475684</f>
        <v>82.644756839999999</v>
      </c>
      <c r="F25">
        <f>57.48199728</f>
        <v>57.481997280000002</v>
      </c>
      <c r="G25">
        <f>56.56673435</f>
        <v>56.566734349999997</v>
      </c>
      <c r="H25">
        <f>6.361282523</f>
        <v>6.3612825229999999</v>
      </c>
      <c r="I25">
        <f>62.92801688</f>
        <v>62.928016880000001</v>
      </c>
      <c r="J25">
        <f>79.588973</f>
        <v>79.588972999999996</v>
      </c>
      <c r="K25">
        <f>16.963527</f>
        <v>16.963526999999999</v>
      </c>
      <c r="L25">
        <f>3145.0176</f>
        <v>3145.0176000000001</v>
      </c>
    </row>
    <row r="26" spans="1:12" x14ac:dyDescent="0.25">
      <c r="A26">
        <f>0.84</f>
        <v>0.84</v>
      </c>
      <c r="B26">
        <f>61.86873253</f>
        <v>61.868732530000003</v>
      </c>
      <c r="C26">
        <f>60.95247534</f>
        <v>60.952475339999999</v>
      </c>
      <c r="D26">
        <f>22.28944237</f>
        <v>22.28944237</v>
      </c>
      <c r="E26">
        <f>83.24191771</f>
        <v>83.241917709999996</v>
      </c>
      <c r="F26">
        <f>58.17455147</f>
        <v>58.174551469999997</v>
      </c>
      <c r="G26">
        <f>57.31300398</f>
        <v>57.313003979999998</v>
      </c>
      <c r="H26">
        <f>6.40514469</f>
        <v>6.4051446900000002</v>
      </c>
      <c r="I26">
        <f>63.71814867</f>
        <v>63.718148669999998</v>
      </c>
      <c r="J26">
        <f>73.50635</f>
        <v>73.506349999999998</v>
      </c>
      <c r="K26">
        <f>18.021255</f>
        <v>18.021255</v>
      </c>
      <c r="L26">
        <f>2870.0789</f>
        <v>2870.0789</v>
      </c>
    </row>
    <row r="27" spans="1:12" x14ac:dyDescent="0.25">
      <c r="A27">
        <f>0.85</f>
        <v>0.85</v>
      </c>
      <c r="B27">
        <f>62.60526506</f>
        <v>62.605265060000001</v>
      </c>
      <c r="C27">
        <f>61.74801949</f>
        <v>61.748019489999997</v>
      </c>
      <c r="D27">
        <f>22.08652438</f>
        <v>22.08652438</v>
      </c>
      <c r="E27">
        <f>83.83454387</f>
        <v>83.834543870000005</v>
      </c>
      <c r="F27">
        <f>58.86710565</f>
        <v>58.867105649999999</v>
      </c>
      <c r="G27">
        <f>58.0610462</f>
        <v>58.0610462</v>
      </c>
      <c r="H27">
        <f>6.458344737</f>
        <v>6.458344737</v>
      </c>
      <c r="I27">
        <f>64.51939094</f>
        <v>64.519390939999994</v>
      </c>
      <c r="J27">
        <f>66.988633</f>
        <v>66.988632999999993</v>
      </c>
      <c r="K27">
        <f>19.261929</f>
        <v>19.261928999999999</v>
      </c>
      <c r="L27">
        <f>2584.8209</f>
        <v>2584.8209000000002</v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F35" sqref="F35"/>
    </sheetView>
  </sheetViews>
  <sheetFormatPr defaultRowHeight="15" x14ac:dyDescent="0.25"/>
  <sheetData>
    <row r="1" spans="1:12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</row>
    <row r="2" spans="1:12" x14ac:dyDescent="0.25">
      <c r="A2">
        <f>0.6</f>
        <v>0.6</v>
      </c>
      <c r="B2">
        <f>44.71804647</f>
        <v>44.718046469999997</v>
      </c>
      <c r="C2">
        <f>42.50749851</f>
        <v>42.507498509999998</v>
      </c>
      <c r="D2">
        <f>25.57309242</f>
        <v>25.573092419999998</v>
      </c>
      <c r="E2">
        <f>68.08059093</f>
        <v>68.08059093</v>
      </c>
      <c r="F2">
        <f>42.04793261</f>
        <v>42.047932609999997</v>
      </c>
      <c r="G2">
        <f>39.96937643</f>
        <v>39.969376429999997</v>
      </c>
      <c r="H2">
        <f>5.888841645</f>
        <v>5.8888416450000003</v>
      </c>
      <c r="I2">
        <f>45.85821807</f>
        <v>45.858218069999999</v>
      </c>
      <c r="J2">
        <f>160.15425</f>
        <v>160.15424999999999</v>
      </c>
      <c r="K2">
        <f>7.5582277</f>
        <v>7.5582276999999998</v>
      </c>
      <c r="L2">
        <f>8754.5835</f>
        <v>8754.5835000000006</v>
      </c>
    </row>
    <row r="3" spans="1:12" x14ac:dyDescent="0.25">
      <c r="A3">
        <f>0.61</f>
        <v>0.61</v>
      </c>
      <c r="B3">
        <f>45.46334725</f>
        <v>45.463347249999998</v>
      </c>
      <c r="C3">
        <f>43.30409403</f>
        <v>43.304094030000002</v>
      </c>
      <c r="D3">
        <f>25.39630942</f>
        <v>25.396309420000001</v>
      </c>
      <c r="E3">
        <f>68.70040345</f>
        <v>68.700403449999996</v>
      </c>
      <c r="F3">
        <f>42.74873149</f>
        <v>42.748731489999997</v>
      </c>
      <c r="G3">
        <f>40.71840724</f>
        <v>40.718407239999998</v>
      </c>
      <c r="H3">
        <f>5.876462713</f>
        <v>5.8764627129999996</v>
      </c>
      <c r="I3">
        <f>46.59486996</f>
        <v>46.594869959999997</v>
      </c>
      <c r="J3">
        <f>158.41774</f>
        <v>158.41774000000001</v>
      </c>
      <c r="K3">
        <f>7.737786</f>
        <v>7.7377859999999998</v>
      </c>
      <c r="L3">
        <f>8517.6983</f>
        <v>8517.6983</v>
      </c>
    </row>
    <row r="4" spans="1:12" x14ac:dyDescent="0.25">
      <c r="A4">
        <f>0.62</f>
        <v>0.62</v>
      </c>
      <c r="B4">
        <f>46.20864802</f>
        <v>46.208648019999998</v>
      </c>
      <c r="C4">
        <f>44.10073399</f>
        <v>44.100733990000002</v>
      </c>
      <c r="D4">
        <f>25.21937737</f>
        <v>25.21937737</v>
      </c>
      <c r="E4">
        <f>69.32011136</f>
        <v>69.320111359999999</v>
      </c>
      <c r="F4">
        <f>43.44953036</f>
        <v>43.449530359999997</v>
      </c>
      <c r="G4">
        <f>41.46747984</f>
        <v>41.467479840000003</v>
      </c>
      <c r="H4">
        <f>5.864693956</f>
        <v>5.864693956</v>
      </c>
      <c r="I4">
        <f>47.3321738</f>
        <v>47.3321738</v>
      </c>
      <c r="J4">
        <f>156.53103</f>
        <v>156.53102999999999</v>
      </c>
      <c r="K4">
        <f>7.9262503</f>
        <v>7.9262503000000004</v>
      </c>
      <c r="L4">
        <f>8280.5089</f>
        <v>8280.5089000000007</v>
      </c>
    </row>
    <row r="5" spans="1:12" x14ac:dyDescent="0.25">
      <c r="A5">
        <f>0.63</f>
        <v>0.63</v>
      </c>
      <c r="B5">
        <f>46.9539488</f>
        <v>46.953948799999999</v>
      </c>
      <c r="C5">
        <f>44.89742251</f>
        <v>44.897422509999998</v>
      </c>
      <c r="D5">
        <f>25.04228238</f>
        <v>25.04228238</v>
      </c>
      <c r="E5">
        <f>69.93970489</f>
        <v>69.939704890000002</v>
      </c>
      <c r="F5">
        <f>44.15032924</f>
        <v>44.150329239999998</v>
      </c>
      <c r="G5">
        <f>42.2165981</f>
        <v>42.216598099999999</v>
      </c>
      <c r="H5">
        <f>5.85357759</f>
        <v>5.8535775900000004</v>
      </c>
      <c r="I5">
        <f>48.07017569</f>
        <v>48.070175689999999</v>
      </c>
      <c r="J5">
        <f>154.49333</f>
        <v>154.49332999999999</v>
      </c>
      <c r="K5">
        <f>8.1243163</f>
        <v>8.1243163000000003</v>
      </c>
      <c r="L5">
        <f>8042.9887</f>
        <v>8042.9886999999999</v>
      </c>
    </row>
    <row r="6" spans="1:12" x14ac:dyDescent="0.25">
      <c r="A6">
        <f>0.64</f>
        <v>0.64</v>
      </c>
      <c r="B6">
        <f>47.69924957</f>
        <v>47.699249569999999</v>
      </c>
      <c r="C6">
        <f>45.69416425</f>
        <v>45.69416425</v>
      </c>
      <c r="D6">
        <f>24.86500874</f>
        <v>24.86500874</v>
      </c>
      <c r="E6">
        <f>70.55917298</f>
        <v>70.55917298</v>
      </c>
      <c r="F6">
        <f>44.85112812</f>
        <v>44.851128119999998</v>
      </c>
      <c r="G6">
        <f>42.96576641</f>
        <v>42.965766410000001</v>
      </c>
      <c r="H6">
        <f>5.843159958</f>
        <v>5.8431599580000002</v>
      </c>
      <c r="I6">
        <f>48.80892636</f>
        <v>48.808926360000001</v>
      </c>
      <c r="J6">
        <f>152.30375</f>
        <v>152.30375000000001</v>
      </c>
      <c r="K6">
        <f>8.332756</f>
        <v>8.3327559999999998</v>
      </c>
      <c r="L6">
        <f>7805.1078</f>
        <v>7805.1077999999998</v>
      </c>
    </row>
    <row r="7" spans="1:12" x14ac:dyDescent="0.25">
      <c r="A7">
        <f>0.65</f>
        <v>0.65</v>
      </c>
      <c r="B7">
        <f>48.44455035</f>
        <v>48.44455035</v>
      </c>
      <c r="C7">
        <f>46.49096449</f>
        <v>46.490964490000003</v>
      </c>
      <c r="D7">
        <f>24.68753859</f>
        <v>24.687538589999999</v>
      </c>
      <c r="E7">
        <f>71.17850309</f>
        <v>71.178503090000007</v>
      </c>
      <c r="F7">
        <f>45.55192699</f>
        <v>45.551926989999998</v>
      </c>
      <c r="G7">
        <f>43.71498972</f>
        <v>43.714989719999998</v>
      </c>
      <c r="H7">
        <f>5.833492079</f>
        <v>5.833492079</v>
      </c>
      <c r="I7">
        <f>49.5484818</f>
        <v>49.548481799999998</v>
      </c>
      <c r="J7">
        <f>149.9613</f>
        <v>149.96129999999999</v>
      </c>
      <c r="K7">
        <f>8.552429</f>
        <v>8.5524290000000001</v>
      </c>
      <c r="L7">
        <f>7566.8325</f>
        <v>7566.8325000000004</v>
      </c>
    </row>
    <row r="8" spans="1:12" x14ac:dyDescent="0.25">
      <c r="A8">
        <f>0.66</f>
        <v>0.66</v>
      </c>
      <c r="B8">
        <f>49.18985112</f>
        <v>49.18985112</v>
      </c>
      <c r="C8">
        <f>47.28782928</f>
        <v>47.287829279999997</v>
      </c>
      <c r="D8">
        <f>24.50985158</f>
        <v>24.509851579999999</v>
      </c>
      <c r="E8">
        <f>71.79768086</f>
        <v>71.79768086</v>
      </c>
      <c r="F8">
        <f>46.25272587</f>
        <v>46.252725869999999</v>
      </c>
      <c r="G8">
        <f>44.46427372</f>
        <v>44.464273720000001</v>
      </c>
      <c r="H8">
        <f>5.824630279</f>
        <v>5.824630279</v>
      </c>
      <c r="I8">
        <f>50.288904</f>
        <v>50.288904000000002</v>
      </c>
      <c r="J8">
        <f>147.46484</f>
        <v>147.46484000000001</v>
      </c>
      <c r="K8">
        <f>8.784296</f>
        <v>8.7842959999999994</v>
      </c>
      <c r="L8">
        <f>7328.1244</f>
        <v>7328.1243999999997</v>
      </c>
    </row>
    <row r="9" spans="1:12" x14ac:dyDescent="0.25">
      <c r="A9">
        <f>0.67</f>
        <v>0.67</v>
      </c>
      <c r="B9">
        <f>49.93515189</f>
        <v>49.93515189</v>
      </c>
      <c r="C9">
        <f>48.08476552</f>
        <v>48.084765519999998</v>
      </c>
      <c r="D9">
        <f>24.33192435</f>
        <v>24.331924350000001</v>
      </c>
      <c r="E9">
        <f>72.41668987</f>
        <v>72.416689869999999</v>
      </c>
      <c r="F9">
        <f>46.95352475</f>
        <v>46.95352475</v>
      </c>
      <c r="G9">
        <f>45.21362491</f>
        <v>45.21362491</v>
      </c>
      <c r="H9">
        <f>5.816636943</f>
        <v>5.8166369429999998</v>
      </c>
      <c r="I9">
        <f>51.03026186</f>
        <v>51.030261860000003</v>
      </c>
      <c r="J9">
        <f>144.81309</f>
        <v>144.81308999999999</v>
      </c>
      <c r="K9">
        <f>9.0294344</f>
        <v>9.0294343999999995</v>
      </c>
      <c r="L9">
        <f>7088.9399</f>
        <v>7088.9399000000003</v>
      </c>
    </row>
    <row r="10" spans="1:12" x14ac:dyDescent="0.25">
      <c r="A10">
        <f>0.68</f>
        <v>0.68</v>
      </c>
      <c r="B10">
        <f>50.68045267</f>
        <v>50.680452670000001</v>
      </c>
      <c r="C10">
        <f>48.88178119</f>
        <v>48.881781189999998</v>
      </c>
      <c r="D10">
        <f>24.15372995</f>
        <v>24.153729949999999</v>
      </c>
      <c r="E10">
        <f>73.03551114</f>
        <v>73.035511139999997</v>
      </c>
      <c r="F10">
        <f>47.65432362</f>
        <v>47.65432362</v>
      </c>
      <c r="G10">
        <f>45.96305079</f>
        <v>45.963050789999997</v>
      </c>
      <c r="H10">
        <f>5.8095814</f>
        <v>5.8095813999999999</v>
      </c>
      <c r="I10">
        <f>51.77263219</f>
        <v>51.772632190000003</v>
      </c>
      <c r="J10">
        <f>142.00457</f>
        <v>142.00457</v>
      </c>
      <c r="K10">
        <f>9.2890577</f>
        <v>9.2890577000000008</v>
      </c>
      <c r="L10">
        <f>6849.2289</f>
        <v>6849.2289000000001</v>
      </c>
    </row>
    <row r="11" spans="1:12" x14ac:dyDescent="0.25">
      <c r="A11">
        <f>0.69</f>
        <v>0.69</v>
      </c>
      <c r="B11">
        <f>51.42575344</f>
        <v>51.425753440000001</v>
      </c>
      <c r="C11">
        <f>49.67888552</f>
        <v>49.678885520000001</v>
      </c>
      <c r="D11">
        <f>23.97523715</f>
        <v>23.975237150000002</v>
      </c>
      <c r="E11">
        <f>73.65412267</f>
        <v>73.654122670000007</v>
      </c>
      <c r="F11">
        <f>48.3551225</f>
        <v>48.3551225</v>
      </c>
      <c r="G11">
        <f>46.71256003</f>
        <v>46.712560029999999</v>
      </c>
      <c r="H11">
        <f>5.803540987</f>
        <v>5.8035409869999999</v>
      </c>
      <c r="I11">
        <f>52.51610102</f>
        <v>52.516101020000001</v>
      </c>
      <c r="J11">
        <f>139.03759</f>
        <v>139.03758999999999</v>
      </c>
      <c r="K11">
        <f>9.5645383</f>
        <v>9.5645383000000006</v>
      </c>
      <c r="L11">
        <f>6608.934</f>
        <v>6608.9340000000002</v>
      </c>
    </row>
    <row r="12" spans="1:12" x14ac:dyDescent="0.25">
      <c r="A12">
        <f>0.7</f>
        <v>0.7</v>
      </c>
      <c r="B12">
        <f>52.17105422</f>
        <v>52.171054220000002</v>
      </c>
      <c r="C12">
        <f>50.47608929</f>
        <v>50.476089289999997</v>
      </c>
      <c r="D12">
        <f>23.79640949</f>
        <v>23.796409489999998</v>
      </c>
      <c r="E12">
        <f>74.27249878</f>
        <v>74.272498780000006</v>
      </c>
      <c r="F12">
        <f>49.05592138</f>
        <v>49.055921380000001</v>
      </c>
      <c r="G12">
        <f>47.46216278</f>
        <v>47.46216278</v>
      </c>
      <c r="H12">
        <f>5.798602325</f>
        <v>5.7986023250000001</v>
      </c>
      <c r="I12">
        <f>53.26076511</f>
        <v>53.260765110000001</v>
      </c>
      <c r="J12">
        <f>135.91019</f>
        <v>135.91019</v>
      </c>
      <c r="K12">
        <f>9.8574362</f>
        <v>9.8574362000000004</v>
      </c>
      <c r="L12">
        <f>6367.9884</f>
        <v>6367.9884000000002</v>
      </c>
    </row>
    <row r="13" spans="1:12" x14ac:dyDescent="0.25">
      <c r="A13">
        <f>0.71</f>
        <v>0.71</v>
      </c>
      <c r="B13">
        <f>52.91635499</f>
        <v>52.916354990000002</v>
      </c>
      <c r="C13">
        <f>51.27340517</f>
        <v>51.273405169999997</v>
      </c>
      <c r="D13">
        <f>23.61720407</f>
        <v>23.61720407</v>
      </c>
      <c r="E13">
        <f>74.89060925</f>
        <v>74.890609249999997</v>
      </c>
      <c r="F13">
        <f>49.75672025</f>
        <v>49.756720250000001</v>
      </c>
      <c r="G13">
        <f>48.21187094</f>
        <v>48.211870939999997</v>
      </c>
      <c r="H13">
        <f>5.794862875</f>
        <v>5.7948628749999997</v>
      </c>
      <c r="I13">
        <f>54.00673382</f>
        <v>54.006733820000001</v>
      </c>
      <c r="J13">
        <f>132.62009</f>
        <v>132.62009</v>
      </c>
      <c r="K13">
        <f>10.169534</f>
        <v>10.169534000000001</v>
      </c>
      <c r="L13">
        <f>6126.314</f>
        <v>6126.3140000000003</v>
      </c>
    </row>
    <row r="14" spans="1:12" x14ac:dyDescent="0.25">
      <c r="A14">
        <f>0.72</f>
        <v>0.72</v>
      </c>
      <c r="B14">
        <f>53.66165577</f>
        <v>53.661655770000003</v>
      </c>
      <c r="C14">
        <f>52.07084816</f>
        <v>52.070848159999997</v>
      </c>
      <c r="D14">
        <f>23.43757012</f>
        <v>23.43757012</v>
      </c>
      <c r="E14">
        <f>75.50841828</f>
        <v>75.508418280000001</v>
      </c>
      <c r="F14">
        <f>50.45751913</f>
        <v>50.457519130000001</v>
      </c>
      <c r="G14">
        <f>48.96169862</f>
        <v>48.96169862</v>
      </c>
      <c r="H14">
        <f>5.792432844</f>
        <v>5.7924328440000004</v>
      </c>
      <c r="I14">
        <f>54.75413146</f>
        <v>54.754131460000004</v>
      </c>
      <c r="J14">
        <f>129.16461</f>
        <v>129.16461000000001</v>
      </c>
      <c r="K14">
        <f>10.502879</f>
        <v>10.502879</v>
      </c>
      <c r="L14">
        <f>5883.8193</f>
        <v>5883.8193000000001</v>
      </c>
    </row>
    <row r="15" spans="1:12" x14ac:dyDescent="0.25">
      <c r="A15">
        <f>0.73</f>
        <v>0.73</v>
      </c>
      <c r="B15">
        <f>54.40695654</f>
        <v>54.406956540000003</v>
      </c>
      <c r="C15">
        <f>52.86843615</f>
        <v>52.868436150000001</v>
      </c>
      <c r="D15">
        <f>23.25744692</f>
        <v>23.25744692</v>
      </c>
      <c r="E15">
        <f>76.12588307</f>
        <v>76.12588307</v>
      </c>
      <c r="F15">
        <f>51.15831801</f>
        <v>51.158318010000002</v>
      </c>
      <c r="G15">
        <f>49.71166264</f>
        <v>49.71166264</v>
      </c>
      <c r="H15">
        <f>5.791437556</f>
        <v>5.791437556</v>
      </c>
      <c r="I15">
        <f>55.5031002</f>
        <v>55.503100199999999</v>
      </c>
      <c r="J15">
        <f>125.54059</f>
        <v>125.54058999999999</v>
      </c>
      <c r="K15">
        <f>10.859842</f>
        <v>10.859842</v>
      </c>
      <c r="L15">
        <f>5640.3956</f>
        <v>5640.3955999999998</v>
      </c>
    </row>
    <row r="16" spans="1:12" x14ac:dyDescent="0.25">
      <c r="A16">
        <f>0.74</f>
        <v>0.74</v>
      </c>
      <c r="B16">
        <f>55.15225732</f>
        <v>55.152257319999997</v>
      </c>
      <c r="C16">
        <f>53.66619075</f>
        <v>53.666190749999998</v>
      </c>
      <c r="D16">
        <f>23.07676124</f>
        <v>23.07676124</v>
      </c>
      <c r="E16">
        <f>76.74295198</f>
        <v>76.742951980000001</v>
      </c>
      <c r="F16">
        <f>51.85911688</f>
        <v>51.859116880000002</v>
      </c>
      <c r="G16">
        <f>50.46178333</f>
        <v>50.461783330000003</v>
      </c>
      <c r="H16">
        <f>5.792020434</f>
        <v>5.7920204340000003</v>
      </c>
      <c r="I16">
        <f>56.25380376</f>
        <v>56.253803759999997</v>
      </c>
      <c r="J16">
        <f>121.74423</f>
        <v>121.74423</v>
      </c>
      <c r="K16">
        <f>11.243184</f>
        <v>11.243183999999999</v>
      </c>
      <c r="L16">
        <f>5395.913</f>
        <v>5395.9129999999996</v>
      </c>
    </row>
    <row r="17" spans="1:12" x14ac:dyDescent="0.25">
      <c r="A17">
        <f>0.75</f>
        <v>0.75</v>
      </c>
      <c r="B17">
        <f>55.89755809</f>
        <v>55.897558089999997</v>
      </c>
      <c r="C17">
        <f>54.46413827</f>
        <v>54.464138269999999</v>
      </c>
      <c r="D17">
        <f>22.89542371</f>
        <v>22.895423709999999</v>
      </c>
      <c r="E17">
        <f>77.35956198</f>
        <v>77.359561979999995</v>
      </c>
      <c r="F17">
        <f>52.55991576</f>
        <v>52.559915760000003</v>
      </c>
      <c r="G17">
        <f>51.21208542</f>
        <v>51.212085420000001</v>
      </c>
      <c r="H17">
        <f>5.794346808</f>
        <v>5.7943468080000002</v>
      </c>
      <c r="I17">
        <f>57.00643223</f>
        <v>57.006432230000001</v>
      </c>
      <c r="J17">
        <f>117.77097</f>
        <v>117.77097000000001</v>
      </c>
      <c r="K17">
        <f>11.656147</f>
        <v>11.656147000000001</v>
      </c>
      <c r="L17">
        <f>5150.2141</f>
        <v>5150.2141000000001</v>
      </c>
    </row>
    <row r="18" spans="1:12" x14ac:dyDescent="0.25">
      <c r="A18">
        <f>0.76</f>
        <v>0.76</v>
      </c>
      <c r="B18">
        <f>56.64285887</f>
        <v>56.642858869999998</v>
      </c>
      <c r="C18">
        <f>55.26231121</f>
        <v>55.26231121</v>
      </c>
      <c r="D18">
        <f>22.71332401</f>
        <v>22.713324010000001</v>
      </c>
      <c r="E18">
        <f>77.97563522</f>
        <v>77.975635220000001</v>
      </c>
      <c r="F18">
        <f>53.26071464</f>
        <v>53.260714640000003</v>
      </c>
      <c r="G18">
        <f>51.96259946</f>
        <v>51.96259946</v>
      </c>
      <c r="H18">
        <f>5.798608874</f>
        <v>5.7986088740000001</v>
      </c>
      <c r="I18">
        <f>57.76120834</f>
        <v>57.761208340000003</v>
      </c>
      <c r="J18">
        <f>113.61525</f>
        <v>113.61525</v>
      </c>
      <c r="K18">
        <f>12.10258</f>
        <v>12.10258</v>
      </c>
      <c r="L18">
        <f>4903.1064</f>
        <v>4903.1063999999997</v>
      </c>
    </row>
    <row r="19" spans="1:12" x14ac:dyDescent="0.25">
      <c r="A19">
        <f>0.77</f>
        <v>0.77</v>
      </c>
      <c r="B19">
        <f>57.38815964</f>
        <v>57.388159639999998</v>
      </c>
      <c r="C19">
        <f>56.06075022</f>
        <v>56.060750220000003</v>
      </c>
      <c r="D19">
        <f>22.53032397</f>
        <v>22.530323970000001</v>
      </c>
      <c r="E19">
        <f>78.59107418</f>
        <v>78.591074180000007</v>
      </c>
      <c r="F19">
        <f>53.96151351</f>
        <v>53.961513510000003</v>
      </c>
      <c r="G19">
        <f>52.71336369</f>
        <v>52.713363690000001</v>
      </c>
      <c r="H19">
        <f>5.805032259</f>
        <v>5.8050322589999999</v>
      </c>
      <c r="I19">
        <f>58.51839595</f>
        <v>58.518395949999999</v>
      </c>
      <c r="J19">
        <f>109.27016</f>
        <v>109.27016</v>
      </c>
      <c r="K19">
        <f>12.587093</f>
        <v>12.587092999999999</v>
      </c>
      <c r="L19">
        <f>4654.3511</f>
        <v>4654.3510999999999</v>
      </c>
    </row>
    <row r="20" spans="1:12" x14ac:dyDescent="0.25">
      <c r="A20">
        <f>0.78</f>
        <v>0.78</v>
      </c>
      <c r="B20">
        <f>58.13346041</f>
        <v>58.133460409999998</v>
      </c>
      <c r="C20">
        <f>56.85950508</f>
        <v>56.859505079999998</v>
      </c>
      <c r="D20">
        <f>22.34625428</f>
        <v>22.34625428</v>
      </c>
      <c r="E20">
        <f>79.20575937</f>
        <v>79.205759369999996</v>
      </c>
      <c r="F20">
        <f>54.66231239</f>
        <v>54.662312389999997</v>
      </c>
      <c r="G20">
        <f>53.46442491</f>
        <v>53.464424909999998</v>
      </c>
      <c r="H20">
        <f>5.813884594</f>
        <v>5.8138845940000001</v>
      </c>
      <c r="I20">
        <f>59.27830951</f>
        <v>59.27830951</v>
      </c>
      <c r="J20">
        <f>104.73074</f>
        <v>104.73074</v>
      </c>
      <c r="K20">
        <f>13.11527</f>
        <v>13.115270000000001</v>
      </c>
      <c r="L20">
        <f>4403.8027</f>
        <v>4403.8027000000002</v>
      </c>
    </row>
    <row r="21" spans="1:12" x14ac:dyDescent="0.25">
      <c r="A21">
        <f>0.79</f>
        <v>0.79</v>
      </c>
      <c r="B21">
        <f>58.87876119</f>
        <v>58.878761189999999</v>
      </c>
      <c r="C21">
        <f>57.65864662</f>
        <v>57.658646619999999</v>
      </c>
      <c r="D21">
        <f>22.16087378</f>
        <v>22.160873779999999</v>
      </c>
      <c r="E21">
        <f>79.8195204</f>
        <v>79.819520400000002</v>
      </c>
      <c r="F21">
        <f>55.36311127</f>
        <v>55.363111269999997</v>
      </c>
      <c r="G21">
        <f>54.21584972</f>
        <v>54.215849720000001</v>
      </c>
      <c r="H21">
        <f>5.825489331</f>
        <v>5.825489331</v>
      </c>
      <c r="I21">
        <f>60.04133905</f>
        <v>60.041339049999998</v>
      </c>
      <c r="J21">
        <f>99.978235</f>
        <v>99.978234999999998</v>
      </c>
      <c r="K21">
        <f>13.694054</f>
        <v>13.694054</v>
      </c>
      <c r="L21">
        <f>4150.7507</f>
        <v>4150.7506999999996</v>
      </c>
    </row>
    <row r="22" spans="1:12" x14ac:dyDescent="0.25">
      <c r="A22">
        <f>0.8</f>
        <v>0.8</v>
      </c>
      <c r="B22">
        <f>59.62406196</f>
        <v>59.624061959999999</v>
      </c>
      <c r="C22">
        <f>58.45826191</f>
        <v>58.458261909999997</v>
      </c>
      <c r="D22">
        <f>21.97388589</f>
        <v>21.973885889999998</v>
      </c>
      <c r="E22">
        <f>80.4321478</f>
        <v>80.432147799999996</v>
      </c>
      <c r="F22">
        <f>56.06391014</f>
        <v>56.063910139999997</v>
      </c>
      <c r="G22">
        <f>54.96772</f>
        <v>54.96772</v>
      </c>
      <c r="H22">
        <f>5.840241969</f>
        <v>5.840241969</v>
      </c>
      <c r="I22">
        <f>60.80796197</f>
        <v>60.807961970000001</v>
      </c>
      <c r="J22">
        <f>95.002058</f>
        <v>95.002058000000005</v>
      </c>
      <c r="K22">
        <f>14.332102</f>
        <v>14.332102000000001</v>
      </c>
      <c r="L22">
        <f>3894.855</f>
        <v>3894.855</v>
      </c>
    </row>
    <row r="23" spans="1:12" x14ac:dyDescent="0.25">
      <c r="A23">
        <f>0.81</f>
        <v>0.81</v>
      </c>
      <c r="B23">
        <f>60.36936274</f>
        <v>60.36936274</v>
      </c>
      <c r="C23">
        <f>59.25847222</f>
        <v>59.258472220000002</v>
      </c>
      <c r="D23">
        <f>21.78487721</f>
        <v>21.784877210000001</v>
      </c>
      <c r="E23">
        <f>81.04334943</f>
        <v>81.043349430000006</v>
      </c>
      <c r="F23">
        <f>56.76470902</f>
        <v>56.764709019999998</v>
      </c>
      <c r="G23">
        <f>55.72014976</f>
        <v>55.720149759999998</v>
      </c>
      <c r="H23">
        <f>5.858638462</f>
        <v>5.858638462</v>
      </c>
      <c r="I23">
        <f>61.57878822</f>
        <v>61.57878822</v>
      </c>
      <c r="J23">
        <f>89.782684</f>
        <v>89.782684000000003</v>
      </c>
      <c r="K23">
        <f>15.040566</f>
        <v>15.040566</v>
      </c>
      <c r="L23">
        <f>3635.4305</f>
        <v>3635.4304999999999</v>
      </c>
    </row>
    <row r="24" spans="1:12" x14ac:dyDescent="0.25">
      <c r="A24">
        <f>0.82</f>
        <v>0.82</v>
      </c>
      <c r="B24">
        <f>61.11466351</f>
        <v>61.11466351</v>
      </c>
      <c r="C24">
        <f>60.05944865</f>
        <v>60.05944865</v>
      </c>
      <c r="D24">
        <f>21.59326394</f>
        <v>21.59326394</v>
      </c>
      <c r="E24">
        <f>81.65271259</f>
        <v>81.652712589999993</v>
      </c>
      <c r="F24">
        <f>57.4655079</f>
        <v>57.465507899999999</v>
      </c>
      <c r="G24">
        <f>56.4732999</f>
        <v>56.473299900000001</v>
      </c>
      <c r="H24">
        <f>5.881318313</f>
        <v>5.8813183130000004</v>
      </c>
      <c r="I24">
        <f>62.35461821</f>
        <v>62.354618209999998</v>
      </c>
      <c r="J24">
        <f>84.292983</f>
        <v>84.292983000000007</v>
      </c>
      <c r="K24">
        <f>15.834202</f>
        <v>15.834201999999999</v>
      </c>
      <c r="L24">
        <f>3371.5208</f>
        <v>3371.5207999999998</v>
      </c>
    </row>
    <row r="25" spans="1:12" x14ac:dyDescent="0.25">
      <c r="A25">
        <f>0.83</f>
        <v>0.83</v>
      </c>
      <c r="B25">
        <f>61.85996429</f>
        <v>61.859964290000001</v>
      </c>
      <c r="C25">
        <f>60.86144348</f>
        <v>60.861443479999998</v>
      </c>
      <c r="D25">
        <f>21.39818465</f>
        <v>21.398184650000001</v>
      </c>
      <c r="E25">
        <f>82.25962813</f>
        <v>82.259628129999996</v>
      </c>
      <c r="F25">
        <f>58.16630677</f>
        <v>58.166306769999998</v>
      </c>
      <c r="G25">
        <f>57.22740763</f>
        <v>57.227407630000002</v>
      </c>
      <c r="H25">
        <f>5.909138212</f>
        <v>5.9091382120000002</v>
      </c>
      <c r="I25">
        <f>63.13654584</f>
        <v>63.136545839999997</v>
      </c>
      <c r="J25">
        <f>78.493624</f>
        <v>78.493623999999997</v>
      </c>
      <c r="K25">
        <f>16.733309</f>
        <v>16.733308999999998</v>
      </c>
      <c r="L25">
        <f>3101.7341</f>
        <v>3101.7341000000001</v>
      </c>
    </row>
    <row r="26" spans="1:12" x14ac:dyDescent="0.25">
      <c r="A26">
        <f>0.84</f>
        <v>0.84</v>
      </c>
      <c r="B26">
        <f>62.60526506</f>
        <v>62.605265060000001</v>
      </c>
      <c r="C26">
        <f>61.66485092</f>
        <v>61.664850919999999</v>
      </c>
      <c r="D26">
        <f>21.198292</f>
        <v>21.198291999999999</v>
      </c>
      <c r="E26">
        <f>82.86314292</f>
        <v>82.863142920000001</v>
      </c>
      <c r="F26">
        <f>58.86710565</f>
        <v>58.867105649999999</v>
      </c>
      <c r="G26">
        <f>57.98284362</f>
        <v>57.982843619999997</v>
      </c>
      <c r="H26">
        <f>5.943308372</f>
        <v>5.9433083719999997</v>
      </c>
      <c r="I26">
        <f>63.92615199</f>
        <v>63.926151990000001</v>
      </c>
      <c r="J26">
        <f>72.324306</f>
        <v>72.324306000000007</v>
      </c>
      <c r="K26">
        <f>17.767321</f>
        <v>17.767320999999999</v>
      </c>
      <c r="L26">
        <f>2823.9257</f>
        <v>2823.9256999999998</v>
      </c>
    </row>
    <row r="27" spans="1:12" x14ac:dyDescent="0.25">
      <c r="A27">
        <f>0.85</f>
        <v>0.85</v>
      </c>
      <c r="B27">
        <f>63.35056584</f>
        <v>63.350565840000002</v>
      </c>
      <c r="C27">
        <f>62.47033923</f>
        <v>62.47033923</v>
      </c>
      <c r="D27">
        <f>20.99130294</f>
        <v>20.991302940000001</v>
      </c>
      <c r="E27">
        <f>83.46164217</f>
        <v>83.461642170000005</v>
      </c>
      <c r="F27">
        <f>59.56790453</f>
        <v>59.56790453</v>
      </c>
      <c r="G27">
        <f>58.74023624</f>
        <v>58.740236240000002</v>
      </c>
      <c r="H27">
        <f>5.985677676</f>
        <v>5.9856776759999999</v>
      </c>
      <c r="I27">
        <f>64.72591392</f>
        <v>64.725913919999996</v>
      </c>
      <c r="J27">
        <f>65.685046</f>
        <v>65.685046</v>
      </c>
      <c r="K27">
        <f>18.982313</f>
        <v>18.982313000000001</v>
      </c>
      <c r="L27">
        <f>2534.5208</f>
        <v>2534.5207999999998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F32" sqref="F32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0.7'!$D2</f>
        <v>41.099705139999998</v>
      </c>
      <c r="C2" s="15">
        <f>(B2+D2)/2</f>
        <v>40.064638189999997</v>
      </c>
      <c r="D2" s="15">
        <f>'FU 0.72'!$D2</f>
        <v>39.029571240000003</v>
      </c>
      <c r="E2" s="15">
        <f>'FU 0.73'!$D2</f>
        <v>37.994499070000003</v>
      </c>
      <c r="F2" s="15">
        <f>'FU 0.74'!$D2</f>
        <v>36.959422539999998</v>
      </c>
      <c r="G2" s="15">
        <f>'FU 0.75'!$D2</f>
        <v>35.924341009999999</v>
      </c>
      <c r="H2" s="15">
        <f>'FU 0.76'!$D2</f>
        <v>34.88925382</v>
      </c>
      <c r="I2" s="15">
        <f>'FU 0.77'!$D2</f>
        <v>33.854160299999997</v>
      </c>
      <c r="J2" s="15">
        <f>'FU 0.78'!$D2</f>
        <v>32.819059760000002</v>
      </c>
      <c r="K2" s="15">
        <f>'FU 0.79'!$D2</f>
        <v>31.783951479999999</v>
      </c>
      <c r="L2" s="15">
        <f>'FU 0.8'!$D2</f>
        <v>30.748834710000001</v>
      </c>
      <c r="M2" s="15">
        <f>'FU 0.81'!$D2</f>
        <v>29.713708619999998</v>
      </c>
      <c r="N2" s="15">
        <f>'FU 0.82'!$D2</f>
        <v>28.67857236</v>
      </c>
      <c r="O2" s="15">
        <f>'FU 0.83'!$D2</f>
        <v>27.643424960000001</v>
      </c>
      <c r="P2" s="15">
        <f>'FU 0.84'!$D2</f>
        <v>26.608265370000002</v>
      </c>
      <c r="Q2" s="15">
        <f>'FU 0.85'!$D2</f>
        <v>25.573092419999998</v>
      </c>
    </row>
    <row r="3" spans="1:17" x14ac:dyDescent="0.25">
      <c r="A3">
        <f>'FU 0.7'!A3</f>
        <v>0.61</v>
      </c>
      <c r="B3" s="15">
        <f>'FU 0.7'!$D3</f>
        <v>40.954386669999998</v>
      </c>
      <c r="C3" s="15">
        <f t="shared" ref="C3:C27" si="0">(B3+D3)/2</f>
        <v>39.917225195</v>
      </c>
      <c r="D3" s="15">
        <f>'FU 0.72'!$D3</f>
        <v>38.880063720000003</v>
      </c>
      <c r="E3" s="15">
        <f>'FU 0.73'!$D3</f>
        <v>37.842896580000001</v>
      </c>
      <c r="F3" s="15">
        <f>'FU 0.74'!$D3</f>
        <v>36.805724750000003</v>
      </c>
      <c r="G3" s="15">
        <f>'FU 0.75'!$D3</f>
        <v>35.768547519999998</v>
      </c>
      <c r="H3" s="15">
        <f>'FU 0.76'!$D3</f>
        <v>34.731364200000002</v>
      </c>
      <c r="I3" s="15">
        <f>'FU 0.77'!$D3</f>
        <v>33.694174070000003</v>
      </c>
      <c r="J3" s="15">
        <f>'FU 0.78'!$D3</f>
        <v>32.656976389999997</v>
      </c>
      <c r="K3" s="15">
        <f>'FU 0.79'!$D3</f>
        <v>31.619770389999999</v>
      </c>
      <c r="L3" s="15">
        <f>'FU 0.8'!$D3</f>
        <v>30.58255527</v>
      </c>
      <c r="M3" s="15">
        <f>'FU 0.81'!$D3</f>
        <v>29.545330140000001</v>
      </c>
      <c r="N3" s="15">
        <f>'FU 0.82'!$D3</f>
        <v>28.508094069999999</v>
      </c>
      <c r="O3" s="15">
        <f>'FU 0.83'!$D3</f>
        <v>27.470846040000001</v>
      </c>
      <c r="P3" s="15">
        <f>'FU 0.84'!$D3</f>
        <v>26.43358491</v>
      </c>
      <c r="Q3" s="15">
        <f>'FU 0.85'!$D3</f>
        <v>25.396309420000001</v>
      </c>
    </row>
    <row r="4" spans="1:17" x14ac:dyDescent="0.25">
      <c r="A4">
        <f>'FU 0.7'!A4</f>
        <v>0.62</v>
      </c>
      <c r="B4" s="15">
        <f>'FU 0.7'!$D4</f>
        <v>40.808968069999999</v>
      </c>
      <c r="C4" s="15">
        <f t="shared" si="0"/>
        <v>39.769709159999998</v>
      </c>
      <c r="D4" s="15">
        <f>'FU 0.72'!$D4</f>
        <v>38.730450249999997</v>
      </c>
      <c r="E4" s="15">
        <f>'FU 0.73'!$D4</f>
        <v>37.6911852</v>
      </c>
      <c r="F4" s="15">
        <f>'FU 0.74'!$D4</f>
        <v>36.65191506</v>
      </c>
      <c r="G4" s="15">
        <f>'FU 0.75'!$D4</f>
        <v>35.612639090000002</v>
      </c>
      <c r="H4" s="15">
        <f>'FU 0.76'!$D4</f>
        <v>34.57335655</v>
      </c>
      <c r="I4" s="15">
        <f>'FU 0.77'!$D4</f>
        <v>33.534066660000001</v>
      </c>
      <c r="J4" s="15">
        <f>'FU 0.78'!$D4</f>
        <v>32.494768639999997</v>
      </c>
      <c r="K4" s="15">
        <f>'FU 0.79'!$D4</f>
        <v>31.45546165</v>
      </c>
      <c r="L4" s="15">
        <f>'FU 0.8'!$D4</f>
        <v>30.41614483</v>
      </c>
      <c r="M4" s="15">
        <f>'FU 0.81'!$D4</f>
        <v>29.376817240000001</v>
      </c>
      <c r="N4" s="15">
        <f>'FU 0.82'!$D4</f>
        <v>28.33747786</v>
      </c>
      <c r="O4" s="15">
        <f>'FU 0.83'!$D4</f>
        <v>27.298125599999999</v>
      </c>
      <c r="P4" s="15">
        <f>'FU 0.84'!$D4</f>
        <v>26.258759229999999</v>
      </c>
      <c r="Q4" s="15">
        <f>'FU 0.85'!$D4</f>
        <v>25.21937737</v>
      </c>
    </row>
    <row r="5" spans="1:17" x14ac:dyDescent="0.25">
      <c r="A5">
        <f>'FU 0.7'!A5</f>
        <v>0.63</v>
      </c>
      <c r="B5" s="15">
        <f>'FU 0.7'!$D5</f>
        <v>40.663440680000001</v>
      </c>
      <c r="C5" s="15">
        <f t="shared" si="0"/>
        <v>39.622081135000002</v>
      </c>
      <c r="D5" s="15">
        <f>'FU 0.72'!$D5</f>
        <v>38.580721590000003</v>
      </c>
      <c r="E5" s="15">
        <f>'FU 0.73'!$D5</f>
        <v>37.539355350000001</v>
      </c>
      <c r="F5" s="15">
        <f>'FU 0.74'!$D5</f>
        <v>36.497983599999998</v>
      </c>
      <c r="G5" s="15">
        <f>'FU 0.75'!$D5</f>
        <v>35.456605539999998</v>
      </c>
      <c r="H5" s="15">
        <f>'FU 0.76'!$D5</f>
        <v>34.415220359999999</v>
      </c>
      <c r="I5" s="15">
        <f>'FU 0.77'!$D5</f>
        <v>33.373827230000003</v>
      </c>
      <c r="J5" s="15">
        <f>'FU 0.78'!$D5</f>
        <v>32.332425319999999</v>
      </c>
      <c r="K5" s="15">
        <f>'FU 0.79'!$D5</f>
        <v>31.29101373</v>
      </c>
      <c r="L5" s="15">
        <f>'FU 0.8'!$D5</f>
        <v>30.249591519999999</v>
      </c>
      <c r="M5" s="15">
        <f>'FU 0.81'!$D5</f>
        <v>29.208157669999999</v>
      </c>
      <c r="N5" s="15">
        <f>'FU 0.82'!$D5</f>
        <v>28.16671109</v>
      </c>
      <c r="O5" s="15">
        <f>'FU 0.83'!$D5</f>
        <v>27.125250600000001</v>
      </c>
      <c r="P5" s="15">
        <f>'FU 0.84'!$D5</f>
        <v>26.083774859999998</v>
      </c>
      <c r="Q5" s="15">
        <f>'FU 0.85'!$D5</f>
        <v>25.04228238</v>
      </c>
    </row>
    <row r="6" spans="1:17" x14ac:dyDescent="0.25">
      <c r="A6">
        <f>'FU 0.7'!A6</f>
        <v>0.64</v>
      </c>
      <c r="B6" s="15">
        <f>'FU 0.7'!$D6</f>
        <v>40.51779475</v>
      </c>
      <c r="C6" s="15">
        <f t="shared" si="0"/>
        <v>39.474331030000002</v>
      </c>
      <c r="D6" s="15">
        <f>'FU 0.72'!$D6</f>
        <v>38.430867309999996</v>
      </c>
      <c r="E6" s="15">
        <f>'FU 0.73'!$D6</f>
        <v>37.387396299999999</v>
      </c>
      <c r="F6" s="15">
        <f>'FU 0.74'!$D6</f>
        <v>36.343919280000001</v>
      </c>
      <c r="G6" s="15">
        <f>'FU 0.75'!$D6</f>
        <v>35.300435399999998</v>
      </c>
      <c r="H6" s="15">
        <f>'FU 0.76'!$D6</f>
        <v>34.256943810000003</v>
      </c>
      <c r="I6" s="15">
        <f>'FU 0.77'!$D6</f>
        <v>33.213443599999998</v>
      </c>
      <c r="J6" s="15">
        <f>'FU 0.78'!$D6</f>
        <v>32.169933870000001</v>
      </c>
      <c r="K6" s="15">
        <f>'FU 0.79'!$D6</f>
        <v>31.12641365</v>
      </c>
      <c r="L6" s="15">
        <f>'FU 0.8'!$D6</f>
        <v>30.082881919999998</v>
      </c>
      <c r="M6" s="15">
        <f>'FU 0.81'!$D6</f>
        <v>29.0393376</v>
      </c>
      <c r="N6" s="15">
        <f>'FU 0.82'!$D6</f>
        <v>27.99577949</v>
      </c>
      <c r="O6" s="15">
        <f>'FU 0.83'!$D6</f>
        <v>26.9522063</v>
      </c>
      <c r="P6" s="15">
        <f>'FU 0.84'!$D6</f>
        <v>25.908616590000001</v>
      </c>
      <c r="Q6" s="15">
        <f>'FU 0.85'!$D6</f>
        <v>24.86500874</v>
      </c>
    </row>
    <row r="7" spans="1:17" x14ac:dyDescent="0.25">
      <c r="A7">
        <f>'FU 0.7'!A7</f>
        <v>0.65</v>
      </c>
      <c r="B7" s="15">
        <f>'FU 0.7'!$D7</f>
        <v>40.372019340000001</v>
      </c>
      <c r="C7" s="15">
        <f t="shared" si="0"/>
        <v>39.326447529999996</v>
      </c>
      <c r="D7" s="15">
        <f>'FU 0.72'!$D7</f>
        <v>38.280875719999997</v>
      </c>
      <c r="E7" s="15">
        <f>'FU 0.73'!$D7</f>
        <v>37.235295929999999</v>
      </c>
      <c r="F7" s="15">
        <f>'FU 0.74'!$D7</f>
        <v>36.18970959</v>
      </c>
      <c r="G7" s="15">
        <f>'FU 0.75'!$D7</f>
        <v>35.144115769999999</v>
      </c>
      <c r="H7" s="15">
        <f>'FU 0.76'!$D7</f>
        <v>34.09851355</v>
      </c>
      <c r="I7" s="15">
        <f>'FU 0.77'!$D7</f>
        <v>33.052901980000001</v>
      </c>
      <c r="J7" s="15">
        <f>'FU 0.78'!$D7</f>
        <v>32.007280039999998</v>
      </c>
      <c r="K7" s="15">
        <f>'FU 0.79'!$D7</f>
        <v>30.961646720000001</v>
      </c>
      <c r="L7" s="15">
        <f>'FU 0.8'!$D7</f>
        <v>29.916000889999999</v>
      </c>
      <c r="M7" s="15">
        <f>'FU 0.81'!$D7</f>
        <v>28.870341379999999</v>
      </c>
      <c r="N7" s="15">
        <f>'FU 0.82'!$D7</f>
        <v>27.82466689</v>
      </c>
      <c r="O7" s="15">
        <f>'FU 0.83'!$D7</f>
        <v>26.778976010000001</v>
      </c>
      <c r="P7" s="15">
        <f>'FU 0.84'!$D7</f>
        <v>25.733267170000001</v>
      </c>
      <c r="Q7" s="15">
        <f>'FU 0.85'!$D7</f>
        <v>24.687538589999999</v>
      </c>
    </row>
    <row r="8" spans="1:17" x14ac:dyDescent="0.25">
      <c r="A8">
        <f>'FU 0.7'!A8</f>
        <v>0.66</v>
      </c>
      <c r="B8" s="15">
        <f>'FU 0.7'!$D8</f>
        <v>40.226102070000003</v>
      </c>
      <c r="C8" s="15">
        <f t="shared" si="0"/>
        <v>39.178417815000003</v>
      </c>
      <c r="D8" s="15">
        <f>'FU 0.72'!$D8</f>
        <v>38.130733560000003</v>
      </c>
      <c r="E8" s="15">
        <f>'FU 0.73'!$D8</f>
        <v>37.083040539999999</v>
      </c>
      <c r="F8" s="15">
        <f>'FU 0.74'!$D8</f>
        <v>36.035340349999998</v>
      </c>
      <c r="G8" s="15">
        <f>'FU 0.75'!$D8</f>
        <v>34.987631999999998</v>
      </c>
      <c r="H8" s="15">
        <f>'FU 0.76'!$D8</f>
        <v>33.939914469999998</v>
      </c>
      <c r="I8" s="15">
        <f>'FU 0.77'!$D8</f>
        <v>32.89218674</v>
      </c>
      <c r="J8" s="15">
        <f>'FU 0.78'!$D8</f>
        <v>31.844447710000001</v>
      </c>
      <c r="K8" s="15">
        <f>'FU 0.79'!$D8</f>
        <v>30.796696260000001</v>
      </c>
      <c r="L8" s="15">
        <f>'FU 0.8'!$D8</f>
        <v>29.74893119</v>
      </c>
      <c r="M8" s="15">
        <f>'FU 0.81'!$D8</f>
        <v>28.701151200000002</v>
      </c>
      <c r="N8" s="15">
        <f>'FU 0.82'!$D8</f>
        <v>27.653354889999999</v>
      </c>
      <c r="O8" s="15">
        <f>'FU 0.83'!$D8</f>
        <v>26.605540699999999</v>
      </c>
      <c r="P8" s="15">
        <f>'FU 0.84'!$D8</f>
        <v>25.55770691</v>
      </c>
      <c r="Q8" s="15">
        <f>'FU 0.85'!$D8</f>
        <v>24.509851579999999</v>
      </c>
    </row>
    <row r="9" spans="1:17" x14ac:dyDescent="0.25">
      <c r="A9">
        <f>'FU 0.7'!A9</f>
        <v>0.67</v>
      </c>
      <c r="B9" s="15">
        <f>'FU 0.7'!$D9</f>
        <v>40.080028929999997</v>
      </c>
      <c r="C9" s="15">
        <f t="shared" si="0"/>
        <v>39.030227359999998</v>
      </c>
      <c r="D9" s="15">
        <f>'FU 0.72'!$D9</f>
        <v>37.980425789999998</v>
      </c>
      <c r="E9" s="15">
        <f>'FU 0.73'!$D9</f>
        <v>36.930614570000003</v>
      </c>
      <c r="F9" s="15">
        <f>'FU 0.74'!$D9</f>
        <v>35.880795480000003</v>
      </c>
      <c r="G9" s="15">
        <f>'FU 0.75'!$D9</f>
        <v>34.830967440000002</v>
      </c>
      <c r="H9" s="15">
        <f>'FU 0.76'!$D9</f>
        <v>33.78112935</v>
      </c>
      <c r="I9" s="15">
        <f>'FU 0.77'!$D9</f>
        <v>32.731280079999998</v>
      </c>
      <c r="J9" s="15">
        <f>'FU 0.78'!$D9</f>
        <v>31.68141846</v>
      </c>
      <c r="K9" s="15">
        <f>'FU 0.79'!$D9</f>
        <v>30.63154325</v>
      </c>
      <c r="L9" s="15">
        <f>'FU 0.8'!$D9</f>
        <v>29.58165314</v>
      </c>
      <c r="M9" s="15">
        <f>'FU 0.81'!$D9</f>
        <v>28.53174671</v>
      </c>
      <c r="N9" s="15">
        <f>'FU 0.82'!$D9</f>
        <v>27.481822430000001</v>
      </c>
      <c r="O9" s="15">
        <f>'FU 0.83'!$D9</f>
        <v>26.431878579999999</v>
      </c>
      <c r="P9" s="15">
        <f>'FU 0.84'!$D9</f>
        <v>25.381913269999998</v>
      </c>
      <c r="Q9" s="15">
        <f>'FU 0.85'!$D9</f>
        <v>24.331924350000001</v>
      </c>
    </row>
    <row r="10" spans="1:17" x14ac:dyDescent="0.25">
      <c r="A10">
        <f>'FU 0.7'!A10</f>
        <v>0.68</v>
      </c>
      <c r="B10" s="15">
        <f>'FU 0.7'!$D10</f>
        <v>39.933783920000003</v>
      </c>
      <c r="C10" s="15">
        <f t="shared" si="0"/>
        <v>38.881859585000001</v>
      </c>
      <c r="D10" s="15">
        <f>'FU 0.72'!$D10</f>
        <v>37.829935249999998</v>
      </c>
      <c r="E10" s="15">
        <f>'FU 0.73'!$D10</f>
        <v>36.778000249999998</v>
      </c>
      <c r="F10" s="15">
        <f>'FU 0.74'!$D10</f>
        <v>35.726056569999997</v>
      </c>
      <c r="G10" s="15">
        <f>'FU 0.75'!$D10</f>
        <v>34.674103039999999</v>
      </c>
      <c r="H10" s="15">
        <f>'FU 0.76'!$D10</f>
        <v>33.622138470000003</v>
      </c>
      <c r="I10" s="15">
        <f>'FU 0.77'!$D10</f>
        <v>32.57016161</v>
      </c>
      <c r="J10" s="15">
        <f>'FU 0.78'!$D10</f>
        <v>31.518171200000001</v>
      </c>
      <c r="K10" s="15">
        <f>'FU 0.79'!$D10</f>
        <v>30.46616586</v>
      </c>
      <c r="L10" s="15">
        <f>'FU 0.8'!$D10</f>
        <v>29.414144159999999</v>
      </c>
      <c r="M10" s="15">
        <f>'FU 0.81'!$D10</f>
        <v>28.362104550000002</v>
      </c>
      <c r="N10" s="15">
        <f>'FU 0.82'!$D10</f>
        <v>27.31004532</v>
      </c>
      <c r="O10" s="15">
        <f>'FU 0.83'!$D10</f>
        <v>26.25796459</v>
      </c>
      <c r="P10" s="15">
        <f>'FU 0.84'!$D10</f>
        <v>25.205860260000001</v>
      </c>
      <c r="Q10" s="15">
        <f>'FU 0.85'!$D10</f>
        <v>24.153729949999999</v>
      </c>
    </row>
    <row r="11" spans="1:17" x14ac:dyDescent="0.25">
      <c r="A11">
        <f>'FU 0.7'!A11</f>
        <v>0.69</v>
      </c>
      <c r="B11" s="15">
        <f>'FU 0.7'!$D11</f>
        <v>39.787348729999998</v>
      </c>
      <c r="C11" s="15">
        <f t="shared" si="0"/>
        <v>38.733295490000003</v>
      </c>
      <c r="D11" s="15">
        <f>'FU 0.72'!$D11</f>
        <v>37.679242250000001</v>
      </c>
      <c r="E11" s="15">
        <f>'FU 0.73'!$D11</f>
        <v>36.625177170000001</v>
      </c>
      <c r="F11" s="15">
        <f>'FU 0.74'!$D11</f>
        <v>35.571102500000002</v>
      </c>
      <c r="G11" s="15">
        <f>'FU 0.75'!$D11</f>
        <v>34.517016939999998</v>
      </c>
      <c r="H11" s="15">
        <f>'FU 0.76'!$D11</f>
        <v>33.462919190000001</v>
      </c>
      <c r="I11" s="15">
        <f>'FU 0.77'!$D11</f>
        <v>32.408807889999999</v>
      </c>
      <c r="J11" s="15">
        <f>'FU 0.78'!$D11</f>
        <v>31.354681639999999</v>
      </c>
      <c r="K11" s="15">
        <f>'FU 0.79'!$D11</f>
        <v>30.30053895</v>
      </c>
      <c r="L11" s="15">
        <f>'FU 0.8'!$D11</f>
        <v>29.24637821</v>
      </c>
      <c r="M11" s="15">
        <f>'FU 0.81'!$D11</f>
        <v>28.192197719999999</v>
      </c>
      <c r="N11" s="15">
        <f>'FU 0.82'!$D11</f>
        <v>27.137995579999998</v>
      </c>
      <c r="O11" s="15">
        <f>'FU 0.83'!$D11</f>
        <v>26.083769719999999</v>
      </c>
      <c r="P11" s="15">
        <f>'FU 0.84'!$D11</f>
        <v>25.02951779</v>
      </c>
      <c r="Q11" s="15">
        <f>'FU 0.85'!$D11</f>
        <v>23.975237150000002</v>
      </c>
    </row>
    <row r="12" spans="1:17" x14ac:dyDescent="0.25">
      <c r="A12">
        <f>'FU 0.7'!A12</f>
        <v>0.7</v>
      </c>
      <c r="B12" s="15">
        <f>'FU 0.7'!$D12</f>
        <v>39.640702310000002</v>
      </c>
      <c r="C12" s="15">
        <f t="shared" si="0"/>
        <v>38.584513209999997</v>
      </c>
      <c r="D12" s="15">
        <f>'FU 0.72'!$D12</f>
        <v>37.52832411</v>
      </c>
      <c r="E12" s="15">
        <f>'FU 0.73'!$D12</f>
        <v>36.472121819999998</v>
      </c>
      <c r="F12" s="15">
        <f>'FU 0.74'!$D12</f>
        <v>35.415908870000003</v>
      </c>
      <c r="G12" s="15">
        <f>'FU 0.75'!$D12</f>
        <v>34.359683850000003</v>
      </c>
      <c r="H12" s="15">
        <f>'FU 0.76'!$D12</f>
        <v>33.303445310000001</v>
      </c>
      <c r="I12" s="15">
        <f>'FU 0.77'!$D12</f>
        <v>32.247191770000001</v>
      </c>
      <c r="J12" s="15">
        <f>'FU 0.78'!$D12</f>
        <v>31.190921660000001</v>
      </c>
      <c r="K12" s="15">
        <f>'FU 0.79'!$D12</f>
        <v>30.134633340000001</v>
      </c>
      <c r="L12" s="15">
        <f>'FU 0.8'!$D12</f>
        <v>29.07832505</v>
      </c>
      <c r="M12" s="15">
        <f>'FU 0.81'!$D12</f>
        <v>28.02199486</v>
      </c>
      <c r="N12" s="15">
        <f>'FU 0.82'!$D12</f>
        <v>26.965640690000001</v>
      </c>
      <c r="O12" s="15">
        <f>'FU 0.83'!$D12</f>
        <v>25.909260209999999</v>
      </c>
      <c r="P12" s="15">
        <f>'FU 0.84'!$D12</f>
        <v>24.852850799999999</v>
      </c>
      <c r="Q12" s="15">
        <f>'FU 0.85'!$D12</f>
        <v>23.796409489999998</v>
      </c>
    </row>
    <row r="13" spans="1:17" x14ac:dyDescent="0.25">
      <c r="A13">
        <f>'FU 0.7'!A13</f>
        <v>0.71</v>
      </c>
      <c r="B13" s="15">
        <f>'FU 0.7'!$D13</f>
        <v>39.493820280000001</v>
      </c>
      <c r="C13" s="15">
        <f t="shared" si="0"/>
        <v>38.43548741</v>
      </c>
      <c r="D13" s="15">
        <f>'FU 0.72'!$D13</f>
        <v>37.377154539999999</v>
      </c>
      <c r="E13" s="15">
        <f>'FU 0.73'!$D13</f>
        <v>36.318806909999999</v>
      </c>
      <c r="F13" s="15">
        <f>'FU 0.74'!$D13</f>
        <v>35.260447390000003</v>
      </c>
      <c r="G13" s="15">
        <f>'FU 0.75'!$D13</f>
        <v>34.202074400000001</v>
      </c>
      <c r="H13" s="15">
        <f>'FU 0.76'!$D13</f>
        <v>33.143686369999998</v>
      </c>
      <c r="I13" s="15">
        <f>'FU 0.77'!$D13</f>
        <v>32.085281629999997</v>
      </c>
      <c r="J13" s="15">
        <f>'FU 0.78'!$D13</f>
        <v>31.02685846</v>
      </c>
      <c r="K13" s="15">
        <f>'FU 0.79'!$D13</f>
        <v>29.968415029999999</v>
      </c>
      <c r="L13" s="15">
        <f>'FU 0.8'!$D13</f>
        <v>28.909949359999999</v>
      </c>
      <c r="M13" s="15">
        <f>'FU 0.81'!$D13</f>
        <v>27.851459330000001</v>
      </c>
      <c r="N13" s="15">
        <f>'FU 0.82'!$D13</f>
        <v>26.79294256</v>
      </c>
      <c r="O13" s="15">
        <f>'FU 0.83'!$D13</f>
        <v>25.73439647</v>
      </c>
      <c r="P13" s="15">
        <f>'FU 0.84'!$D13</f>
        <v>24.67581809</v>
      </c>
      <c r="Q13" s="15">
        <f>'FU 0.85'!$D13</f>
        <v>23.61720407</v>
      </c>
    </row>
    <row r="14" spans="1:17" x14ac:dyDescent="0.25">
      <c r="A14">
        <f>'FU 0.7'!A14</f>
        <v>0.72</v>
      </c>
      <c r="B14" s="15">
        <f>'FU 0.7'!$D14</f>
        <v>39.346674210000003</v>
      </c>
      <c r="C14" s="15">
        <f t="shared" si="0"/>
        <v>38.286188525</v>
      </c>
      <c r="D14" s="15">
        <f>'FU 0.72'!$D14</f>
        <v>37.225702839999997</v>
      </c>
      <c r="E14" s="15">
        <f>'FU 0.73'!$D14</f>
        <v>36.165200560000002</v>
      </c>
      <c r="F14" s="15">
        <f>'FU 0.74'!$D14</f>
        <v>35.104684939999999</v>
      </c>
      <c r="G14" s="15">
        <f>'FU 0.75'!$D14</f>
        <v>34.044154229999997</v>
      </c>
      <c r="H14" s="15">
        <f>'FU 0.76'!$D14</f>
        <v>32.983606680000001</v>
      </c>
      <c r="I14" s="15">
        <f>'FU 0.77'!$D14</f>
        <v>31.923040440000001</v>
      </c>
      <c r="J14" s="15">
        <f>'FU 0.78'!$D14</f>
        <v>30.86245357</v>
      </c>
      <c r="K14" s="15">
        <f>'FU 0.79'!$D14</f>
        <v>29.801844039999999</v>
      </c>
      <c r="L14" s="15">
        <f>'FU 0.8'!$D14</f>
        <v>28.741209619999999</v>
      </c>
      <c r="M14" s="15">
        <f>'FU 0.81'!$D14</f>
        <v>27.680547919999999</v>
      </c>
      <c r="N14" s="15">
        <f>'FU 0.82'!$D14</f>
        <v>26.61985628</v>
      </c>
      <c r="O14" s="15">
        <f>'FU 0.83'!$D14</f>
        <v>25.559131740000002</v>
      </c>
      <c r="P14" s="15">
        <f>'FU 0.84'!$D14</f>
        <v>24.498370959999999</v>
      </c>
      <c r="Q14" s="15">
        <f>'FU 0.85'!$D14</f>
        <v>23.43757012</v>
      </c>
    </row>
    <row r="15" spans="1:17" x14ac:dyDescent="0.25">
      <c r="A15">
        <f>'FU 0.7'!A15</f>
        <v>0.73</v>
      </c>
      <c r="B15" s="15">
        <f>'FU 0.7'!$D15</f>
        <v>39.199230819999997</v>
      </c>
      <c r="C15" s="15">
        <f t="shared" si="0"/>
        <v>38.136581905</v>
      </c>
      <c r="D15" s="15">
        <f>'FU 0.72'!$D15</f>
        <v>37.073932990000003</v>
      </c>
      <c r="E15" s="15">
        <f>'FU 0.73'!$D15</f>
        <v>36.011265299999998</v>
      </c>
      <c r="F15" s="15">
        <f>'FU 0.74'!$D15</f>
        <v>34.948582559999998</v>
      </c>
      <c r="G15" s="15">
        <f>'FU 0.75'!$D15</f>
        <v>33.885882840000001</v>
      </c>
      <c r="H15" s="15">
        <f>'FU 0.76'!$D15</f>
        <v>32.823164140000003</v>
      </c>
      <c r="I15" s="15">
        <f>'FU 0.77'!$D15</f>
        <v>31.76042442</v>
      </c>
      <c r="J15" s="15">
        <f>'FU 0.78'!$D15</f>
        <v>30.697661490000002</v>
      </c>
      <c r="K15" s="15">
        <f>'FU 0.79'!$D15</f>
        <v>29.634873039999999</v>
      </c>
      <c r="L15" s="15">
        <f>'FU 0.8'!$D15</f>
        <v>28.572056589999999</v>
      </c>
      <c r="M15" s="15">
        <f>'FU 0.81'!$D15</f>
        <v>27.509209389999999</v>
      </c>
      <c r="N15" s="15">
        <f>'FU 0.82'!$D15</f>
        <v>26.446328430000001</v>
      </c>
      <c r="O15" s="15">
        <f>'FU 0.83'!$D15</f>
        <v>25.383410340000001</v>
      </c>
      <c r="P15" s="15">
        <f>'FU 0.84'!$D15</f>
        <v>24.320451299999998</v>
      </c>
      <c r="Q15" s="15">
        <f>'FU 0.85'!$D15</f>
        <v>23.25744692</v>
      </c>
    </row>
    <row r="16" spans="1:17" x14ac:dyDescent="0.25">
      <c r="A16">
        <f>'FU 0.7'!A16</f>
        <v>0.74</v>
      </c>
      <c r="B16" s="15">
        <f>'FU 0.7'!$D16</f>
        <v>39.051450750000001</v>
      </c>
      <c r="C16" s="15">
        <f t="shared" si="0"/>
        <v>37.986626520000002</v>
      </c>
      <c r="D16" s="15">
        <f>'FU 0.72'!$D16</f>
        <v>36.921802290000002</v>
      </c>
      <c r="E16" s="15">
        <f>'FU 0.73'!$D16</f>
        <v>35.856956719999999</v>
      </c>
      <c r="F16" s="15">
        <f>'FU 0.74'!$D16</f>
        <v>34.792094050000003</v>
      </c>
      <c r="G16" s="15">
        <f>'FU 0.75'!$D16</f>
        <v>33.727212129999998</v>
      </c>
      <c r="H16" s="15">
        <f>'FU 0.76'!$D16</f>
        <v>32.662308719999999</v>
      </c>
      <c r="I16" s="15">
        <f>'FU 0.77'!$D16</f>
        <v>31.597381479999999</v>
      </c>
      <c r="J16" s="15">
        <f>'FU 0.78'!$D16</f>
        <v>30.532427970000001</v>
      </c>
      <c r="K16" s="15">
        <f>'FU 0.79'!$D16</f>
        <v>29.467445550000001</v>
      </c>
      <c r="L16" s="15">
        <f>'FU 0.8'!$D16</f>
        <v>28.402431379999999</v>
      </c>
      <c r="M16" s="15">
        <f>'FU 0.81'!$D16</f>
        <v>27.337382340000001</v>
      </c>
      <c r="N16" s="15">
        <f>'FU 0.82'!$D16</f>
        <v>26.272294970000001</v>
      </c>
      <c r="O16" s="15">
        <f>'FU 0.83'!$D16</f>
        <v>25.207165379999999</v>
      </c>
      <c r="P16" s="15">
        <f>'FU 0.84'!$D16</f>
        <v>24.141989169999999</v>
      </c>
      <c r="Q16" s="15">
        <f>'FU 0.85'!$D16</f>
        <v>23.07676124</v>
      </c>
    </row>
    <row r="17" spans="1:17" x14ac:dyDescent="0.25">
      <c r="A17">
        <f>'FU 0.7'!A17</f>
        <v>0.75</v>
      </c>
      <c r="B17" s="15">
        <f>'FU 0.7'!$D17</f>
        <v>38.903287110000001</v>
      </c>
      <c r="C17" s="15">
        <f t="shared" si="0"/>
        <v>37.836273465000005</v>
      </c>
      <c r="D17" s="15">
        <f>'FU 0.72'!$D17</f>
        <v>36.769259820000002</v>
      </c>
      <c r="E17" s="15">
        <f>'FU 0.73'!$D17</f>
        <v>35.702221710000003</v>
      </c>
      <c r="F17" s="15">
        <f>'FU 0.74'!$D17</f>
        <v>34.635164080000003</v>
      </c>
      <c r="G17" s="15">
        <f>'FU 0.75'!$D17</f>
        <v>33.568084470000002</v>
      </c>
      <c r="H17" s="15">
        <f>'FU 0.76'!$D17</f>
        <v>32.500980339999998</v>
      </c>
      <c r="I17" s="15">
        <f>'FU 0.77'!$D17</f>
        <v>31.433849039999998</v>
      </c>
      <c r="J17" s="15">
        <f>'FU 0.78'!$D17</f>
        <v>30.366687760000001</v>
      </c>
      <c r="K17" s="15">
        <f>'FU 0.79'!$D17</f>
        <v>29.29949349</v>
      </c>
      <c r="L17" s="15">
        <f>'FU 0.8'!$D17</f>
        <v>28.23226296</v>
      </c>
      <c r="M17" s="15">
        <f>'FU 0.81'!$D17</f>
        <v>27.164992560000002</v>
      </c>
      <c r="N17" s="15">
        <f>'FU 0.82'!$D17</f>
        <v>26.09767828</v>
      </c>
      <c r="O17" s="15">
        <f>'FU 0.83'!$D17</f>
        <v>25.03031562</v>
      </c>
      <c r="P17" s="15">
        <f>'FU 0.84'!$D17</f>
        <v>23.962899419999999</v>
      </c>
      <c r="Q17" s="15">
        <f>'FU 0.85'!$D17</f>
        <v>22.895423709999999</v>
      </c>
    </row>
    <row r="18" spans="1:17" x14ac:dyDescent="0.25">
      <c r="A18">
        <f>'FU 0.7'!A18</f>
        <v>0.76</v>
      </c>
      <c r="B18" s="15">
        <f>'FU 0.7'!$D18</f>
        <v>38.754683540000002</v>
      </c>
      <c r="C18" s="15">
        <f t="shared" si="0"/>
        <v>37.685463850000005</v>
      </c>
      <c r="D18" s="15">
        <f>'FU 0.72'!$D18</f>
        <v>36.616244160000001</v>
      </c>
      <c r="E18" s="15">
        <f>'FU 0.73'!$D18</f>
        <v>35.546996239999999</v>
      </c>
      <c r="F18" s="15">
        <f>'FU 0.74'!$D18</f>
        <v>34.477725829999997</v>
      </c>
      <c r="G18" s="15">
        <f>'FU 0.75'!$D18</f>
        <v>33.40843014</v>
      </c>
      <c r="H18" s="15">
        <f>'FU 0.76'!$D18</f>
        <v>32.33910625</v>
      </c>
      <c r="I18" s="15">
        <f>'FU 0.77'!$D18</f>
        <v>31.269751119999999</v>
      </c>
      <c r="J18" s="15">
        <f>'FU 0.78'!$D18</f>
        <v>30.20036151</v>
      </c>
      <c r="K18" s="15">
        <f>'FU 0.79'!$D18</f>
        <v>29.130933939999998</v>
      </c>
      <c r="L18" s="15">
        <f>'FU 0.8'!$D18</f>
        <v>28.06146459</v>
      </c>
      <c r="M18" s="15">
        <f>'FU 0.81'!$D18</f>
        <v>26.991949269999999</v>
      </c>
      <c r="N18" s="15">
        <f>'FU 0.82'!$D18</f>
        <v>25.922383270000001</v>
      </c>
      <c r="O18" s="15">
        <f>'FU 0.83'!$D18</f>
        <v>24.852761300000001</v>
      </c>
      <c r="P18" s="15">
        <f>'FU 0.84'!$D18</f>
        <v>23.783077240000001</v>
      </c>
      <c r="Q18" s="15">
        <f>'FU 0.85'!$D18</f>
        <v>22.713324010000001</v>
      </c>
    </row>
    <row r="19" spans="1:17" x14ac:dyDescent="0.25">
      <c r="A19">
        <f>'FU 0.7'!A19</f>
        <v>0.77</v>
      </c>
      <c r="B19" s="15">
        <f>'FU 0.7'!$D19</f>
        <v>38.605571519999998</v>
      </c>
      <c r="C19" s="15">
        <f t="shared" si="0"/>
        <v>37.534126014999998</v>
      </c>
      <c r="D19" s="15">
        <f>'FU 0.72'!$D19</f>
        <v>36.462680509999998</v>
      </c>
      <c r="E19" s="15">
        <f>'FU 0.73'!$D19</f>
        <v>35.391202139999997</v>
      </c>
      <c r="F19" s="15">
        <f>'FU 0.74'!$D19</f>
        <v>34.319697650000002</v>
      </c>
      <c r="G19" s="15">
        <f>'FU 0.75'!$D19</f>
        <v>33.248163810000001</v>
      </c>
      <c r="H19" s="15">
        <f>'FU 0.76'!$D19</f>
        <v>32.176597260000001</v>
      </c>
      <c r="I19" s="15">
        <f>'FU 0.77'!$D19</f>
        <v>31.10499446</v>
      </c>
      <c r="J19" s="15">
        <f>'FU 0.78'!$D19</f>
        <v>30.033351639999999</v>
      </c>
      <c r="K19" s="15">
        <f>'FU 0.79'!$D19</f>
        <v>28.9616647</v>
      </c>
      <c r="L19" s="15">
        <f>'FU 0.8'!$D19</f>
        <v>27.889929179999999</v>
      </c>
      <c r="M19" s="15">
        <f>'FU 0.81'!$D19</f>
        <v>26.818140110000002</v>
      </c>
      <c r="N19" s="15">
        <f>'FU 0.82'!$D19</f>
        <v>25.74629191</v>
      </c>
      <c r="O19" s="15">
        <f>'FU 0.83'!$D19</f>
        <v>24.674378229999999</v>
      </c>
      <c r="P19" s="15">
        <f>'FU 0.84'!$D19</f>
        <v>23.60239176</v>
      </c>
      <c r="Q19" s="15">
        <f>'FU 0.85'!$D19</f>
        <v>22.530323970000001</v>
      </c>
    </row>
    <row r="20" spans="1:17" x14ac:dyDescent="0.25">
      <c r="A20">
        <f>'FU 0.7'!A20</f>
        <v>0.78</v>
      </c>
      <c r="B20" s="15">
        <f>'FU 0.7'!$D20</f>
        <v>38.455871739999999</v>
      </c>
      <c r="C20" s="15">
        <f t="shared" si="0"/>
        <v>37.38217676</v>
      </c>
      <c r="D20" s="15">
        <f>'FU 0.72'!$D20</f>
        <v>36.308481780000001</v>
      </c>
      <c r="E20" s="15">
        <f>'FU 0.73'!$D20</f>
        <v>35.234748150000001</v>
      </c>
      <c r="F20" s="15">
        <f>'FU 0.74'!$D20</f>
        <v>34.160983899999998</v>
      </c>
      <c r="G20" s="15">
        <f>'FU 0.75'!$D20</f>
        <v>33.087185230000003</v>
      </c>
      <c r="H20" s="15">
        <f>'FU 0.76'!$D20</f>
        <v>32.013348229999998</v>
      </c>
      <c r="I20" s="15">
        <f>'FU 0.77'!$D20</f>
        <v>30.939468739999999</v>
      </c>
      <c r="J20" s="15">
        <f>'FU 0.78'!$D20</f>
        <v>29.86554229</v>
      </c>
      <c r="K20" s="15">
        <f>'FU 0.79'!$D20</f>
        <v>28.79156403</v>
      </c>
      <c r="L20" s="15">
        <f>'FU 0.8'!$D20</f>
        <v>27.71752862</v>
      </c>
      <c r="M20" s="15">
        <f>'FU 0.81'!$D20</f>
        <v>26.643430110000001</v>
      </c>
      <c r="N20" s="15">
        <f>'FU 0.82'!$D20</f>
        <v>25.56926176</v>
      </c>
      <c r="O20" s="15">
        <f>'FU 0.83'!$D20</f>
        <v>24.495015890000001</v>
      </c>
      <c r="P20" s="15">
        <f>'FU 0.84'!$D20</f>
        <v>23.420683560000001</v>
      </c>
      <c r="Q20" s="15">
        <f>'FU 0.85'!$D20</f>
        <v>22.34625428</v>
      </c>
    </row>
    <row r="21" spans="1:17" x14ac:dyDescent="0.25">
      <c r="A21">
        <f>'FU 0.7'!A21</f>
        <v>0.79</v>
      </c>
      <c r="B21" s="15">
        <f>'FU 0.7'!$D21</f>
        <v>38.305469610000003</v>
      </c>
      <c r="C21" s="15">
        <f t="shared" si="0"/>
        <v>37.229496130000001</v>
      </c>
      <c r="D21" s="15">
        <f>'FU 0.72'!$D21</f>
        <v>36.153522649999999</v>
      </c>
      <c r="E21" s="15">
        <f>'FU 0.73'!$D21</f>
        <v>35.077503219999997</v>
      </c>
      <c r="F21" s="15">
        <f>'FU 0.74'!$D21</f>
        <v>34.001447450000001</v>
      </c>
      <c r="G21" s="15">
        <f>'FU 0.75'!$D21</f>
        <v>32.925350880000003</v>
      </c>
      <c r="H21" s="15">
        <f>'FU 0.76'!$D21</f>
        <v>31.849208839999999</v>
      </c>
      <c r="I21" s="15">
        <f>'FU 0.77'!$D21</f>
        <v>30.773016389999999</v>
      </c>
      <c r="J21" s="15">
        <f>'FU 0.78'!$D21</f>
        <v>29.696768169999999</v>
      </c>
      <c r="K21" s="15">
        <f>'FU 0.79'!$D21</f>
        <v>28.620458320000001</v>
      </c>
      <c r="L21" s="15">
        <f>'FU 0.8'!$D21</f>
        <v>27.54408038</v>
      </c>
      <c r="M21" s="15">
        <f>'FU 0.81'!$D21</f>
        <v>26.467627060000002</v>
      </c>
      <c r="N21" s="15">
        <f>'FU 0.82'!$D21</f>
        <v>25.39109011</v>
      </c>
      <c r="O21" s="15">
        <f>'FU 0.83'!$D21</f>
        <v>24.31445999</v>
      </c>
      <c r="P21" s="15">
        <f>'FU 0.84'!$D21</f>
        <v>23.237725609999998</v>
      </c>
      <c r="Q21" s="15">
        <f>'FU 0.85'!$D21</f>
        <v>22.160873779999999</v>
      </c>
    </row>
    <row r="22" spans="1:17" x14ac:dyDescent="0.25">
      <c r="A22">
        <f>'FU 0.7'!A22</f>
        <v>0.8</v>
      </c>
      <c r="B22" s="15">
        <f>'FU 0.7'!$D22</f>
        <v>38.15423698</v>
      </c>
      <c r="C22" s="15">
        <f t="shared" si="0"/>
        <v>37.075949324999996</v>
      </c>
      <c r="D22" s="15">
        <f>'FU 0.72'!$D22</f>
        <v>35.997661669999999</v>
      </c>
      <c r="E22" s="15">
        <f>'FU 0.73'!$D22</f>
        <v>34.919318670000003</v>
      </c>
      <c r="F22" s="15">
        <f>'FU 0.74'!$D22</f>
        <v>33.84093197</v>
      </c>
      <c r="G22" s="15">
        <f>'FU 0.75'!$D22</f>
        <v>32.762496239999997</v>
      </c>
      <c r="H22" s="15">
        <f>'FU 0.76'!$D22</f>
        <v>31.684005849999998</v>
      </c>
      <c r="I22" s="15">
        <f>'FU 0.77'!$D22</f>
        <v>30.6054548</v>
      </c>
      <c r="J22" s="15">
        <f>'FU 0.78'!$D22</f>
        <v>29.526836549999999</v>
      </c>
      <c r="K22" s="15">
        <f>'FU 0.79'!$D22</f>
        <v>28.44814392</v>
      </c>
      <c r="L22" s="15">
        <f>'FU 0.8'!$D22</f>
        <v>27.36936888</v>
      </c>
      <c r="M22" s="15">
        <f>'FU 0.81'!$D22</f>
        <v>26.290502369999999</v>
      </c>
      <c r="N22" s="15">
        <f>'FU 0.82'!$D22</f>
        <v>25.211534</v>
      </c>
      <c r="O22" s="15">
        <f>'FU 0.83'!$D22</f>
        <v>24.132451719999999</v>
      </c>
      <c r="P22" s="15">
        <f>'FU 0.84'!$D22</f>
        <v>23.05324134</v>
      </c>
      <c r="Q22" s="15">
        <f>'FU 0.85'!$D22</f>
        <v>21.973885889999998</v>
      </c>
    </row>
    <row r="23" spans="1:17" x14ac:dyDescent="0.25">
      <c r="A23">
        <f>'FU 0.7'!A23</f>
        <v>0.81</v>
      </c>
      <c r="B23" s="15">
        <f>'FU 0.7'!$D23</f>
        <v>38.002003549999998</v>
      </c>
      <c r="C23" s="15">
        <f t="shared" si="0"/>
        <v>36.921356485000004</v>
      </c>
      <c r="D23" s="15">
        <f>'FU 0.72'!$D23</f>
        <v>35.840709420000003</v>
      </c>
      <c r="E23" s="15">
        <f>'FU 0.73'!$D23</f>
        <v>34.759995170000003</v>
      </c>
      <c r="F23" s="15">
        <f>'FU 0.74'!$D23</f>
        <v>33.679227560000001</v>
      </c>
      <c r="G23" s="15">
        <f>'FU 0.75'!$D23</f>
        <v>32.598400079999998</v>
      </c>
      <c r="H23" s="15">
        <f>'FU 0.76'!$D23</f>
        <v>31.517505839999998</v>
      </c>
      <c r="I23" s="15">
        <f>'FU 0.77'!$D23</f>
        <v>30.436537390000002</v>
      </c>
      <c r="J23" s="15">
        <f>'FU 0.78'!$D23</f>
        <v>29.355486580000001</v>
      </c>
      <c r="K23" s="15">
        <f>'FU 0.79'!$D23</f>
        <v>28.274344360000001</v>
      </c>
      <c r="L23" s="15">
        <f>'FU 0.8'!$D23</f>
        <v>27.193100579999999</v>
      </c>
      <c r="M23" s="15">
        <f>'FU 0.81'!$D23</f>
        <v>26.111743629999999</v>
      </c>
      <c r="N23" s="15">
        <f>'FU 0.82'!$D23</f>
        <v>25.03026011</v>
      </c>
      <c r="O23" s="15">
        <f>'FU 0.83'!$D23</f>
        <v>23.948634299999998</v>
      </c>
      <c r="P23" s="15">
        <f>'FU 0.84'!$D23</f>
        <v>22.866847530000001</v>
      </c>
      <c r="Q23" s="15">
        <f>'FU 0.85'!$D23</f>
        <v>21.784877210000001</v>
      </c>
    </row>
    <row r="24" spans="1:17" x14ac:dyDescent="0.25">
      <c r="A24">
        <f>'FU 0.7'!A24</f>
        <v>0.82</v>
      </c>
      <c r="B24" s="15">
        <f>'FU 0.7'!$D24</f>
        <v>37.848542449999997</v>
      </c>
      <c r="C24" s="15">
        <f t="shared" si="0"/>
        <v>36.765479599999999</v>
      </c>
      <c r="D24" s="15">
        <f>'FU 0.72'!$D24</f>
        <v>35.682416750000002</v>
      </c>
      <c r="E24" s="15">
        <f>'FU 0.73'!$D24</f>
        <v>34.599269620000001</v>
      </c>
      <c r="F24" s="15">
        <f>'FU 0.74'!$D24</f>
        <v>33.516055080000001</v>
      </c>
      <c r="G24" s="15">
        <f>'FU 0.75'!$D24</f>
        <v>32.432767320000004</v>
      </c>
      <c r="H24" s="15">
        <f>'FU 0.76'!$D24</f>
        <v>31.3493964</v>
      </c>
      <c r="I24" s="15">
        <f>'FU 0.77'!$D24</f>
        <v>30.26593287</v>
      </c>
      <c r="J24" s="15">
        <f>'FU 0.78'!$D24</f>
        <v>29.182366290000001</v>
      </c>
      <c r="K24" s="15">
        <f>'FU 0.79'!$D24</f>
        <v>28.09868496</v>
      </c>
      <c r="L24" s="15">
        <f>'FU 0.8'!$D24</f>
        <v>27.0148756</v>
      </c>
      <c r="M24" s="15">
        <f>'FU 0.81'!$D24</f>
        <v>25.93092287</v>
      </c>
      <c r="N24" s="15">
        <f>'FU 0.82'!$D24</f>
        <v>24.846808889999998</v>
      </c>
      <c r="O24" s="15">
        <f>'FU 0.83'!$D24</f>
        <v>23.76251242</v>
      </c>
      <c r="P24" s="15">
        <f>'FU 0.84'!$D24</f>
        <v>22.67800789</v>
      </c>
      <c r="Q24" s="15">
        <f>'FU 0.85'!$D24</f>
        <v>21.59326394</v>
      </c>
    </row>
    <row r="25" spans="1:17" x14ac:dyDescent="0.25">
      <c r="A25">
        <f>'FU 0.7'!A25</f>
        <v>0.83</v>
      </c>
      <c r="B25" s="15">
        <f>'FU 0.7'!$D25</f>
        <v>37.693548980000003</v>
      </c>
      <c r="C25" s="15">
        <f t="shared" si="0"/>
        <v>36.607995305000003</v>
      </c>
      <c r="D25" s="15">
        <f>'FU 0.72'!$D25</f>
        <v>35.522441630000003</v>
      </c>
      <c r="E25" s="15">
        <f>'FU 0.73'!$D25</f>
        <v>34.436780599999999</v>
      </c>
      <c r="F25" s="15">
        <f>'FU 0.74'!$D25</f>
        <v>33.351035170000003</v>
      </c>
      <c r="G25" s="15">
        <f>'FU 0.75'!$D25</f>
        <v>32.265194960000002</v>
      </c>
      <c r="H25" s="15">
        <f>'FU 0.76'!$D25</f>
        <v>31.179248730000001</v>
      </c>
      <c r="I25" s="15">
        <f>'FU 0.77'!$D25</f>
        <v>30.093184090000001</v>
      </c>
      <c r="J25" s="15">
        <f>'FU 0.78'!$D25</f>
        <v>29.006986019999999</v>
      </c>
      <c r="K25" s="15">
        <f>'FU 0.79'!$D25</f>
        <v>27.920641419999999</v>
      </c>
      <c r="L25" s="15">
        <f>'FU 0.8'!$D25</f>
        <v>26.834130800000001</v>
      </c>
      <c r="M25" s="15">
        <f>'FU 0.81'!$D25</f>
        <v>25.747433090000001</v>
      </c>
      <c r="N25" s="15">
        <f>'FU 0.82'!$D25</f>
        <v>24.660523309999999</v>
      </c>
      <c r="O25" s="15">
        <f>'FU 0.83'!$D25</f>
        <v>23.573371389999998</v>
      </c>
      <c r="P25" s="15">
        <f>'FU 0.84'!$D25</f>
        <v>22.485940500000002</v>
      </c>
      <c r="Q25" s="15">
        <f>'FU 0.85'!$D25</f>
        <v>21.398184650000001</v>
      </c>
    </row>
    <row r="26" spans="1:17" x14ac:dyDescent="0.25">
      <c r="A26">
        <f>'FU 0.7'!A26</f>
        <v>0.84</v>
      </c>
      <c r="B26" s="15">
        <f>'FU 0.7'!$D26</f>
        <v>37.536596320000001</v>
      </c>
      <c r="C26" s="15">
        <f t="shared" si="0"/>
        <v>36.448451550000001</v>
      </c>
      <c r="D26" s="15">
        <f>'FU 0.72'!$D26</f>
        <v>35.360306780000002</v>
      </c>
      <c r="E26" s="15">
        <f>'FU 0.73'!$D26</f>
        <v>34.272021469999999</v>
      </c>
      <c r="F26" s="15">
        <f>'FU 0.74'!$D26</f>
        <v>33.183625739999997</v>
      </c>
      <c r="G26" s="15">
        <f>'FU 0.75'!$D26</f>
        <v>32.095105830000001</v>
      </c>
      <c r="H26" s="15">
        <f>'FU 0.76'!$D26</f>
        <v>31.006446619999998</v>
      </c>
      <c r="I26" s="15">
        <f>'FU 0.77'!$D26</f>
        <v>29.917631239999999</v>
      </c>
      <c r="J26" s="15">
        <f>'FU 0.78'!$D26</f>
        <v>28.828640530000001</v>
      </c>
      <c r="K26" s="15">
        <f>'FU 0.79'!$D26</f>
        <v>27.739452440000001</v>
      </c>
      <c r="L26" s="15">
        <f>'FU 0.8'!$D26</f>
        <v>26.650041160000001</v>
      </c>
      <c r="M26" s="15">
        <f>'FU 0.81'!$D26</f>
        <v>25.560374190000001</v>
      </c>
      <c r="N26" s="15">
        <f>'FU 0.82'!$D26</f>
        <v>24.470418680000002</v>
      </c>
      <c r="O26" s="15">
        <f>'FU 0.83'!$D26</f>
        <v>23.38012702</v>
      </c>
      <c r="P26" s="15">
        <f>'FU 0.84'!$D26</f>
        <v>22.28944237</v>
      </c>
      <c r="Q26" s="15">
        <f>'FU 0.85'!$D26</f>
        <v>21.198291999999999</v>
      </c>
    </row>
    <row r="27" spans="1:17" x14ac:dyDescent="0.25">
      <c r="A27">
        <f>'FU 0.7'!A27</f>
        <v>0.85</v>
      </c>
      <c r="B27" s="15">
        <f>'FU 0.7'!$D27</f>
        <v>37.377061550000001</v>
      </c>
      <c r="C27" s="15">
        <f t="shared" si="0"/>
        <v>36.286186505000003</v>
      </c>
      <c r="D27" s="15">
        <f>'FU 0.72'!$D27</f>
        <v>35.195311459999999</v>
      </c>
      <c r="E27" s="15">
        <f>'FU 0.73'!$D27</f>
        <v>34.104245800000001</v>
      </c>
      <c r="F27" s="15">
        <f>'FU 0.74'!$D27</f>
        <v>33.013030379999996</v>
      </c>
      <c r="G27" s="15">
        <f>'FU 0.75'!$D27</f>
        <v>31.921646129999999</v>
      </c>
      <c r="H27" s="15">
        <f>'FU 0.76'!$D27</f>
        <v>30.83007168</v>
      </c>
      <c r="I27" s="15">
        <f>'FU 0.77'!$D27</f>
        <v>29.73828271</v>
      </c>
      <c r="J27" s="15">
        <f>'FU 0.78'!$D27</f>
        <v>28.646251110000001</v>
      </c>
      <c r="K27" s="15">
        <f>'FU 0.79'!$D27</f>
        <v>27.553943830000001</v>
      </c>
      <c r="L27" s="15">
        <f>'FU 0.8'!$D27</f>
        <v>26.461321420000001</v>
      </c>
      <c r="M27" s="15">
        <f>'FU 0.81'!$D27</f>
        <v>25.36833597</v>
      </c>
      <c r="N27" s="15">
        <f>'FU 0.82'!$D27</f>
        <v>24.274928209999999</v>
      </c>
      <c r="O27" s="15">
        <f>'FU 0.83'!$D27</f>
        <v>23.181023270000001</v>
      </c>
      <c r="P27" s="15">
        <f>'FU 0.84'!$D27</f>
        <v>22.08652438</v>
      </c>
      <c r="Q27" s="15">
        <f>'FU 0.85'!$D27</f>
        <v>20.991302940000001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I30" sqref="I30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5">
        <f>'FU 0.7'!$E2</f>
        <v>76.321399729999996</v>
      </c>
      <c r="C2" s="15">
        <f>(B2+D2)/2</f>
        <v>75.772034579999996</v>
      </c>
      <c r="D2" s="15">
        <f>'FU 0.72'!$E2</f>
        <v>75.222669429999996</v>
      </c>
      <c r="E2" s="15">
        <f>'FU 0.73'!$E2</f>
        <v>74.673302620000001</v>
      </c>
      <c r="F2" s="15">
        <f>'FU 0.74'!$E2</f>
        <v>74.123933930000007</v>
      </c>
      <c r="G2" s="15">
        <f>'FU 0.75'!$E2</f>
        <v>73.574562830000005</v>
      </c>
      <c r="H2" s="15">
        <f>'FU 0.76'!$E2</f>
        <v>73.025188749999998</v>
      </c>
      <c r="I2" s="15">
        <f>'FU 0.77'!$E2</f>
        <v>72.475811149999998</v>
      </c>
      <c r="J2" s="15">
        <f>'FU 0.78'!$E2</f>
        <v>71.926429479999996</v>
      </c>
      <c r="K2" s="15">
        <f>'FU 0.79'!$E2</f>
        <v>71.377043139999998</v>
      </c>
      <c r="L2" s="15">
        <f>'FU 0.8'!$E2</f>
        <v>70.827651540000005</v>
      </c>
      <c r="M2" s="15">
        <f>'FU 0.81'!$E2</f>
        <v>70.278254059999995</v>
      </c>
      <c r="N2" s="15">
        <f>'FU 0.82'!$E2</f>
        <v>69.728850010000002</v>
      </c>
      <c r="O2" s="15">
        <f>'FU 0.83'!$E2</f>
        <v>69.179438689999998</v>
      </c>
      <c r="P2" s="15">
        <f>'FU 0.84'!$E2</f>
        <v>68.630019279999999</v>
      </c>
      <c r="Q2" s="15">
        <f>'FU 0.85'!$E2</f>
        <v>68.08059093</v>
      </c>
    </row>
    <row r="3" spans="1:17" x14ac:dyDescent="0.25">
      <c r="A3">
        <f>'FU 0.7'!A3</f>
        <v>0.61</v>
      </c>
      <c r="B3" s="15">
        <f>'FU 0.7'!E3</f>
        <v>76.832041349999997</v>
      </c>
      <c r="C3" s="15">
        <f t="shared" ref="C3:C27" si="0">(B3+D3)/2</f>
        <v>76.289956114999995</v>
      </c>
      <c r="D3" s="15">
        <f>'FU 0.72'!$E3</f>
        <v>75.747870879999994</v>
      </c>
      <c r="E3" s="15">
        <f>'FU 0.73'!$E3</f>
        <v>75.205783780000004</v>
      </c>
      <c r="F3" s="15">
        <f>'FU 0.74'!$E3</f>
        <v>74.663694629999995</v>
      </c>
      <c r="G3" s="15">
        <f>'FU 0.75'!$E3</f>
        <v>74.121602839999994</v>
      </c>
      <c r="H3" s="15">
        <f>'FU 0.76'!$E3</f>
        <v>73.579507829999997</v>
      </c>
      <c r="I3" s="15">
        <f>'FU 0.77'!$E3</f>
        <v>73.037408999999997</v>
      </c>
      <c r="J3" s="15">
        <f>'FU 0.78'!$E3</f>
        <v>72.495305770000002</v>
      </c>
      <c r="K3" s="15">
        <f>'FU 0.79'!$E3</f>
        <v>71.953197509999995</v>
      </c>
      <c r="L3" s="15">
        <f>'FU 0.8'!$E3</f>
        <v>71.411083579999996</v>
      </c>
      <c r="M3" s="15">
        <f>'FU 0.81'!$E3</f>
        <v>70.868963309999998</v>
      </c>
      <c r="N3" s="15">
        <f>'FU 0.82'!$E3</f>
        <v>70.326835979999998</v>
      </c>
      <c r="O3" s="15">
        <f>'FU 0.83'!$E3</f>
        <v>69.784700810000004</v>
      </c>
      <c r="P3" s="15">
        <f>'FU 0.84'!$E3</f>
        <v>69.24255694</v>
      </c>
      <c r="Q3" s="15">
        <f>'FU 0.85'!$E3</f>
        <v>68.700403449999996</v>
      </c>
    </row>
    <row r="4" spans="1:17" x14ac:dyDescent="0.25">
      <c r="A4">
        <f>'FU 0.7'!A4</f>
        <v>0.62</v>
      </c>
      <c r="B4" s="15">
        <f>'FU 0.7'!E4</f>
        <v>77.342613959999994</v>
      </c>
      <c r="C4" s="15">
        <f t="shared" si="0"/>
        <v>76.80780648999999</v>
      </c>
      <c r="D4" s="15">
        <f>'FU 0.72'!$E4</f>
        <v>76.27299902</v>
      </c>
      <c r="E4" s="15">
        <f>'FU 0.73'!$E4</f>
        <v>75.738189460000001</v>
      </c>
      <c r="F4" s="15">
        <f>'FU 0.74'!$E4</f>
        <v>75.203377639999999</v>
      </c>
      <c r="G4" s="15">
        <f>'FU 0.75'!$E4</f>
        <v>74.668562940000001</v>
      </c>
      <c r="H4" s="15">
        <f>'FU 0.76'!$E4</f>
        <v>74.133744739999997</v>
      </c>
      <c r="I4" s="15">
        <f>'FU 0.77'!$E4</f>
        <v>73.598922389999998</v>
      </c>
      <c r="J4" s="15">
        <f>'FU 0.78'!$E4</f>
        <v>73.064095269999996</v>
      </c>
      <c r="K4" s="15">
        <f>'FU 0.79'!$E4</f>
        <v>72.529262720000006</v>
      </c>
      <c r="L4" s="15">
        <f>'FU 0.8'!$E4</f>
        <v>71.994424039999998</v>
      </c>
      <c r="M4" s="15">
        <f>'FU 0.81'!$E4</f>
        <v>71.45957851</v>
      </c>
      <c r="N4" s="15">
        <f>'FU 0.82'!$E4</f>
        <v>70.924725350000003</v>
      </c>
      <c r="O4" s="15">
        <f>'FU 0.83'!$E4</f>
        <v>70.389863739999996</v>
      </c>
      <c r="P4" s="15">
        <f>'FU 0.84'!$E4</f>
        <v>69.854992749999994</v>
      </c>
      <c r="Q4" s="15">
        <f>'FU 0.85'!$E4</f>
        <v>69.320111359999999</v>
      </c>
    </row>
    <row r="5" spans="1:17" x14ac:dyDescent="0.25">
      <c r="A5">
        <f>'FU 0.7'!A5</f>
        <v>0.63</v>
      </c>
      <c r="B5" s="15">
        <f>'FU 0.7'!E5</f>
        <v>77.853111580000004</v>
      </c>
      <c r="C5" s="15">
        <f t="shared" si="0"/>
        <v>77.325579510000011</v>
      </c>
      <c r="D5" s="15">
        <f>'FU 0.72'!$E5</f>
        <v>76.798047440000005</v>
      </c>
      <c r="E5" s="15">
        <f>'FU 0.73'!$E5</f>
        <v>76.270513019999996</v>
      </c>
      <c r="F5" s="15">
        <f>'FU 0.74'!$E5</f>
        <v>75.742976110000001</v>
      </c>
      <c r="G5" s="15">
        <f>'FU 0.75'!$E5</f>
        <v>75.21543604</v>
      </c>
      <c r="H5" s="15">
        <f>'FU 0.76'!$E5</f>
        <v>74.687892149999996</v>
      </c>
      <c r="I5" s="15">
        <f>'FU 0.77'!$E5</f>
        <v>74.160343760000003</v>
      </c>
      <c r="J5" s="15">
        <f>'FU 0.78'!$E5</f>
        <v>73.632790170000007</v>
      </c>
      <c r="K5" s="15">
        <f>'FU 0.79'!$E5</f>
        <v>73.105230700000007</v>
      </c>
      <c r="L5" s="15">
        <f>'FU 0.8'!$E5</f>
        <v>72.577664580000004</v>
      </c>
      <c r="M5" s="15">
        <f>'FU 0.81'!$E5</f>
        <v>72.050091050000006</v>
      </c>
      <c r="N5" s="15">
        <f>'FU 0.82'!$E5</f>
        <v>71.522509260000007</v>
      </c>
      <c r="O5" s="15">
        <f>'FU 0.83'!$E5</f>
        <v>70.994918319999996</v>
      </c>
      <c r="P5" s="15">
        <f>'FU 0.84'!$E5</f>
        <v>70.467317230000006</v>
      </c>
      <c r="Q5" s="15">
        <f>'FU 0.85'!$E5</f>
        <v>69.939704890000002</v>
      </c>
    </row>
    <row r="6" spans="1:17" x14ac:dyDescent="0.25">
      <c r="A6">
        <f>'FU 0.7'!A6</f>
        <v>0.64</v>
      </c>
      <c r="B6" s="15">
        <f>'FU 0.7'!E6</f>
        <v>78.363527509999997</v>
      </c>
      <c r="C6" s="15">
        <f t="shared" si="0"/>
        <v>77.843268219999999</v>
      </c>
      <c r="D6" s="15">
        <f>'FU 0.72'!$E6</f>
        <v>77.32300893</v>
      </c>
      <c r="E6" s="15">
        <f>'FU 0.73'!$E6</f>
        <v>76.802746999999997</v>
      </c>
      <c r="F6" s="15">
        <f>'FU 0.74'!$E6</f>
        <v>76.28248232</v>
      </c>
      <c r="G6" s="15">
        <f>'FU 0.75'!$E6</f>
        <v>75.762214159999999</v>
      </c>
      <c r="H6" s="15">
        <f>'FU 0.76'!$E6</f>
        <v>75.241941819999994</v>
      </c>
      <c r="I6" s="15">
        <f>'FU 0.77'!$E6</f>
        <v>74.721664570000002</v>
      </c>
      <c r="J6" s="15">
        <f>'FU 0.78'!$E6</f>
        <v>74.201381670000004</v>
      </c>
      <c r="K6" s="15">
        <f>'FU 0.79'!$E6</f>
        <v>73.68109235</v>
      </c>
      <c r="L6" s="15">
        <f>'FU 0.8'!$E6</f>
        <v>73.160795820000004</v>
      </c>
      <c r="M6" s="15">
        <f>'FU 0.81'!$E6</f>
        <v>72.640491229999995</v>
      </c>
      <c r="N6" s="15">
        <f>'FU 0.82'!$E6</f>
        <v>72.120177690000006</v>
      </c>
      <c r="O6" s="15">
        <f>'FU 0.83'!$E6</f>
        <v>71.599854199999996</v>
      </c>
      <c r="P6" s="15">
        <f>'FU 0.84'!$E6</f>
        <v>71.079519700000006</v>
      </c>
      <c r="Q6" s="15">
        <f>'FU 0.85'!$E6</f>
        <v>70.55917298</v>
      </c>
    </row>
    <row r="7" spans="1:17" x14ac:dyDescent="0.25">
      <c r="A7">
        <f>'FU 0.7'!A7</f>
        <v>0.65</v>
      </c>
      <c r="B7" s="15">
        <f>'FU 0.7'!E7</f>
        <v>78.873854179999995</v>
      </c>
      <c r="C7" s="15">
        <f t="shared" si="0"/>
        <v>78.36086478</v>
      </c>
      <c r="D7" s="15">
        <f>'FU 0.72'!$E7</f>
        <v>77.847875380000005</v>
      </c>
      <c r="E7" s="15">
        <f>'FU 0.73'!$E7</f>
        <v>77.334882989999997</v>
      </c>
      <c r="F7" s="15">
        <f>'FU 0.74'!$E7</f>
        <v>76.82188755</v>
      </c>
      <c r="G7" s="15">
        <f>'FU 0.75'!$E7</f>
        <v>76.308888300000007</v>
      </c>
      <c r="H7" s="15">
        <f>'FU 0.76'!$E7</f>
        <v>75.795884439999995</v>
      </c>
      <c r="I7" s="15">
        <f>'FU 0.77'!$E7</f>
        <v>75.28287521</v>
      </c>
      <c r="J7" s="15">
        <f>'FU 0.78'!$E7</f>
        <v>74.76985981</v>
      </c>
      <c r="K7" s="15">
        <f>'FU 0.79'!$E7</f>
        <v>74.256837399999995</v>
      </c>
      <c r="L7" s="15">
        <f>'FU 0.8'!$E7</f>
        <v>73.743807129999993</v>
      </c>
      <c r="M7" s="15">
        <f>'FU 0.81'!$E7</f>
        <v>73.230768089999998</v>
      </c>
      <c r="N7" s="15">
        <f>'FU 0.82'!$E7</f>
        <v>72.717719279999997</v>
      </c>
      <c r="O7" s="15">
        <f>'FU 0.83'!$E7</f>
        <v>72.204659649999996</v>
      </c>
      <c r="P7" s="15">
        <f>'FU 0.84'!$E7</f>
        <v>71.691588019999998</v>
      </c>
      <c r="Q7" s="15">
        <f>'FU 0.85'!$E7</f>
        <v>71.178503090000007</v>
      </c>
    </row>
    <row r="8" spans="1:17" x14ac:dyDescent="0.25">
      <c r="A8">
        <f>'FU 0.7'!A8</f>
        <v>0.66</v>
      </c>
      <c r="B8" s="15">
        <f>'FU 0.7'!E8</f>
        <v>79.384083070000003</v>
      </c>
      <c r="C8" s="15">
        <f t="shared" si="0"/>
        <v>78.878360329999992</v>
      </c>
      <c r="D8" s="15">
        <f>'FU 0.72'!$E8</f>
        <v>78.372637589999997</v>
      </c>
      <c r="E8" s="15">
        <f>'FU 0.73'!$E8</f>
        <v>77.866911479999999</v>
      </c>
      <c r="F8" s="15">
        <f>'FU 0.74'!$E8</f>
        <v>77.361181970000004</v>
      </c>
      <c r="G8" s="15">
        <f>'FU 0.75'!$E8</f>
        <v>76.855448240000001</v>
      </c>
      <c r="H8" s="15">
        <f>'FU 0.76'!$E8</f>
        <v>76.349709450000006</v>
      </c>
      <c r="I8" s="15">
        <f>'FU 0.77'!$E8</f>
        <v>75.843964760000006</v>
      </c>
      <c r="J8" s="15">
        <f>'FU 0.78'!$E8</f>
        <v>75.338213289999999</v>
      </c>
      <c r="K8" s="15">
        <f>'FU 0.79'!$E8</f>
        <v>74.832454159999998</v>
      </c>
      <c r="L8" s="15">
        <f>'FU 0.8'!$E8</f>
        <v>74.326686429999995</v>
      </c>
      <c r="M8" s="15">
        <f>'FU 0.81'!$E8</f>
        <v>73.820909110000002</v>
      </c>
      <c r="N8" s="15">
        <f>'FU 0.82'!$E8</f>
        <v>73.315121110000007</v>
      </c>
      <c r="O8" s="15">
        <f>'FU 0.83'!$E8</f>
        <v>72.80932129</v>
      </c>
      <c r="P8" s="15">
        <f>'FU 0.84'!$E8</f>
        <v>72.303508350000001</v>
      </c>
      <c r="Q8" s="15">
        <f>'FU 0.85'!$E8</f>
        <v>71.79768086</v>
      </c>
    </row>
    <row r="9" spans="1:17" x14ac:dyDescent="0.25">
      <c r="A9">
        <f>'FU 0.7'!A9</f>
        <v>0.67</v>
      </c>
      <c r="B9" s="15">
        <f>'FU 0.7'!E9</f>
        <v>79.894204500000001</v>
      </c>
      <c r="C9" s="15">
        <f t="shared" si="0"/>
        <v>79.395744825000008</v>
      </c>
      <c r="D9" s="15">
        <f>'FU 0.72'!$E9</f>
        <v>78.897285150000002</v>
      </c>
      <c r="E9" s="15">
        <f>'FU 0.73'!$E9</f>
        <v>78.398821650000002</v>
      </c>
      <c r="F9" s="15">
        <f>'FU 0.74'!$E9</f>
        <v>77.900354359999994</v>
      </c>
      <c r="G9" s="15">
        <f>'FU 0.75'!$E9</f>
        <v>77.401882400000005</v>
      </c>
      <c r="H9" s="15">
        <f>'FU 0.76'!$E9</f>
        <v>76.903404829999999</v>
      </c>
      <c r="I9" s="15">
        <f>'FU 0.77'!$E9</f>
        <v>76.404920759999996</v>
      </c>
      <c r="J9" s="15">
        <f>'FU 0.78'!$E9</f>
        <v>75.906429250000002</v>
      </c>
      <c r="K9" s="15">
        <f>'FU 0.79'!$E9</f>
        <v>75.40792931</v>
      </c>
      <c r="L9" s="15">
        <f>'FU 0.8'!$E9</f>
        <v>74.909419920000005</v>
      </c>
      <c r="M9" s="15">
        <f>'FU 0.81'!$E9</f>
        <v>74.410900010000006</v>
      </c>
      <c r="N9" s="15">
        <f>'FU 0.82'!$E9</f>
        <v>73.912368389999997</v>
      </c>
      <c r="O9" s="15">
        <f>'FU 0.83'!$E9</f>
        <v>73.413823800000003</v>
      </c>
      <c r="P9" s="15">
        <f>'FU 0.84'!$E9</f>
        <v>72.915264820000004</v>
      </c>
      <c r="Q9" s="15">
        <f>'FU 0.85'!$E9</f>
        <v>72.416689869999999</v>
      </c>
    </row>
    <row r="10" spans="1:17" x14ac:dyDescent="0.25">
      <c r="A10">
        <f>'FU 0.7'!A10</f>
        <v>0.68</v>
      </c>
      <c r="B10" s="15">
        <f>'FU 0.7'!E10</f>
        <v>80.40420743</v>
      </c>
      <c r="C10" s="15">
        <f t="shared" si="0"/>
        <v>79.913006784999993</v>
      </c>
      <c r="D10" s="15">
        <f>'FU 0.72'!$E10</f>
        <v>79.421806140000001</v>
      </c>
      <c r="E10" s="15">
        <f>'FU 0.73'!$E10</f>
        <v>78.930601150000001</v>
      </c>
      <c r="F10" s="15">
        <f>'FU 0.74'!$E10</f>
        <v>78.439391920000006</v>
      </c>
      <c r="G10" s="15">
        <f>'FU 0.75'!$E10</f>
        <v>77.948177479999998</v>
      </c>
      <c r="H10" s="15">
        <f>'FU 0.76'!$E10</f>
        <v>77.456956829999996</v>
      </c>
      <c r="I10" s="15">
        <f>'FU 0.77'!$E10</f>
        <v>76.965728979999994</v>
      </c>
      <c r="J10" s="15">
        <f>'FU 0.78'!$E10</f>
        <v>76.474492900000001</v>
      </c>
      <c r="K10" s="15">
        <f>'FU 0.79'!$E10</f>
        <v>75.983247539999994</v>
      </c>
      <c r="L10" s="15">
        <f>'FU 0.8'!$E10</f>
        <v>75.491991769999998</v>
      </c>
      <c r="M10" s="15">
        <f>'FU 0.81'!$E10</f>
        <v>75.000724390000002</v>
      </c>
      <c r="N10" s="15">
        <f>'FU 0.82'!$E10</f>
        <v>74.509444130000006</v>
      </c>
      <c r="O10" s="15">
        <f>'FU 0.83'!$E10</f>
        <v>74.018149570000006</v>
      </c>
      <c r="P10" s="15">
        <f>'FU 0.84'!$E10</f>
        <v>73.526839159999994</v>
      </c>
      <c r="Q10" s="15">
        <f>'FU 0.85'!$E10</f>
        <v>73.035511139999997</v>
      </c>
    </row>
    <row r="11" spans="1:17" x14ac:dyDescent="0.25">
      <c r="A11">
        <f>'FU 0.7'!A11</f>
        <v>0.69</v>
      </c>
      <c r="B11" s="15">
        <f>'FU 0.7'!E11</f>
        <v>80.91407925</v>
      </c>
      <c r="C11" s="15">
        <f t="shared" si="0"/>
        <v>80.430133089999998</v>
      </c>
      <c r="D11" s="15">
        <f>'FU 0.72'!$E11</f>
        <v>79.946186929999996</v>
      </c>
      <c r="E11" s="15">
        <f>'FU 0.73'!$E11</f>
        <v>79.462235809999996</v>
      </c>
      <c r="F11" s="15">
        <f>'FU 0.74'!$E11</f>
        <v>78.978279939999993</v>
      </c>
      <c r="G11" s="15">
        <f>'FU 0.75'!$E11</f>
        <v>78.494318230000005</v>
      </c>
      <c r="H11" s="15">
        <f>'FU 0.76'!$E11</f>
        <v>78.01034962</v>
      </c>
      <c r="I11" s="15">
        <f>'FU 0.77'!$E11</f>
        <v>77.526373000000007</v>
      </c>
      <c r="J11" s="15">
        <f>'FU 0.78'!$E11</f>
        <v>77.042387259999998</v>
      </c>
      <c r="K11" s="15">
        <f>'FU 0.79'!$E11</f>
        <v>76.558391240000006</v>
      </c>
      <c r="L11" s="15">
        <f>'FU 0.8'!$E11</f>
        <v>76.074383679999997</v>
      </c>
      <c r="M11" s="15">
        <f>'FU 0.81'!$E11</f>
        <v>75.590363300000007</v>
      </c>
      <c r="N11" s="15">
        <f>'FU 0.82'!$E11</f>
        <v>75.106328649999995</v>
      </c>
      <c r="O11" s="15">
        <f>'FU 0.83'!$E11</f>
        <v>74.622278190000003</v>
      </c>
      <c r="P11" s="15">
        <f>'FU 0.84'!$E11</f>
        <v>74.138210180000002</v>
      </c>
      <c r="Q11" s="15">
        <f>'FU 0.85'!$E11</f>
        <v>73.654122670000007</v>
      </c>
    </row>
    <row r="12" spans="1:17" x14ac:dyDescent="0.25">
      <c r="A12">
        <f>'FU 0.7'!A12</f>
        <v>0.7</v>
      </c>
      <c r="B12" s="15">
        <f>'FU 0.7'!E12</f>
        <v>81.423805400000006</v>
      </c>
      <c r="C12" s="15">
        <f t="shared" si="0"/>
        <v>80.947108584999995</v>
      </c>
      <c r="D12" s="15">
        <f>'FU 0.72'!$E12</f>
        <v>80.470411769999998</v>
      </c>
      <c r="E12" s="15">
        <f>'FU 0.73'!$E12</f>
        <v>79.993709289999998</v>
      </c>
      <c r="F12" s="15">
        <f>'FU 0.74'!$E12</f>
        <v>79.517001429999993</v>
      </c>
      <c r="G12" s="15">
        <f>'FU 0.75'!$E12</f>
        <v>79.040287030000002</v>
      </c>
      <c r="H12" s="15">
        <f>'FU 0.76'!$E12</f>
        <v>78.563564900000003</v>
      </c>
      <c r="I12" s="15">
        <f>'FU 0.77'!$E12</f>
        <v>78.086833839999997</v>
      </c>
      <c r="J12" s="15">
        <f>'FU 0.78'!$E12</f>
        <v>77.610092620000003</v>
      </c>
      <c r="K12" s="15">
        <f>'FU 0.79'!$E12</f>
        <v>77.133339950000007</v>
      </c>
      <c r="L12" s="15">
        <f>'FU 0.8'!$E12</f>
        <v>76.656574460000002</v>
      </c>
      <c r="M12" s="15">
        <f>'FU 0.81'!$E12</f>
        <v>76.179794700000002</v>
      </c>
      <c r="N12" s="15">
        <f>'FU 0.82'!$E12</f>
        <v>75.702999090000006</v>
      </c>
      <c r="O12" s="15">
        <f>'FU 0.83'!$E12</f>
        <v>75.226185900000004</v>
      </c>
      <c r="P12" s="15">
        <f>'FU 0.84'!$E12</f>
        <v>74.749353189999994</v>
      </c>
      <c r="Q12" s="15">
        <f>'FU 0.85'!$E12</f>
        <v>74.272498780000006</v>
      </c>
    </row>
    <row r="13" spans="1:17" x14ac:dyDescent="0.25">
      <c r="A13">
        <f>'FU 0.7'!A13</f>
        <v>0.71</v>
      </c>
      <c r="B13" s="15">
        <f>'FU 0.7'!E13</f>
        <v>81.933369060000004</v>
      </c>
      <c r="C13" s="15">
        <f t="shared" si="0"/>
        <v>81.463915740000004</v>
      </c>
      <c r="D13" s="15">
        <f>'FU 0.72'!$E13</f>
        <v>80.994462420000005</v>
      </c>
      <c r="E13" s="15">
        <f>'FU 0.73'!$E13</f>
        <v>80.525002599999993</v>
      </c>
      <c r="F13" s="15">
        <f>'FU 0.74'!$E13</f>
        <v>80.055536680000003</v>
      </c>
      <c r="G13" s="15">
        <f>'FU 0.75'!$E13</f>
        <v>79.586063379999999</v>
      </c>
      <c r="H13" s="15">
        <f>'FU 0.76'!$E13</f>
        <v>79.116581389999993</v>
      </c>
      <c r="I13" s="15">
        <f>'FU 0.77'!$E13</f>
        <v>78.647089390000005</v>
      </c>
      <c r="J13" s="15">
        <f>'FU 0.78'!$E13</f>
        <v>78.177586009999999</v>
      </c>
      <c r="K13" s="15">
        <f>'FU 0.79'!$E13</f>
        <v>77.708069820000006</v>
      </c>
      <c r="L13" s="15">
        <f>'FU 0.8'!$E13</f>
        <v>77.238539309999993</v>
      </c>
      <c r="M13" s="15">
        <f>'FU 0.81'!$E13</f>
        <v>76.768992850000004</v>
      </c>
      <c r="N13" s="15">
        <f>'FU 0.82'!$E13</f>
        <v>76.299428680000005</v>
      </c>
      <c r="O13" s="15">
        <f>'FU 0.83'!$E13</f>
        <v>75.829844850000001</v>
      </c>
      <c r="P13" s="15">
        <f>'FU 0.84'!$E13</f>
        <v>75.360239190000001</v>
      </c>
      <c r="Q13" s="15">
        <f>'FU 0.85'!$E13</f>
        <v>74.890609249999997</v>
      </c>
    </row>
    <row r="14" spans="1:17" x14ac:dyDescent="0.25">
      <c r="A14">
        <f>'FU 0.7'!A14</f>
        <v>0.72</v>
      </c>
      <c r="B14" s="15">
        <f>'FU 0.7'!E14</f>
        <v>82.442750619999998</v>
      </c>
      <c r="C14" s="15">
        <f t="shared" si="0"/>
        <v>81.980534110000008</v>
      </c>
      <c r="D14" s="15">
        <f>'FU 0.72'!$E14</f>
        <v>81.518317600000003</v>
      </c>
      <c r="E14" s="15">
        <f>'FU 0.73'!$E14</f>
        <v>81.056093579999995</v>
      </c>
      <c r="F14" s="15">
        <f>'FU 0.74'!$E14</f>
        <v>80.593862619999996</v>
      </c>
      <c r="G14" s="15">
        <f>'FU 0.75'!$E14</f>
        <v>80.131623289999993</v>
      </c>
      <c r="H14" s="15">
        <f>'FU 0.76'!$E14</f>
        <v>79.669374140000002</v>
      </c>
      <c r="I14" s="15">
        <f>'FU 0.77'!$E14</f>
        <v>79.207113699999994</v>
      </c>
      <c r="J14" s="15">
        <f>'FU 0.78'!$E14</f>
        <v>78.744840460000006</v>
      </c>
      <c r="K14" s="15">
        <f>'FU 0.79'!$E14</f>
        <v>78.282552809999999</v>
      </c>
      <c r="L14" s="15">
        <f>'FU 0.8'!$E14</f>
        <v>77.820249059999995</v>
      </c>
      <c r="M14" s="15">
        <f>'FU 0.81'!$E14</f>
        <v>77.35792739</v>
      </c>
      <c r="N14" s="15">
        <f>'FU 0.82'!$E14</f>
        <v>76.89558581</v>
      </c>
      <c r="O14" s="15">
        <f>'FU 0.83'!$E14</f>
        <v>76.433222119999996</v>
      </c>
      <c r="P14" s="15">
        <f>'FU 0.84'!$E14</f>
        <v>75.970833880000001</v>
      </c>
      <c r="Q14" s="15">
        <f>'FU 0.85'!$E14</f>
        <v>75.508418280000001</v>
      </c>
    </row>
    <row r="15" spans="1:17" x14ac:dyDescent="0.25">
      <c r="A15">
        <f>'FU 0.7'!A15</f>
        <v>0.73</v>
      </c>
      <c r="B15" s="15">
        <f>'FU 0.7'!E15</f>
        <v>82.951927089999998</v>
      </c>
      <c r="C15" s="15">
        <f t="shared" si="0"/>
        <v>82.496939685000001</v>
      </c>
      <c r="D15" s="15">
        <f>'FU 0.72'!$E15</f>
        <v>82.041952280000004</v>
      </c>
      <c r="E15" s="15">
        <f>'FU 0.73'!$E15</f>
        <v>81.586956169999993</v>
      </c>
      <c r="F15" s="15">
        <f>'FU 0.74'!$E15</f>
        <v>81.13195211</v>
      </c>
      <c r="G15" s="15">
        <f>'FU 0.75'!$E15</f>
        <v>80.676938489999998</v>
      </c>
      <c r="H15" s="15">
        <f>'FU 0.76'!$E15</f>
        <v>80.221913729999997</v>
      </c>
      <c r="I15" s="15">
        <f>'FU 0.77'!$E15</f>
        <v>79.766876159999995</v>
      </c>
      <c r="J15" s="15">
        <f>'FU 0.78'!$E15</f>
        <v>79.311824079999994</v>
      </c>
      <c r="K15" s="15">
        <f>'FU 0.79'!$E15</f>
        <v>78.856755710000002</v>
      </c>
      <c r="L15" s="15">
        <f>'FU 0.8'!$E15</f>
        <v>78.401669130000002</v>
      </c>
      <c r="M15" s="15">
        <f>'FU 0.81'!$E15</f>
        <v>77.946562279999995</v>
      </c>
      <c r="N15" s="15">
        <f>'FU 0.82'!$E15</f>
        <v>77.49143291</v>
      </c>
      <c r="O15" s="15">
        <f>'FU 0.83'!$E15</f>
        <v>77.036278530000004</v>
      </c>
      <c r="P15" s="15">
        <f>'FU 0.84'!$E15</f>
        <v>76.581096310000007</v>
      </c>
      <c r="Q15" s="15">
        <f>'FU 0.85'!$E15</f>
        <v>76.12588307</v>
      </c>
    </row>
    <row r="16" spans="1:17" x14ac:dyDescent="0.25">
      <c r="A16">
        <f>'FU 0.7'!A16</f>
        <v>0.74</v>
      </c>
      <c r="B16" s="15">
        <f>'FU 0.7'!E16</f>
        <v>83.46087129</v>
      </c>
      <c r="C16" s="15">
        <f t="shared" si="0"/>
        <v>83.013104064999993</v>
      </c>
      <c r="D16" s="15">
        <f>'FU 0.72'!$E16</f>
        <v>82.565336840000001</v>
      </c>
      <c r="E16" s="15">
        <f>'FU 0.73'!$E16</f>
        <v>82.117559459999995</v>
      </c>
      <c r="F16" s="15">
        <f>'FU 0.74'!$E16</f>
        <v>81.669772910000006</v>
      </c>
      <c r="G16" s="15">
        <f>'FU 0.75'!$E16</f>
        <v>81.221975409999999</v>
      </c>
      <c r="H16" s="15">
        <f>'FU 0.76'!$E16</f>
        <v>80.774165139999994</v>
      </c>
      <c r="I16" s="15">
        <f>'FU 0.77'!$E16</f>
        <v>80.326340259999995</v>
      </c>
      <c r="J16" s="15">
        <f>'FU 0.78'!$E16</f>
        <v>79.87849885</v>
      </c>
      <c r="K16" s="15">
        <f>'FU 0.79'!$E16</f>
        <v>79.430638869999996</v>
      </c>
      <c r="L16" s="15">
        <f>'FU 0.8'!$E16</f>
        <v>78.982758160000003</v>
      </c>
      <c r="M16" s="15">
        <f>'FU 0.81'!$E16</f>
        <v>78.534854359999997</v>
      </c>
      <c r="N16" s="15">
        <f>'FU 0.82'!$E16</f>
        <v>78.086924909999993</v>
      </c>
      <c r="O16" s="15">
        <f>'FU 0.83'!$E16</f>
        <v>77.638966929999995</v>
      </c>
      <c r="P16" s="15">
        <f>'FU 0.84'!$E16</f>
        <v>77.190977189999998</v>
      </c>
      <c r="Q16" s="15">
        <f>'FU 0.85'!$E16</f>
        <v>76.742951980000001</v>
      </c>
    </row>
    <row r="17" spans="1:17" x14ac:dyDescent="0.25">
      <c r="A17">
        <f>'FU 0.7'!A17</f>
        <v>0.75</v>
      </c>
      <c r="B17" s="15">
        <f>'FU 0.7'!E17</f>
        <v>83.969550850000005</v>
      </c>
      <c r="C17" s="15">
        <f t="shared" si="0"/>
        <v>83.528993374999999</v>
      </c>
      <c r="D17" s="15">
        <f>'FU 0.72'!$E17</f>
        <v>83.088435899999993</v>
      </c>
      <c r="E17" s="15">
        <f>'FU 0.73'!$E17</f>
        <v>82.64786651</v>
      </c>
      <c r="F17" s="15">
        <f>'FU 0.74'!$E17</f>
        <v>82.20728647</v>
      </c>
      <c r="G17" s="15">
        <f>'FU 0.75'!$E17</f>
        <v>81.766693770000003</v>
      </c>
      <c r="H17" s="15">
        <f>'FU 0.76'!$E17</f>
        <v>81.326086369999999</v>
      </c>
      <c r="I17" s="15">
        <f>'FU 0.77'!$E17</f>
        <v>80.885462169999997</v>
      </c>
      <c r="J17" s="15">
        <f>'FU 0.78'!$E17</f>
        <v>80.444818979999994</v>
      </c>
      <c r="K17" s="15">
        <f>'FU 0.79'!$E17</f>
        <v>80.004154490000005</v>
      </c>
      <c r="L17" s="15">
        <f>'FU 0.8'!$E17</f>
        <v>79.563466199999993</v>
      </c>
      <c r="M17" s="15">
        <f>'FU 0.81'!$E17</f>
        <v>79.12275142</v>
      </c>
      <c r="N17" s="15">
        <f>'FU 0.82'!$E17</f>
        <v>78.682007170000006</v>
      </c>
      <c r="O17" s="15">
        <f>'FU 0.83'!$E17</f>
        <v>78.241230119999997</v>
      </c>
      <c r="P17" s="15">
        <f>'FU 0.84'!$E17</f>
        <v>77.800416499999997</v>
      </c>
      <c r="Q17" s="15">
        <f>'FU 0.85'!$E17</f>
        <v>77.359561979999995</v>
      </c>
    </row>
    <row r="18" spans="1:17" x14ac:dyDescent="0.25">
      <c r="A18">
        <f>'FU 0.7'!A18</f>
        <v>0.76</v>
      </c>
      <c r="B18" s="15">
        <f>'FU 0.7'!E18</f>
        <v>84.47792681</v>
      </c>
      <c r="C18" s="15">
        <f t="shared" si="0"/>
        <v>84.044566809999992</v>
      </c>
      <c r="D18" s="15">
        <f>'FU 0.72'!$E18</f>
        <v>83.611206809999999</v>
      </c>
      <c r="E18" s="15">
        <f>'FU 0.73'!$E18</f>
        <v>83.177832710000004</v>
      </c>
      <c r="F18" s="15">
        <f>'FU 0.74'!$E18</f>
        <v>82.744446159999995</v>
      </c>
      <c r="G18" s="15">
        <f>'FU 0.75'!$E18</f>
        <v>82.311044870000003</v>
      </c>
      <c r="H18" s="15">
        <f>'FU 0.76'!$E18</f>
        <v>81.877626500000005</v>
      </c>
      <c r="I18" s="15">
        <f>'FU 0.77'!$E18</f>
        <v>81.444188659999995</v>
      </c>
      <c r="J18" s="15">
        <f>'FU 0.78'!$E18</f>
        <v>81.010728819999997</v>
      </c>
      <c r="K18" s="15">
        <f>'FU 0.79'!$E18</f>
        <v>80.577244329999999</v>
      </c>
      <c r="L18" s="15">
        <f>'FU 0.8'!$E18</f>
        <v>80.143732299999996</v>
      </c>
      <c r="M18" s="15">
        <f>'FU 0.81'!$E18</f>
        <v>79.710189580000005</v>
      </c>
      <c r="N18" s="15">
        <f>'FU 0.82'!$E18</f>
        <v>79.276612709999995</v>
      </c>
      <c r="O18" s="15">
        <f>'FU 0.83'!$E18</f>
        <v>78.842997780000005</v>
      </c>
      <c r="P18" s="15">
        <f>'FU 0.84'!$E18</f>
        <v>78.409340319999998</v>
      </c>
      <c r="Q18" s="15">
        <f>'FU 0.85'!$E18</f>
        <v>77.975635220000001</v>
      </c>
    </row>
    <row r="19" spans="1:17" x14ac:dyDescent="0.25">
      <c r="A19">
        <f>'FU 0.7'!A19</f>
        <v>0.77</v>
      </c>
      <c r="B19" s="15">
        <f>'FU 0.7'!E19</f>
        <v>84.985951869999994</v>
      </c>
      <c r="C19" s="15">
        <f t="shared" si="0"/>
        <v>84.559774729999987</v>
      </c>
      <c r="D19" s="15">
        <f>'FU 0.72'!$E19</f>
        <v>84.133597589999994</v>
      </c>
      <c r="E19" s="15">
        <f>'FU 0.73'!$E19</f>
        <v>83.707403650000003</v>
      </c>
      <c r="F19" s="15">
        <f>'FU 0.74'!$E19</f>
        <v>83.281195019999998</v>
      </c>
      <c r="G19" s="15">
        <f>'FU 0.75'!$E19</f>
        <v>82.854969049999994</v>
      </c>
      <c r="H19" s="15">
        <f>'FU 0.76'!$E19</f>
        <v>82.428723079999997</v>
      </c>
      <c r="I19" s="15">
        <f>'FU 0.77'!$E19</f>
        <v>82.002454330000006</v>
      </c>
      <c r="J19" s="15">
        <f>'FU 0.78'!$E19</f>
        <v>81.576159869999998</v>
      </c>
      <c r="K19" s="15">
        <f>'FU 0.79'!$E19</f>
        <v>81.149836590000007</v>
      </c>
      <c r="L19" s="15">
        <f>'FU 0.8'!$E19</f>
        <v>80.723481120000002</v>
      </c>
      <c r="M19" s="15">
        <f>'FU 0.81'!$E19</f>
        <v>80.297089769999999</v>
      </c>
      <c r="N19" s="15">
        <f>'FU 0.82'!$E19</f>
        <v>79.870658399999996</v>
      </c>
      <c r="O19" s="15">
        <f>'FU 0.83'!$E19</f>
        <v>79.444182369999993</v>
      </c>
      <c r="P19" s="15">
        <f>'FU 0.84'!$E19</f>
        <v>79.017656360000004</v>
      </c>
      <c r="Q19" s="15">
        <f>'FU 0.85'!$E19</f>
        <v>78.591074180000007</v>
      </c>
    </row>
    <row r="20" spans="1:17" x14ac:dyDescent="0.25">
      <c r="A20">
        <f>'FU 0.7'!A20</f>
        <v>0.78</v>
      </c>
      <c r="B20" s="15">
        <f>'FU 0.7'!E20</f>
        <v>85.493571259999996</v>
      </c>
      <c r="C20" s="15">
        <f t="shared" si="0"/>
        <v>85.074559520000008</v>
      </c>
      <c r="D20" s="15">
        <f>'FU 0.72'!$E20</f>
        <v>84.655547780000006</v>
      </c>
      <c r="E20" s="15">
        <f>'FU 0.73'!$E20</f>
        <v>84.236515819999994</v>
      </c>
      <c r="F20" s="15">
        <f>'FU 0.74'!$E20</f>
        <v>83.817466330000002</v>
      </c>
      <c r="G20" s="15">
        <f>'FU 0.75'!$E20</f>
        <v>83.39839628</v>
      </c>
      <c r="H20" s="15">
        <f>'FU 0.76'!$E20</f>
        <v>82.97930255</v>
      </c>
      <c r="I20" s="15">
        <f>'FU 0.77'!$E20</f>
        <v>82.560181869999994</v>
      </c>
      <c r="J20" s="15">
        <f>'FU 0.78'!$E20</f>
        <v>82.141030830000005</v>
      </c>
      <c r="K20" s="15">
        <f>'FU 0.79'!$E20</f>
        <v>81.721845729999998</v>
      </c>
      <c r="L20" s="15">
        <f>'FU 0.8'!$E20</f>
        <v>81.302622580000005</v>
      </c>
      <c r="M20" s="15">
        <f>'FU 0.81'!$E20</f>
        <v>80.883356950000007</v>
      </c>
      <c r="N20" s="15">
        <f>'FU 0.82'!$E20</f>
        <v>80.464043889999999</v>
      </c>
      <c r="O20" s="15">
        <f>'FU 0.83'!$E20</f>
        <v>80.044677780000001</v>
      </c>
      <c r="P20" s="15">
        <f>'FU 0.84'!$E20</f>
        <v>79.625252130000007</v>
      </c>
      <c r="Q20" s="15">
        <f>'FU 0.85'!$E20</f>
        <v>79.205759369999996</v>
      </c>
    </row>
    <row r="21" spans="1:17" x14ac:dyDescent="0.25">
      <c r="A21">
        <f>'FU 0.7'!A21</f>
        <v>0.79</v>
      </c>
      <c r="B21" s="15">
        <f>'FU 0.7'!E21</f>
        <v>86.000705620000005</v>
      </c>
      <c r="C21" s="15">
        <f t="shared" si="0"/>
        <v>85.588837860000012</v>
      </c>
      <c r="D21" s="15">
        <f>'FU 0.72'!$E21</f>
        <v>85.176970100000005</v>
      </c>
      <c r="E21" s="15">
        <f>'FU 0.73'!$E21</f>
        <v>84.765077730000002</v>
      </c>
      <c r="F21" s="15">
        <f>'FU 0.74'!$E21</f>
        <v>84.353164239999998</v>
      </c>
      <c r="G21" s="15">
        <f>'FU 0.75'!$E21</f>
        <v>83.941226040000004</v>
      </c>
      <c r="H21" s="15">
        <f>'FU 0.76'!$E21</f>
        <v>83.52925947</v>
      </c>
      <c r="I21" s="15">
        <f>'FU 0.77'!$E21</f>
        <v>83.117260650000006</v>
      </c>
      <c r="J21" s="15">
        <f>'FU 0.78'!$E21</f>
        <v>82.705225510000005</v>
      </c>
      <c r="K21" s="15">
        <f>'FU 0.79'!$E21</f>
        <v>82.293149619999994</v>
      </c>
      <c r="L21" s="15">
        <f>'FU 0.8'!$E21</f>
        <v>81.881028150000006</v>
      </c>
      <c r="M21" s="15">
        <f>'FU 0.81'!$E21</f>
        <v>81.468855700000006</v>
      </c>
      <c r="N21" s="15">
        <f>'FU 0.82'!$E21</f>
        <v>81.056626230000006</v>
      </c>
      <c r="O21" s="15">
        <f>'FU 0.83'!$E21</f>
        <v>80.644332800000001</v>
      </c>
      <c r="P21" s="15">
        <f>'FU 0.84'!$E21</f>
        <v>80.231967350000005</v>
      </c>
      <c r="Q21" s="15">
        <f>'FU 0.85'!$E21</f>
        <v>79.819520400000002</v>
      </c>
    </row>
    <row r="22" spans="1:17" x14ac:dyDescent="0.25">
      <c r="A22">
        <f>'FU 0.7'!A22</f>
        <v>0.8</v>
      </c>
      <c r="B22" s="15">
        <f>'FU 0.7'!E22</f>
        <v>86.50726641</v>
      </c>
      <c r="C22" s="15">
        <f t="shared" si="0"/>
        <v>86.102516325000011</v>
      </c>
      <c r="D22" s="15">
        <f>'FU 0.72'!$E22</f>
        <v>85.697766240000007</v>
      </c>
      <c r="E22" s="15">
        <f>'FU 0.73'!$E22</f>
        <v>85.292985810000005</v>
      </c>
      <c r="F22" s="15">
        <f>'FU 0.74'!$E22</f>
        <v>84.888179570000005</v>
      </c>
      <c r="G22" s="15">
        <f>'FU 0.75'!$E22</f>
        <v>84.483343259999998</v>
      </c>
      <c r="H22" s="15">
        <f>'FU 0.76'!$E22</f>
        <v>84.078472469999994</v>
      </c>
      <c r="I22" s="15">
        <f>'FU 0.77'!$E22</f>
        <v>83.673562559999993</v>
      </c>
      <c r="J22" s="15">
        <f>'FU 0.78'!$E22</f>
        <v>83.268608549999996</v>
      </c>
      <c r="K22" s="15">
        <f>'FU 0.79'!$E22</f>
        <v>82.863605039999996</v>
      </c>
      <c r="L22" s="15">
        <f>'FU 0.8'!$E22</f>
        <v>82.458546069999997</v>
      </c>
      <c r="M22" s="15">
        <f>'FU 0.81'!$E22</f>
        <v>82.053424969999995</v>
      </c>
      <c r="N22" s="15">
        <f>'FU 0.82'!$E22</f>
        <v>81.648234130000006</v>
      </c>
      <c r="O22" s="15">
        <f>'FU 0.83'!$E22</f>
        <v>81.242964819999997</v>
      </c>
      <c r="P22" s="15">
        <f>'FU 0.84'!$E22</f>
        <v>80.837606780000002</v>
      </c>
      <c r="Q22" s="15">
        <f>'FU 0.85'!$E22</f>
        <v>80.432147799999996</v>
      </c>
    </row>
    <row r="23" spans="1:17" x14ac:dyDescent="0.25">
      <c r="A23">
        <f>'FU 0.7'!A23</f>
        <v>0.81</v>
      </c>
      <c r="B23" s="15">
        <f>'FU 0.7'!E23</f>
        <v>87.013136110000005</v>
      </c>
      <c r="C23" s="15">
        <f t="shared" si="0"/>
        <v>86.615470224999996</v>
      </c>
      <c r="D23" s="15">
        <f>'FU 0.72'!$E23</f>
        <v>86.217804340000001</v>
      </c>
      <c r="E23" s="15">
        <f>'FU 0.73'!$E23</f>
        <v>85.82010099</v>
      </c>
      <c r="F23" s="15">
        <f>'FU 0.74'!$E23</f>
        <v>85.42236561</v>
      </c>
      <c r="G23" s="15">
        <f>'FU 0.75'!$E23</f>
        <v>85.024593030000005</v>
      </c>
      <c r="H23" s="15">
        <f>'FU 0.76'!$E23</f>
        <v>84.626777869999998</v>
      </c>
      <c r="I23" s="15">
        <f>'FU 0.77'!$E23</f>
        <v>84.228914430000003</v>
      </c>
      <c r="J23" s="15">
        <f>'FU 0.78'!$E23</f>
        <v>83.830996540000001</v>
      </c>
      <c r="K23" s="15">
        <f>'FU 0.79'!$E23</f>
        <v>83.433017430000007</v>
      </c>
      <c r="L23" s="15">
        <f>'FU 0.8'!$E23</f>
        <v>83.034969599999997</v>
      </c>
      <c r="M23" s="15">
        <f>'FU 0.81'!$E23</f>
        <v>82.636844519999997</v>
      </c>
      <c r="N23" s="15">
        <f>'FU 0.82'!$E23</f>
        <v>82.238632449999997</v>
      </c>
      <c r="O23" s="15">
        <f>'FU 0.83'!$E23</f>
        <v>81.840322009999994</v>
      </c>
      <c r="P23" s="15">
        <f>'FU 0.84'!$E23</f>
        <v>81.441899739999997</v>
      </c>
      <c r="Q23" s="15">
        <f>'FU 0.85'!$E23</f>
        <v>81.043349430000006</v>
      </c>
    </row>
    <row r="24" spans="1:17" x14ac:dyDescent="0.25">
      <c r="A24">
        <f>'FU 0.7'!A24</f>
        <v>0.82</v>
      </c>
      <c r="B24" s="15">
        <f>'FU 0.7'!E24</f>
        <v>87.518157369999997</v>
      </c>
      <c r="C24" s="15">
        <f t="shared" si="0"/>
        <v>87.12753438499999</v>
      </c>
      <c r="D24" s="15">
        <f>'FU 0.72'!$E24</f>
        <v>86.736911399999997</v>
      </c>
      <c r="E24" s="15">
        <f>'FU 0.73'!$E24</f>
        <v>86.346240030000004</v>
      </c>
      <c r="F24" s="15">
        <f>'FU 0.74'!$E24</f>
        <v>85.955527129999993</v>
      </c>
      <c r="G24" s="15">
        <f>'FU 0.75'!$E24</f>
        <v>85.564768619999995</v>
      </c>
      <c r="H24" s="15">
        <f>'FU 0.76'!$E24</f>
        <v>85.173956489999995</v>
      </c>
      <c r="I24" s="15">
        <f>'FU 0.77'!$E24</f>
        <v>84.783083550000001</v>
      </c>
      <c r="J24" s="15">
        <f>'FU 0.78'!$E24</f>
        <v>84.392141960000004</v>
      </c>
      <c r="K24" s="15">
        <f>'FU 0.79'!$E24</f>
        <v>84.001123010000001</v>
      </c>
      <c r="L24" s="15">
        <f>'FU 0.8'!$E24</f>
        <v>83.610016939999994</v>
      </c>
      <c r="M24" s="15">
        <f>'FU 0.81'!$E24</f>
        <v>83.218812560000003</v>
      </c>
      <c r="N24" s="15">
        <f>'FU 0.82'!$E24</f>
        <v>82.827496879999998</v>
      </c>
      <c r="O24" s="15">
        <f>'FU 0.83'!$E24</f>
        <v>82.436054589999998</v>
      </c>
      <c r="P24" s="15">
        <f>'FU 0.84'!$E24</f>
        <v>82.044467310000002</v>
      </c>
      <c r="Q24" s="15">
        <f>'FU 0.85'!$E24</f>
        <v>81.652712589999993</v>
      </c>
    </row>
    <row r="25" spans="1:17" x14ac:dyDescent="0.25">
      <c r="A25">
        <f>'FU 0.7'!A25</f>
        <v>0.83</v>
      </c>
      <c r="B25" s="15">
        <f>'FU 0.7'!E25</f>
        <v>88.022119470000007</v>
      </c>
      <c r="C25" s="15">
        <f t="shared" si="0"/>
        <v>87.638484059999996</v>
      </c>
      <c r="D25" s="15">
        <f>'FU 0.72'!$E25</f>
        <v>87.25484865</v>
      </c>
      <c r="E25" s="15">
        <f>'FU 0.73'!$E25</f>
        <v>86.871150189999994</v>
      </c>
      <c r="F25" s="15">
        <f>'FU 0.74'!$E25</f>
        <v>86.487399389999993</v>
      </c>
      <c r="G25" s="15">
        <f>'FU 0.75'!$E25</f>
        <v>86.103588139999999</v>
      </c>
      <c r="H25" s="15">
        <f>'FU 0.76'!$E25</f>
        <v>85.719707799999995</v>
      </c>
      <c r="I25" s="15">
        <f>'FU 0.77'!$E25</f>
        <v>85.335749000000007</v>
      </c>
      <c r="J25" s="15">
        <f>'FU 0.78'!$E25</f>
        <v>84.951700220000006</v>
      </c>
      <c r="K25" s="15">
        <f>'FU 0.79'!$E25</f>
        <v>84.567552469999995</v>
      </c>
      <c r="L25" s="15">
        <f>'FU 0.8'!$E25</f>
        <v>84.183291109999999</v>
      </c>
      <c r="M25" s="15">
        <f>'FU 0.81'!$E25</f>
        <v>83.79890082</v>
      </c>
      <c r="N25" s="15">
        <f>'FU 0.82'!$E25</f>
        <v>83.414363559999998</v>
      </c>
      <c r="O25" s="15">
        <f>'FU 0.83'!$E25</f>
        <v>83.029657700000001</v>
      </c>
      <c r="P25" s="15">
        <f>'FU 0.84'!$E25</f>
        <v>82.644756839999999</v>
      </c>
      <c r="Q25" s="15">
        <f>'FU 0.85'!$E25</f>
        <v>82.259628129999996</v>
      </c>
    </row>
    <row r="26" spans="1:17" x14ac:dyDescent="0.25">
      <c r="A26">
        <f>'FU 0.7'!A26</f>
        <v>0.84</v>
      </c>
      <c r="B26" s="15">
        <f>'FU 0.7'!E26</f>
        <v>88.524726830000006</v>
      </c>
      <c r="C26" s="15">
        <f t="shared" si="0"/>
        <v>88.148005304999998</v>
      </c>
      <c r="D26" s="15">
        <f>'FU 0.72'!$E26</f>
        <v>87.771283780000005</v>
      </c>
      <c r="E26" s="15">
        <f>'FU 0.73'!$E26</f>
        <v>87.394477789999996</v>
      </c>
      <c r="F26" s="15">
        <f>'FU 0.74'!$E26</f>
        <v>87.017602170000004</v>
      </c>
      <c r="G26" s="15">
        <f>'FU 0.75'!$E26</f>
        <v>86.640646270000005</v>
      </c>
      <c r="H26" s="15">
        <f>'FU 0.76'!$E26</f>
        <v>86.263598579999993</v>
      </c>
      <c r="I26" s="15">
        <f>'FU 0.77'!$E26</f>
        <v>85.88644644</v>
      </c>
      <c r="J26" s="15">
        <f>'FU 0.78'!$E26</f>
        <v>85.509175650000003</v>
      </c>
      <c r="K26" s="15">
        <f>'FU 0.79'!$E26</f>
        <v>85.131770029999998</v>
      </c>
      <c r="L26" s="15">
        <f>'FU 0.8'!$E26</f>
        <v>84.754210810000004</v>
      </c>
      <c r="M26" s="15">
        <f>'FU 0.81'!$E26</f>
        <v>84.376473959999998</v>
      </c>
      <c r="N26" s="15">
        <f>'FU 0.82'!$E26</f>
        <v>83.998536979999997</v>
      </c>
      <c r="O26" s="15">
        <f>'FU 0.83'!$E26</f>
        <v>83.620365100000001</v>
      </c>
      <c r="P26" s="15">
        <f>'FU 0.84'!$E26</f>
        <v>83.241917709999996</v>
      </c>
      <c r="Q26" s="15">
        <f>'FU 0.85'!$E26</f>
        <v>82.863142920000001</v>
      </c>
    </row>
    <row r="27" spans="1:17" x14ac:dyDescent="0.25">
      <c r="A27">
        <f>'FU 0.7'!A27</f>
        <v>0.85</v>
      </c>
      <c r="B27" s="15">
        <f>'FU 0.7'!E27</f>
        <v>89.025547889999999</v>
      </c>
      <c r="C27" s="15">
        <f t="shared" si="0"/>
        <v>88.655638080000003</v>
      </c>
      <c r="D27" s="15">
        <f>'FU 0.72'!$E27</f>
        <v>88.285728270000007</v>
      </c>
      <c r="E27" s="15">
        <f>'FU 0.73'!$E27</f>
        <v>87.915701209999995</v>
      </c>
      <c r="F27" s="15">
        <f>'FU 0.74'!$E27</f>
        <v>87.545578129999996</v>
      </c>
      <c r="G27" s="15">
        <f>'FU 0.75'!$E27</f>
        <v>87.175344390000006</v>
      </c>
      <c r="H27" s="15">
        <f>'FU 0.76'!$E27</f>
        <v>86.804983890000003</v>
      </c>
      <c r="I27" s="15">
        <f>'FU 0.77'!$E27</f>
        <v>86.434478549999994</v>
      </c>
      <c r="J27" s="15">
        <f>'FU 0.78'!$E27</f>
        <v>86.063807710000006</v>
      </c>
      <c r="K27" s="15">
        <f>'FU 0.79'!$E27</f>
        <v>85.692947279999998</v>
      </c>
      <c r="L27" s="15">
        <f>'FU 0.8'!$E27</f>
        <v>85.321868730000006</v>
      </c>
      <c r="M27" s="15">
        <f>'FU 0.81'!$E27</f>
        <v>84.950537560000001</v>
      </c>
      <c r="N27" s="15">
        <f>'FU 0.82'!$E27</f>
        <v>84.57891128</v>
      </c>
      <c r="O27" s="15">
        <f>'FU 0.83'!$E27</f>
        <v>84.206936389999996</v>
      </c>
      <c r="P27" s="15">
        <f>'FU 0.84'!$E27</f>
        <v>83.834543870000005</v>
      </c>
      <c r="Q27" s="15">
        <f>'FU 0.85'!$E27</f>
        <v>83.461642170000005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G31" sqref="G31"/>
    </sheetView>
  </sheetViews>
  <sheetFormatPr defaultRowHeight="15" x14ac:dyDescent="0.25"/>
  <sheetData>
    <row r="1" spans="1:17" x14ac:dyDescent="0.25">
      <c r="B1">
        <v>0.7</v>
      </c>
      <c r="C1">
        <v>0.71</v>
      </c>
      <c r="D1">
        <v>0.72</v>
      </c>
      <c r="E1">
        <v>0.73</v>
      </c>
      <c r="F1">
        <v>0.74</v>
      </c>
      <c r="G1">
        <v>0.75</v>
      </c>
      <c r="H1">
        <v>0.76</v>
      </c>
      <c r="I1">
        <v>0.77</v>
      </c>
      <c r="J1">
        <v>0.78</v>
      </c>
      <c r="K1">
        <v>0.79</v>
      </c>
      <c r="L1">
        <v>0.8</v>
      </c>
      <c r="M1">
        <v>0.81</v>
      </c>
      <c r="N1">
        <v>0.82</v>
      </c>
      <c r="O1">
        <v>0.83</v>
      </c>
      <c r="P1">
        <v>0.84</v>
      </c>
      <c r="Q1">
        <v>0.85</v>
      </c>
    </row>
    <row r="2" spans="1:17" x14ac:dyDescent="0.25">
      <c r="A2">
        <f>'FU 0.7'!A2</f>
        <v>0.6</v>
      </c>
      <c r="B2" s="16">
        <f>'FU 0.7'!$L2</f>
        <v>9172.3292999999994</v>
      </c>
      <c r="C2" s="16">
        <f>'FU 0.71'!$L2</f>
        <v>9145.8791999999994</v>
      </c>
      <c r="D2" s="16">
        <f>'FU 0.72'!$L2</f>
        <v>9119.3387000000002</v>
      </c>
      <c r="E2" s="16">
        <f>'FU 0.73'!$L2</f>
        <v>9092.6882000000005</v>
      </c>
      <c r="F2" s="16">
        <f>'FU 0.74'!$L2</f>
        <v>9065.9066000000003</v>
      </c>
      <c r="G2" s="16">
        <f>'FU 0.75'!$L2</f>
        <v>9038.9714000000004</v>
      </c>
      <c r="H2" s="16">
        <f>'FU 0.76'!$L2</f>
        <v>9011.8583999999992</v>
      </c>
      <c r="I2" s="16">
        <f>'FU 0.77'!$L2</f>
        <v>8984.5416999999998</v>
      </c>
      <c r="J2" s="16">
        <f>'FU 0.78'!$L2</f>
        <v>8956.9928999999993</v>
      </c>
      <c r="K2" s="16">
        <f>'FU 0.79'!$L2</f>
        <v>8929.1810000000005</v>
      </c>
      <c r="L2" s="16">
        <f>'FU 0.8'!$L2</f>
        <v>8901.0722000000005</v>
      </c>
      <c r="M2" s="16">
        <f>'FU 0.81'!$L2</f>
        <v>8872.6286999999993</v>
      </c>
      <c r="N2" s="16">
        <f>'FU 0.82'!$L2</f>
        <v>8843.8086000000003</v>
      </c>
      <c r="O2" s="16">
        <f>'FU 0.83'!$L2</f>
        <v>8814.5645999999997</v>
      </c>
      <c r="P2" s="16">
        <f>'FU 0.84'!$L2</f>
        <v>8784.8433000000005</v>
      </c>
      <c r="Q2" s="16">
        <f>'FU 0.85'!$L2</f>
        <v>8754.5835000000006</v>
      </c>
    </row>
    <row r="3" spans="1:17" x14ac:dyDescent="0.25">
      <c r="A3">
        <f>'FU 0.7'!A3</f>
        <v>0.61</v>
      </c>
      <c r="B3" s="16">
        <f>'FU 0.7'!$L3</f>
        <v>8936.8474999999999</v>
      </c>
      <c r="C3" s="16">
        <f>'FU 0.71'!$L3</f>
        <v>8910.3389000000006</v>
      </c>
      <c r="D3" s="16">
        <f>'FU 0.72'!$L3</f>
        <v>8883.7363000000005</v>
      </c>
      <c r="E3" s="16">
        <f>'FU 0.73'!$L3</f>
        <v>8857.0198</v>
      </c>
      <c r="F3" s="16">
        <f>'FU 0.74'!$L3</f>
        <v>8830.1681000000008</v>
      </c>
      <c r="G3" s="16">
        <f>'FU 0.75'!$L3</f>
        <v>8803.1584000000003</v>
      </c>
      <c r="H3" s="16">
        <f>'FU 0.76'!$L3</f>
        <v>8775.9665000000005</v>
      </c>
      <c r="I3" s="16">
        <f>'FU 0.77'!$L3</f>
        <v>8748.5658999999996</v>
      </c>
      <c r="J3" s="16">
        <f>'FU 0.78'!$L3</f>
        <v>8720.9279000000006</v>
      </c>
      <c r="K3" s="16">
        <f>'FU 0.79'!$L3</f>
        <v>8693.0210999999999</v>
      </c>
      <c r="L3" s="16">
        <f>'FU 0.8'!$L3</f>
        <v>8664.8112000000001</v>
      </c>
      <c r="M3" s="16">
        <f>'FU 0.81'!$L3</f>
        <v>8636.2597000000005</v>
      </c>
      <c r="N3" s="16">
        <f>'FU 0.82'!$L3</f>
        <v>8607.3240999999998</v>
      </c>
      <c r="O3" s="16">
        <f>'FU 0.83'!$L3</f>
        <v>8577.9562999999998</v>
      </c>
      <c r="P3" s="16">
        <f>'FU 0.84'!$L3</f>
        <v>8548.1018000000004</v>
      </c>
      <c r="Q3" s="16">
        <f>'FU 0.85'!$L3</f>
        <v>8517.6983</v>
      </c>
    </row>
    <row r="4" spans="1:17" x14ac:dyDescent="0.25">
      <c r="A4">
        <f>'FU 0.7'!A4</f>
        <v>0.62</v>
      </c>
      <c r="B4" s="16">
        <f>'FU 0.7'!$L4</f>
        <v>8701.1504999999997</v>
      </c>
      <c r="C4" s="16">
        <f>'FU 0.71'!$L4</f>
        <v>8674.5800999999992</v>
      </c>
      <c r="D4" s="16">
        <f>'FU 0.72'!$L4</f>
        <v>8647.9117999999999</v>
      </c>
      <c r="E4" s="16">
        <f>'FU 0.73'!$L4</f>
        <v>8621.1255000000001</v>
      </c>
      <c r="F4" s="16">
        <f>'FU 0.74'!$L4</f>
        <v>8594.1995000000006</v>
      </c>
      <c r="G4" s="16">
        <f>'FU 0.75'!$L4</f>
        <v>8567.1110000000008</v>
      </c>
      <c r="H4" s="16">
        <f>'FU 0.76'!$L4</f>
        <v>8539.8353000000006</v>
      </c>
      <c r="I4" s="16">
        <f>'FU 0.77'!$L4</f>
        <v>8512.3456000000006</v>
      </c>
      <c r="J4" s="16">
        <f>'FU 0.78'!$L4</f>
        <v>8484.6128000000008</v>
      </c>
      <c r="K4" s="16">
        <f>'FU 0.79'!$L4</f>
        <v>8456.6052</v>
      </c>
      <c r="L4" s="16">
        <f>'FU 0.8'!$L4</f>
        <v>8428.2875999999997</v>
      </c>
      <c r="M4" s="16">
        <f>'FU 0.81'!$L4</f>
        <v>8399.6211999999996</v>
      </c>
      <c r="N4" s="16">
        <f>'FU 0.82'!$L4</f>
        <v>8370.5625</v>
      </c>
      <c r="O4" s="16">
        <f>'FU 0.83'!$L4</f>
        <v>8341.0625999999993</v>
      </c>
      <c r="P4" s="16">
        <f>'FU 0.84'!$L4</f>
        <v>8311.0660000000007</v>
      </c>
      <c r="Q4" s="16">
        <f>'FU 0.85'!$L4</f>
        <v>8280.5089000000007</v>
      </c>
    </row>
    <row r="5" spans="1:17" x14ac:dyDescent="0.25">
      <c r="A5">
        <f>'FU 0.7'!A5</f>
        <v>0.63</v>
      </c>
      <c r="B5" s="16">
        <f>'FU 0.7'!$L5</f>
        <v>8465.2204000000002</v>
      </c>
      <c r="C5" s="16">
        <f>'FU 0.71'!$L5</f>
        <v>8438.5848000000005</v>
      </c>
      <c r="D5" s="16">
        <f>'FU 0.72'!$L5</f>
        <v>8411.8469999999998</v>
      </c>
      <c r="E5" s="16">
        <f>'FU 0.73'!$L5</f>
        <v>8384.9866000000002</v>
      </c>
      <c r="F5" s="16">
        <f>'FU 0.74'!$L5</f>
        <v>8357.9819000000007</v>
      </c>
      <c r="G5" s="16">
        <f>'FU 0.75'!$L5</f>
        <v>8330.8096999999998</v>
      </c>
      <c r="H5" s="16">
        <f>'FU 0.76'!$L5</f>
        <v>8303.4449000000004</v>
      </c>
      <c r="I5" s="16">
        <f>'FU 0.77'!$L5</f>
        <v>8275.8605000000007</v>
      </c>
      <c r="J5" s="16">
        <f>'FU 0.78'!$L5</f>
        <v>8248.0267999999996</v>
      </c>
      <c r="K5" s="16">
        <f>'FU 0.79'!$L5</f>
        <v>8219.9117000000006</v>
      </c>
      <c r="L5" s="16">
        <f>'FU 0.8'!$L5</f>
        <v>8191.4793</v>
      </c>
      <c r="M5" s="16">
        <f>'FU 0.81'!$L5</f>
        <v>8162.6902</v>
      </c>
      <c r="N5" s="16">
        <f>'FU 0.82'!$L5</f>
        <v>8133.5</v>
      </c>
      <c r="O5" s="16">
        <f>'FU 0.83'!$L5</f>
        <v>8103.8589000000002</v>
      </c>
      <c r="P5" s="16">
        <f>'FU 0.84'!$L5</f>
        <v>8073.7102000000004</v>
      </c>
      <c r="Q5" s="16">
        <f>'FU 0.85'!$L5</f>
        <v>8042.9886999999999</v>
      </c>
    </row>
    <row r="6" spans="1:17" x14ac:dyDescent="0.25">
      <c r="A6">
        <f>'FU 0.7'!A6</f>
        <v>0.64</v>
      </c>
      <c r="B6" s="16">
        <f>'FU 0.7'!$L6</f>
        <v>8229.0375000000004</v>
      </c>
      <c r="C6" s="16">
        <f>'FU 0.71'!$L6</f>
        <v>8202.3330000000005</v>
      </c>
      <c r="D6" s="16">
        <f>'FU 0.72'!$L6</f>
        <v>8175.5214999999998</v>
      </c>
      <c r="E6" s="16">
        <f>'FU 0.73'!$L6</f>
        <v>8148.5825000000004</v>
      </c>
      <c r="F6" s="16">
        <f>'FU 0.74'!$L6</f>
        <v>8121.4940999999999</v>
      </c>
      <c r="G6" s="16">
        <f>'FU 0.75'!$L6</f>
        <v>8094.2327999999998</v>
      </c>
      <c r="H6" s="16">
        <f>'FU 0.76'!$L6</f>
        <v>8066.7731999999996</v>
      </c>
      <c r="I6" s="16">
        <f>'FU 0.77'!$L6</f>
        <v>8039.0877</v>
      </c>
      <c r="J6" s="16">
        <f>'FU 0.78'!$L6</f>
        <v>8011.1463999999996</v>
      </c>
      <c r="K6" s="16">
        <f>'FU 0.79'!$L6</f>
        <v>7982.9164000000001</v>
      </c>
      <c r="L6" s="16">
        <f>'FU 0.8'!$L6</f>
        <v>7954.3613999999998</v>
      </c>
      <c r="M6" s="16">
        <f>'FU 0.81'!$L6</f>
        <v>7925.4409999999998</v>
      </c>
      <c r="N6" s="16">
        <f>'FU 0.82'!$L6</f>
        <v>7896.1100999999999</v>
      </c>
      <c r="O6" s="16">
        <f>'FU 0.83'!$L6</f>
        <v>7866.3176999999996</v>
      </c>
      <c r="P6" s="16">
        <f>'FU 0.84'!$L6</f>
        <v>7836.0057999999999</v>
      </c>
      <c r="Q6" s="16">
        <f>'FU 0.85'!$L6</f>
        <v>7805.1077999999998</v>
      </c>
    </row>
    <row r="7" spans="1:17" x14ac:dyDescent="0.25">
      <c r="A7">
        <f>'FU 0.7'!A7</f>
        <v>0.65</v>
      </c>
      <c r="B7" s="16">
        <f>'FU 0.7'!$L7</f>
        <v>7992.5797000000002</v>
      </c>
      <c r="C7" s="16">
        <f>'FU 0.71'!$L7</f>
        <v>7965.8019999999997</v>
      </c>
      <c r="D7" s="16">
        <f>'FU 0.72'!$L7</f>
        <v>7938.9121999999998</v>
      </c>
      <c r="E7" s="16">
        <f>'FU 0.73'!$L7</f>
        <v>7911.8896999999997</v>
      </c>
      <c r="F7" s="16">
        <f>'FU 0.74'!$L7</f>
        <v>7884.7121999999999</v>
      </c>
      <c r="G7" s="16">
        <f>'FU 0.75'!$L7</f>
        <v>7857.3558999999996</v>
      </c>
      <c r="H7" s="16">
        <f>'FU 0.76'!$L7</f>
        <v>7829.7950000000001</v>
      </c>
      <c r="I7" s="16">
        <f>'FU 0.77'!$L7</f>
        <v>7802.0016999999998</v>
      </c>
      <c r="J7" s="16">
        <f>'FU 0.78'!$L7</f>
        <v>7773.9453000000003</v>
      </c>
      <c r="K7" s="16">
        <f>'FU 0.79'!$L7</f>
        <v>7745.5924000000005</v>
      </c>
      <c r="L7" s="16">
        <f>'FU 0.8'!$L7</f>
        <v>7716.9059999999999</v>
      </c>
      <c r="M7" s="16">
        <f>'FU 0.81'!$L7</f>
        <v>7687.8447999999999</v>
      </c>
      <c r="N7" s="16">
        <f>'FU 0.82'!$L7</f>
        <v>7658.3627999999999</v>
      </c>
      <c r="O7" s="16">
        <f>'FU 0.83'!$L7</f>
        <v>7628.4078</v>
      </c>
      <c r="P7" s="16">
        <f>'FU 0.84'!$L7</f>
        <v>7597.9205000000002</v>
      </c>
      <c r="Q7" s="16">
        <f>'FU 0.85'!$L7</f>
        <v>7566.8325000000004</v>
      </c>
    </row>
    <row r="8" spans="1:17" x14ac:dyDescent="0.25">
      <c r="A8">
        <f>'FU 0.7'!A8</f>
        <v>0.66</v>
      </c>
      <c r="B8" s="16">
        <f>'FU 0.7'!$L8</f>
        <v>7755.8221000000003</v>
      </c>
      <c r="C8" s="16">
        <f>'FU 0.71'!$L8</f>
        <v>7728.9665999999997</v>
      </c>
      <c r="D8" s="16">
        <f>'FU 0.72'!$L8</f>
        <v>7701.9935999999998</v>
      </c>
      <c r="E8" s="16">
        <f>'FU 0.73'!$L8</f>
        <v>7674.8819999999996</v>
      </c>
      <c r="F8" s="16">
        <f>'FU 0.74'!$L8</f>
        <v>7647.6094000000003</v>
      </c>
      <c r="G8" s="16">
        <f>'FU 0.75'!$L8</f>
        <v>7620.1516000000001</v>
      </c>
      <c r="H8" s="16">
        <f>'FU 0.76'!$L8</f>
        <v>7592.4825000000001</v>
      </c>
      <c r="I8" s="16">
        <f>'FU 0.77'!$L8</f>
        <v>7564.5735000000004</v>
      </c>
      <c r="J8" s="16">
        <f>'FU 0.78'!$L8</f>
        <v>7536.3936999999996</v>
      </c>
      <c r="K8" s="16">
        <f>'FU 0.79'!$L8</f>
        <v>7507.9089999999997</v>
      </c>
      <c r="L8" s="16">
        <f>'FU 0.8'!$L8</f>
        <v>7479.0814</v>
      </c>
      <c r="M8" s="16">
        <f>'FU 0.81'!$L8</f>
        <v>7449.8689000000004</v>
      </c>
      <c r="N8" s="16">
        <f>'FU 0.82'!$L8</f>
        <v>7420.2242999999999</v>
      </c>
      <c r="O8" s="16">
        <f>'FU 0.83'!$L8</f>
        <v>7390.0941000000003</v>
      </c>
      <c r="P8" s="16">
        <f>'FU 0.84'!$L8</f>
        <v>7359.4175999999998</v>
      </c>
      <c r="Q8" s="16">
        <f>'FU 0.85'!$L8</f>
        <v>7328.1243999999997</v>
      </c>
    </row>
    <row r="9" spans="1:17" x14ac:dyDescent="0.25">
      <c r="A9">
        <f>'FU 0.7'!A9</f>
        <v>0.67</v>
      </c>
      <c r="B9" s="16">
        <f>'FU 0.7'!$L9</f>
        <v>7518.7363999999998</v>
      </c>
      <c r="C9" s="16">
        <f>'FU 0.71'!$L9</f>
        <v>7491.7982000000002</v>
      </c>
      <c r="D9" s="16">
        <f>'FU 0.72'!$L9</f>
        <v>7464.7363999999998</v>
      </c>
      <c r="E9" s="16">
        <f>'FU 0.73'!$L9</f>
        <v>7437.5297</v>
      </c>
      <c r="F9" s="16">
        <f>'FU 0.74'!$L9</f>
        <v>7410.1553999999996</v>
      </c>
      <c r="G9" s="16">
        <f>'FU 0.75'!$L9</f>
        <v>7382.5888999999997</v>
      </c>
      <c r="H9" s="16">
        <f>'FU 0.76'!$L9</f>
        <v>7354.8036000000002</v>
      </c>
      <c r="I9" s="16">
        <f>'FU 0.77'!$L9</f>
        <v>7326.7705999999998</v>
      </c>
      <c r="J9" s="16">
        <f>'FU 0.78'!$L9</f>
        <v>7298.4582</v>
      </c>
      <c r="K9" s="16">
        <f>'FU 0.79'!$L9</f>
        <v>7269.8315000000002</v>
      </c>
      <c r="L9" s="16">
        <f>'FU 0.8'!$L9</f>
        <v>7240.8518999999997</v>
      </c>
      <c r="M9" s="16">
        <f>'FU 0.81'!$L9</f>
        <v>7211.4762000000001</v>
      </c>
      <c r="N9" s="16">
        <f>'FU 0.82'!$L9</f>
        <v>7181.6559999999999</v>
      </c>
      <c r="O9" s="16">
        <f>'FU 0.83'!$L9</f>
        <v>7151.3365999999996</v>
      </c>
      <c r="P9" s="16">
        <f>'FU 0.84'!$L9</f>
        <v>7120.4552999999996</v>
      </c>
      <c r="Q9" s="16">
        <f>'FU 0.85'!$L9</f>
        <v>7088.9399000000003</v>
      </c>
    </row>
    <row r="10" spans="1:17" x14ac:dyDescent="0.25">
      <c r="A10">
        <f>'FU 0.7'!A10</f>
        <v>0.68</v>
      </c>
      <c r="B10" s="16">
        <f>'FU 0.7'!$L10</f>
        <v>7281.2906000000003</v>
      </c>
      <c r="C10" s="16">
        <f>'FU 0.71'!$L10</f>
        <v>7254.2642999999998</v>
      </c>
      <c r="D10" s="16">
        <f>'FU 0.72'!$L10</f>
        <v>7227.1076000000003</v>
      </c>
      <c r="E10" s="16">
        <f>'FU 0.73'!$L10</f>
        <v>7199.7992000000004</v>
      </c>
      <c r="F10" s="16">
        <f>'FU 0.74'!$L10</f>
        <v>7172.3158000000003</v>
      </c>
      <c r="G10" s="16">
        <f>'FU 0.75'!$L10</f>
        <v>7144.6325999999999</v>
      </c>
      <c r="H10" s="16">
        <f>'FU 0.76'!$L10</f>
        <v>7116.7224999999999</v>
      </c>
      <c r="I10" s="16">
        <f>'FU 0.77'!$L10</f>
        <v>7088.5559000000003</v>
      </c>
      <c r="J10" s="16">
        <f>'FU 0.78'!$L10</f>
        <v>7060.1004999999996</v>
      </c>
      <c r="K10" s="16">
        <f>'FU 0.79'!$L10</f>
        <v>7031.3206</v>
      </c>
      <c r="L10" s="16">
        <f>'FU 0.8'!$L10</f>
        <v>7002.1767</v>
      </c>
      <c r="M10" s="16">
        <f>'FU 0.81'!$L10</f>
        <v>6972.6243999999997</v>
      </c>
      <c r="N10" s="16">
        <f>'FU 0.82'!$L10</f>
        <v>6942.6142</v>
      </c>
      <c r="O10" s="16">
        <f>'FU 0.83'!$L10</f>
        <v>6912.0895</v>
      </c>
      <c r="P10" s="16">
        <f>'FU 0.84'!$L10</f>
        <v>6880.9859999999999</v>
      </c>
      <c r="Q10" s="16">
        <f>'FU 0.85'!$L10</f>
        <v>6849.2289000000001</v>
      </c>
    </row>
    <row r="11" spans="1:17" x14ac:dyDescent="0.25">
      <c r="A11">
        <f>'FU 0.7'!A11</f>
        <v>0.69</v>
      </c>
      <c r="B11" s="16">
        <f>'FU 0.7'!$L11</f>
        <v>7043.4484000000002</v>
      </c>
      <c r="C11" s="16">
        <f>'FU 0.71'!$L11</f>
        <v>7016.3279000000002</v>
      </c>
      <c r="D11" s="16">
        <f>'FU 0.72'!$L11</f>
        <v>6989.0697</v>
      </c>
      <c r="E11" s="16">
        <f>'FU 0.73'!$L11</f>
        <v>6961.652</v>
      </c>
      <c r="F11" s="16">
        <f>'FU 0.74'!$L11</f>
        <v>6934.0514000000003</v>
      </c>
      <c r="G11" s="16">
        <f>'FU 0.75'!$L11</f>
        <v>6906.2425999999996</v>
      </c>
      <c r="H11" s="16">
        <f>'FU 0.76'!$L11</f>
        <v>6878.1977999999999</v>
      </c>
      <c r="I11" s="16">
        <f>'FU 0.77'!$L11</f>
        <v>6849.8869000000004</v>
      </c>
      <c r="J11" s="16">
        <f>'FU 0.78'!$L11</f>
        <v>6821.2768999999998</v>
      </c>
      <c r="K11" s="16">
        <f>'FU 0.79'!$L11</f>
        <v>6792.3311999999996</v>
      </c>
      <c r="L11" s="16">
        <f>'FU 0.8'!$L11</f>
        <v>6763.0091000000002</v>
      </c>
      <c r="M11" s="16">
        <f>'FU 0.81'!$L11</f>
        <v>6733.2653</v>
      </c>
      <c r="N11" s="16">
        <f>'FU 0.82'!$L11</f>
        <v>6703.0483999999997</v>
      </c>
      <c r="O11" s="16">
        <f>'FU 0.83'!$L11</f>
        <v>6672.3004000000001</v>
      </c>
      <c r="P11" s="16">
        <f>'FU 0.84'!$L11</f>
        <v>6640.9547000000002</v>
      </c>
      <c r="Q11" s="16">
        <f>'FU 0.85'!$L11</f>
        <v>6608.9340000000002</v>
      </c>
    </row>
    <row r="12" spans="1:17" x14ac:dyDescent="0.25">
      <c r="A12">
        <f>'FU 0.7'!A12</f>
        <v>0.7</v>
      </c>
      <c r="B12" s="16">
        <f>'FU 0.7'!$L12</f>
        <v>6805.1679000000004</v>
      </c>
      <c r="C12" s="16">
        <f>'FU 0.71'!$L12</f>
        <v>6777.9466000000002</v>
      </c>
      <c r="D12" s="16">
        <f>'FU 0.72'!$L12</f>
        <v>6750.5793999999996</v>
      </c>
      <c r="E12" s="16">
        <f>'FU 0.73'!$L12</f>
        <v>6723.0442000000003</v>
      </c>
      <c r="F12" s="16">
        <f>'FU 0.74'!$L12</f>
        <v>6695.3172000000004</v>
      </c>
      <c r="G12" s="16">
        <f>'FU 0.75'!$L12</f>
        <v>6667.3725999999997</v>
      </c>
      <c r="H12" s="16">
        <f>'FU 0.76'!$L12</f>
        <v>6639.1822000000002</v>
      </c>
      <c r="I12" s="16">
        <f>'FU 0.77'!$L12</f>
        <v>6610.7150000000001</v>
      </c>
      <c r="J12" s="16">
        <f>'FU 0.78'!$L12</f>
        <v>6581.9372999999996</v>
      </c>
      <c r="K12" s="16">
        <f>'FU 0.79'!$L12</f>
        <v>6552.8113999999996</v>
      </c>
      <c r="L12" s="16">
        <f>'FU 0.8'!$L12</f>
        <v>6523.2955000000002</v>
      </c>
      <c r="M12" s="16">
        <f>'FU 0.81'!$L12</f>
        <v>6493.3428999999996</v>
      </c>
      <c r="N12" s="16">
        <f>'FU 0.82'!$L12</f>
        <v>6462.9005999999999</v>
      </c>
      <c r="O12" s="16">
        <f>'FU 0.83'!$L12</f>
        <v>6431.9085999999998</v>
      </c>
      <c r="P12" s="16">
        <f>'FU 0.84'!$L12</f>
        <v>6400.2978999999996</v>
      </c>
      <c r="Q12" s="16">
        <f>'FU 0.85'!$L12</f>
        <v>6367.9884000000002</v>
      </c>
    </row>
    <row r="13" spans="1:17" x14ac:dyDescent="0.25">
      <c r="A13">
        <f>'FU 0.7'!A13</f>
        <v>0.71</v>
      </c>
      <c r="B13" s="16">
        <f>'FU 0.7'!$L13</f>
        <v>6566.4009999999998</v>
      </c>
      <c r="C13" s="16">
        <f>'FU 0.71'!$L13</f>
        <v>6539.0715</v>
      </c>
      <c r="D13" s="16">
        <f>'FU 0.72'!$L13</f>
        <v>6511.5869000000002</v>
      </c>
      <c r="E13" s="16">
        <f>'FU 0.73'!$L13</f>
        <v>6483.9250000000002</v>
      </c>
      <c r="F13" s="16">
        <f>'FU 0.74'!$L13</f>
        <v>6456.0613000000003</v>
      </c>
      <c r="G13" s="16">
        <f>'FU 0.75'!$L13</f>
        <v>6427.9696999999996</v>
      </c>
      <c r="H13" s="16">
        <f>'FU 0.76'!$L13</f>
        <v>6399.6211000000003</v>
      </c>
      <c r="I13" s="16">
        <f>'FU 0.77'!$L13</f>
        <v>6370.9840000000004</v>
      </c>
      <c r="J13" s="16">
        <f>'FU 0.78'!$L13</f>
        <v>6342.0236000000004</v>
      </c>
      <c r="K13" s="16">
        <f>'FU 0.79'!$L13</f>
        <v>6312.7011000000002</v>
      </c>
      <c r="L13" s="16">
        <f>'FU 0.8'!$L13</f>
        <v>6282.9736000000003</v>
      </c>
      <c r="M13" s="16">
        <f>'FU 0.81'!$L13</f>
        <v>6252.7924999999996</v>
      </c>
      <c r="N13" s="16">
        <f>'FU 0.82'!$L13</f>
        <v>6222.1032999999998</v>
      </c>
      <c r="O13" s="16">
        <f>'FU 0.83'!$L13</f>
        <v>6190.8434999999999</v>
      </c>
      <c r="P13" s="16">
        <f>'FU 0.84'!$L13</f>
        <v>6158.9414999999999</v>
      </c>
      <c r="Q13" s="16">
        <f>'FU 0.85'!$L13</f>
        <v>6126.3140000000003</v>
      </c>
    </row>
    <row r="14" spans="1:17" x14ac:dyDescent="0.25">
      <c r="A14">
        <f>'FU 0.7'!A14</f>
        <v>0.72</v>
      </c>
      <c r="B14" s="16">
        <f>'FU 0.7'!$L14</f>
        <v>6327.0916999999999</v>
      </c>
      <c r="C14" s="16">
        <f>'FU 0.71'!$L14</f>
        <v>6299.6458000000002</v>
      </c>
      <c r="D14" s="16">
        <f>'FU 0.72'!$L14</f>
        <v>6272.0347000000002</v>
      </c>
      <c r="E14" s="16">
        <f>'FU 0.73'!$L14</f>
        <v>6244.2354999999998</v>
      </c>
      <c r="F14" s="16">
        <f>'FU 0.74'!$L14</f>
        <v>6216.2235000000001</v>
      </c>
      <c r="G14" s="16">
        <f>'FU 0.75'!$L14</f>
        <v>6187.9718999999996</v>
      </c>
      <c r="H14" s="16">
        <f>'FU 0.76'!$L14</f>
        <v>6159.451</v>
      </c>
      <c r="I14" s="16">
        <f>'FU 0.77'!$L14</f>
        <v>6130.6283999999996</v>
      </c>
      <c r="J14" s="16">
        <f>'FU 0.78'!$L14</f>
        <v>6101.4682000000003</v>
      </c>
      <c r="K14" s="16">
        <f>'FU 0.79'!$L14</f>
        <v>6071.9305000000004</v>
      </c>
      <c r="L14" s="16">
        <f>'FU 0.8'!$L14</f>
        <v>6041.9706999999999</v>
      </c>
      <c r="M14" s="16">
        <f>'FU 0.81'!$L14</f>
        <v>6011.5387000000001</v>
      </c>
      <c r="N14" s="16">
        <f>'FU 0.82'!$L14</f>
        <v>5980.5775999999996</v>
      </c>
      <c r="O14" s="16">
        <f>'FU 0.83'!$L14</f>
        <v>5949.0226000000002</v>
      </c>
      <c r="P14" s="16">
        <f>'FU 0.84'!$L14</f>
        <v>5916.7987999999996</v>
      </c>
      <c r="Q14" s="16">
        <f>'FU 0.85'!$L14</f>
        <v>5883.8193000000001</v>
      </c>
    </row>
    <row r="15" spans="1:17" x14ac:dyDescent="0.25">
      <c r="A15">
        <f>'FU 0.7'!A15</f>
        <v>0.73</v>
      </c>
      <c r="B15" s="16">
        <f>'FU 0.7'!$L15</f>
        <v>6087.1747999999998</v>
      </c>
      <c r="C15" s="16">
        <f>'FU 0.71'!$L15</f>
        <v>6059.6034</v>
      </c>
      <c r="D15" s="16">
        <f>'FU 0.72'!$L15</f>
        <v>6031.8552</v>
      </c>
      <c r="E15" s="16">
        <f>'FU 0.73'!$L15</f>
        <v>6003.9069</v>
      </c>
      <c r="F15" s="16">
        <f>'FU 0.74'!$L15</f>
        <v>5975.7335000000003</v>
      </c>
      <c r="G15" s="16">
        <f>'FU 0.75'!$L15</f>
        <v>5947.3072000000002</v>
      </c>
      <c r="H15" s="16">
        <f>'FU 0.76'!$L15</f>
        <v>5918.5977999999996</v>
      </c>
      <c r="I15" s="16">
        <f>'FU 0.77'!$L15</f>
        <v>5889.5717999999997</v>
      </c>
      <c r="J15" s="16">
        <f>'FU 0.78'!$L15</f>
        <v>5860.1922000000004</v>
      </c>
      <c r="K15" s="16">
        <f>'FU 0.79'!$L15</f>
        <v>5830.4174999999996</v>
      </c>
      <c r="L15" s="16">
        <f>'FU 0.8'!$L15</f>
        <v>5800.2016000000003</v>
      </c>
      <c r="M15" s="16">
        <f>'FU 0.81'!$L15</f>
        <v>5769.4924000000001</v>
      </c>
      <c r="N15" s="16">
        <f>'FU 0.82'!$L15</f>
        <v>5738.2304999999997</v>
      </c>
      <c r="O15" s="16">
        <f>'FU 0.83'!$L15</f>
        <v>5706.3481000000002</v>
      </c>
      <c r="P15" s="16">
        <f>'FU 0.84'!$L15</f>
        <v>5673.7669999999998</v>
      </c>
      <c r="Q15" s="16">
        <f>'FU 0.85'!$L15</f>
        <v>5640.3955999999998</v>
      </c>
    </row>
    <row r="16" spans="1:17" x14ac:dyDescent="0.25">
      <c r="A16">
        <f>'FU 0.7'!A16</f>
        <v>0.74</v>
      </c>
      <c r="B16" s="16">
        <f>'FU 0.7'!$L16</f>
        <v>5846.5733</v>
      </c>
      <c r="C16" s="16">
        <f>'FU 0.71'!$L16</f>
        <v>5818.8662999999997</v>
      </c>
      <c r="D16" s="16">
        <f>'FU 0.72'!$L16</f>
        <v>5790.9691000000003</v>
      </c>
      <c r="E16" s="16">
        <f>'FU 0.73'!$L16</f>
        <v>5762.8584000000001</v>
      </c>
      <c r="F16" s="16">
        <f>'FU 0.74'!$L16</f>
        <v>5734.5083999999997</v>
      </c>
      <c r="G16" s="16">
        <f>'FU 0.75'!$L16</f>
        <v>5705.8905999999997</v>
      </c>
      <c r="H16" s="16">
        <f>'FU 0.76'!$L16</f>
        <v>5676.9740000000002</v>
      </c>
      <c r="I16" s="16">
        <f>'FU 0.77'!$L16</f>
        <v>5647.7239</v>
      </c>
      <c r="J16" s="16">
        <f>'FU 0.78'!$L16</f>
        <v>5618.1018999999997</v>
      </c>
      <c r="K16" s="16">
        <f>'FU 0.79'!$L16</f>
        <v>5588.0650999999998</v>
      </c>
      <c r="L16" s="16">
        <f>'FU 0.8'!$L16</f>
        <v>5557.5654000000004</v>
      </c>
      <c r="M16" s="16">
        <f>'FU 0.81'!$L16</f>
        <v>5526.5481</v>
      </c>
      <c r="N16" s="16">
        <f>'FU 0.82'!$L16</f>
        <v>5494.9513999999999</v>
      </c>
      <c r="O16" s="16">
        <f>'FU 0.83'!$L16</f>
        <v>5462.7039999999997</v>
      </c>
      <c r="P16" s="16">
        <f>'FU 0.84'!$L16</f>
        <v>5429.7232999999997</v>
      </c>
      <c r="Q16" s="16">
        <f>'FU 0.85'!$L16</f>
        <v>5395.9129999999996</v>
      </c>
    </row>
    <row r="17" spans="1:17" x14ac:dyDescent="0.25">
      <c r="A17">
        <f>'FU 0.7'!A17</f>
        <v>0.75</v>
      </c>
      <c r="B17" s="16">
        <f>'FU 0.7'!$L17</f>
        <v>5605.1961000000001</v>
      </c>
      <c r="C17" s="16">
        <f>'FU 0.71'!$L17</f>
        <v>5577.3419000000004</v>
      </c>
      <c r="D17" s="16">
        <f>'FU 0.72'!$L17</f>
        <v>5549.2824000000001</v>
      </c>
      <c r="E17" s="16">
        <f>'FU 0.73'!$L17</f>
        <v>5520.9939000000004</v>
      </c>
      <c r="F17" s="16">
        <f>'FU 0.74'!$L17</f>
        <v>5492.4498000000003</v>
      </c>
      <c r="G17" s="16">
        <f>'FU 0.75'!$L17</f>
        <v>5463.6211000000003</v>
      </c>
      <c r="H17" s="16">
        <f>'FU 0.76'!$L17</f>
        <v>5434.4754000000003</v>
      </c>
      <c r="I17" s="16">
        <f>'FU 0.77'!$L17</f>
        <v>5404.9771000000001</v>
      </c>
      <c r="J17" s="16">
        <f>'FU 0.78'!$L17</f>
        <v>5375.0861000000004</v>
      </c>
      <c r="K17" s="16">
        <f>'FU 0.79'!$L17</f>
        <v>5344.7575999999999</v>
      </c>
      <c r="L17" s="16">
        <f>'FU 0.8'!$L17</f>
        <v>5313.9412000000002</v>
      </c>
      <c r="M17" s="16">
        <f>'FU 0.81'!$L17</f>
        <v>5282.5797000000002</v>
      </c>
      <c r="N17" s="16">
        <f>'FU 0.82'!$L17</f>
        <v>5250.6079</v>
      </c>
      <c r="O17" s="16">
        <f>'FU 0.83'!$L17</f>
        <v>5217.9503999999997</v>
      </c>
      <c r="P17" s="16">
        <f>'FU 0.84'!$L17</f>
        <v>5184.5200000000004</v>
      </c>
      <c r="Q17" s="16">
        <f>'FU 0.85'!$L17</f>
        <v>5150.2141000000001</v>
      </c>
    </row>
    <row r="18" spans="1:17" x14ac:dyDescent="0.25">
      <c r="A18">
        <f>'FU 0.7'!A18</f>
        <v>0.76</v>
      </c>
      <c r="B18" s="16">
        <f>'FU 0.7'!$L18</f>
        <v>5362.9336999999996</v>
      </c>
      <c r="C18" s="16">
        <f>'FU 0.71'!$L18</f>
        <v>5334.9193999999998</v>
      </c>
      <c r="D18" s="16">
        <f>'FU 0.72'!$L18</f>
        <v>5306.6823999999997</v>
      </c>
      <c r="E18" s="16">
        <f>'FU 0.73'!$L18</f>
        <v>5278.1981999999998</v>
      </c>
      <c r="F18" s="16">
        <f>'FU 0.74'!$L18</f>
        <v>5249.4399000000003</v>
      </c>
      <c r="G18" s="16">
        <f>'FU 0.75'!$L18</f>
        <v>5220.3774000000003</v>
      </c>
      <c r="H18" s="16">
        <f>'FU 0.76'!$L18</f>
        <v>5190.9772999999996</v>
      </c>
      <c r="I18" s="16">
        <f>'FU 0.77'!$L18</f>
        <v>5161.2022999999999</v>
      </c>
      <c r="J18" s="16">
        <f>'FU 0.78'!$L18</f>
        <v>5131.0105999999996</v>
      </c>
      <c r="K18" s="16">
        <f>'FU 0.79'!$L18</f>
        <v>5100.3553000000002</v>
      </c>
      <c r="L18" s="16">
        <f>'FU 0.8'!$L18</f>
        <v>5069.1832999999997</v>
      </c>
      <c r="M18" s="16">
        <f>'FU 0.81'!$L18</f>
        <v>5037.4342999999999</v>
      </c>
      <c r="N18" s="16">
        <f>'FU 0.82'!$L18</f>
        <v>5005.0389999999998</v>
      </c>
      <c r="O18" s="16">
        <f>'FU 0.83'!$L18</f>
        <v>4971.9174999999996</v>
      </c>
      <c r="P18" s="16">
        <f>'FU 0.84'!$L18</f>
        <v>4937.9764999999998</v>
      </c>
      <c r="Q18" s="16">
        <f>'FU 0.85'!$L18</f>
        <v>4903.1063999999997</v>
      </c>
    </row>
    <row r="19" spans="1:17" x14ac:dyDescent="0.25">
      <c r="A19">
        <f>'FU 0.7'!A19</f>
        <v>0.77</v>
      </c>
      <c r="B19" s="16">
        <f>'FU 0.7'!$L19</f>
        <v>5119.6535999999996</v>
      </c>
      <c r="C19" s="16">
        <f>'FU 0.71'!$L19</f>
        <v>5091.4647000000004</v>
      </c>
      <c r="D19" s="16">
        <f>'FU 0.72'!$L19</f>
        <v>5063.0324000000001</v>
      </c>
      <c r="E19" s="16">
        <f>'FU 0.73'!$L19</f>
        <v>5034.3320999999996</v>
      </c>
      <c r="F19" s="16">
        <f>'FU 0.74'!$L19</f>
        <v>5005.3360000000002</v>
      </c>
      <c r="G19" s="16">
        <f>'FU 0.75'!$L19</f>
        <v>4976.0128999999997</v>
      </c>
      <c r="H19" s="16">
        <f>'FU 0.76'!$L19</f>
        <v>4946.3280999999997</v>
      </c>
      <c r="I19" s="16">
        <f>'FU 0.77'!$L19</f>
        <v>4916.2425999999996</v>
      </c>
      <c r="J19" s="16">
        <f>'FU 0.78'!$L19</f>
        <v>4885.7124999999996</v>
      </c>
      <c r="K19" s="16">
        <f>'FU 0.79'!$L19</f>
        <v>4854.6881999999996</v>
      </c>
      <c r="L19" s="16">
        <f>'FU 0.8'!$L19</f>
        <v>4823.1136999999999</v>
      </c>
      <c r="M19" s="16">
        <f>'FU 0.81'!$L19</f>
        <v>4790.9246000000003</v>
      </c>
      <c r="N19" s="16">
        <f>'FU 0.82'!$L19</f>
        <v>4758.0472</v>
      </c>
      <c r="O19" s="16">
        <f>'FU 0.83'!$L19</f>
        <v>4724.3957</v>
      </c>
      <c r="P19" s="16">
        <f>'FU 0.84'!$L19</f>
        <v>4689.8698999999997</v>
      </c>
      <c r="Q19" s="16">
        <f>'FU 0.85'!$L19</f>
        <v>4654.3510999999999</v>
      </c>
    </row>
    <row r="20" spans="1:17" x14ac:dyDescent="0.25">
      <c r="A20">
        <f>'FU 0.7'!A20</f>
        <v>0.78</v>
      </c>
      <c r="B20" s="16">
        <f>'FU 0.7'!$L20</f>
        <v>4875.3654999999999</v>
      </c>
      <c r="C20" s="16">
        <f>'FU 0.71'!$L20</f>
        <v>4846.9844999999996</v>
      </c>
      <c r="D20" s="16">
        <f>'FU 0.72'!$L20</f>
        <v>4818.3360000000002</v>
      </c>
      <c r="E20" s="16">
        <f>'FU 0.73'!$L20</f>
        <v>4789.3945999999996</v>
      </c>
      <c r="F20" s="16">
        <f>'FU 0.74'!$L20</f>
        <v>4760.1318000000001</v>
      </c>
      <c r="G20" s="16">
        <f>'FU 0.75'!$L20</f>
        <v>4730.5153</v>
      </c>
      <c r="H20" s="16">
        <f>'FU 0.76'!$L20</f>
        <v>4700.5087000000003</v>
      </c>
      <c r="I20" s="16">
        <f>'FU 0.77'!$L20</f>
        <v>4670.0708999999997</v>
      </c>
      <c r="J20" s="16">
        <f>'FU 0.78'!$L20</f>
        <v>4639.1556</v>
      </c>
      <c r="K20" s="16">
        <f>'FU 0.79'!$L20</f>
        <v>4607.7102000000004</v>
      </c>
      <c r="L20" s="16">
        <f>'FU 0.8'!$L20</f>
        <v>4575.6745000000001</v>
      </c>
      <c r="M20" s="16">
        <f>'FU 0.81'!$L20</f>
        <v>4542.9798000000001</v>
      </c>
      <c r="N20" s="16">
        <f>'FU 0.82'!$L20</f>
        <v>4509.5465999999997</v>
      </c>
      <c r="O20" s="16">
        <f>'FU 0.83'!$L20</f>
        <v>4475.2821000000004</v>
      </c>
      <c r="P20" s="16">
        <f>'FU 0.84'!$L20</f>
        <v>4440.0772999999999</v>
      </c>
      <c r="Q20" s="16">
        <f>'FU 0.85'!$L20</f>
        <v>4403.8027000000002</v>
      </c>
    </row>
    <row r="21" spans="1:17" x14ac:dyDescent="0.25">
      <c r="A21">
        <f>'FU 0.7'!A21</f>
        <v>0.79</v>
      </c>
      <c r="B21" s="16">
        <f>'FU 0.7'!$L21</f>
        <v>4629.5114999999996</v>
      </c>
      <c r="C21" s="16">
        <f>'FU 0.71'!$L21</f>
        <v>4600.9202999999998</v>
      </c>
      <c r="D21" s="16">
        <f>'FU 0.72'!$L21</f>
        <v>4572.0324000000001</v>
      </c>
      <c r="E21" s="16">
        <f>'FU 0.73'!$L21</f>
        <v>4542.8222999999998</v>
      </c>
      <c r="F21" s="16">
        <f>'FU 0.74'!$L21</f>
        <v>4513.2601999999997</v>
      </c>
      <c r="G21" s="16">
        <f>'FU 0.75'!$L21</f>
        <v>4483.3125</v>
      </c>
      <c r="H21" s="16">
        <f>'FU 0.76'!$L21</f>
        <v>4452.9409999999998</v>
      </c>
      <c r="I21" s="16">
        <f>'FU 0.77'!$L21</f>
        <v>4422.1021000000001</v>
      </c>
      <c r="J21" s="16">
        <f>'FU 0.78'!$L21</f>
        <v>4390.7465000000002</v>
      </c>
      <c r="K21" s="16">
        <f>'FU 0.79'!$L21</f>
        <v>4358.8176999999996</v>
      </c>
      <c r="L21" s="16">
        <f>'FU 0.8'!$L21</f>
        <v>4326.2509</v>
      </c>
      <c r="M21" s="16">
        <f>'FU 0.81'!$L21</f>
        <v>4292.9717000000001</v>
      </c>
      <c r="N21" s="16">
        <f>'FU 0.82'!$L21</f>
        <v>4258.8932999999997</v>
      </c>
      <c r="O21" s="16">
        <f>'FU 0.83'!$L21</f>
        <v>4223.9142000000002</v>
      </c>
      <c r="P21" s="16">
        <f>'FU 0.84'!$L21</f>
        <v>4187.9146000000001</v>
      </c>
      <c r="Q21" s="16">
        <f>'FU 0.85'!$L21</f>
        <v>4150.7506999999996</v>
      </c>
    </row>
    <row r="22" spans="1:17" x14ac:dyDescent="0.25">
      <c r="A22">
        <f>'FU 0.7'!A22</f>
        <v>0.8</v>
      </c>
      <c r="B22" s="16">
        <f>'FU 0.7'!$L22</f>
        <v>4382.0195999999996</v>
      </c>
      <c r="C22" s="16">
        <f>'FU 0.71'!$L22</f>
        <v>4353.1965</v>
      </c>
      <c r="D22" s="16">
        <f>'FU 0.72'!$L22</f>
        <v>4324.0415000000003</v>
      </c>
      <c r="E22" s="16">
        <f>'FU 0.73'!$L22</f>
        <v>4294.5284000000001</v>
      </c>
      <c r="F22" s="16">
        <f>'FU 0.74'!$L22</f>
        <v>4264.6265999999996</v>
      </c>
      <c r="G22" s="16">
        <f>'FU 0.75'!$L22</f>
        <v>4234.3005999999996</v>
      </c>
      <c r="H22" s="16">
        <f>'FU 0.76'!$L22</f>
        <v>4203.51</v>
      </c>
      <c r="I22" s="16">
        <f>'FU 0.77'!$L22</f>
        <v>4172.2083000000002</v>
      </c>
      <c r="J22" s="16">
        <f>'FU 0.78'!$L22</f>
        <v>4140.3422</v>
      </c>
      <c r="K22" s="16">
        <f>'FU 0.79'!$L22</f>
        <v>4107.8504999999996</v>
      </c>
      <c r="L22" s="16">
        <f>'FU 0.8'!$L22</f>
        <v>4074.6626999999999</v>
      </c>
      <c r="M22" s="16">
        <f>'FU 0.81'!$L22</f>
        <v>4040.6968999999999</v>
      </c>
      <c r="N22" s="16">
        <f>'FU 0.82'!$L22</f>
        <v>4005.8573000000001</v>
      </c>
      <c r="O22" s="16">
        <f>'FU 0.83'!$L22</f>
        <v>3970.0313000000001</v>
      </c>
      <c r="P22" s="16">
        <f>'FU 0.84'!$L22</f>
        <v>3933.0844999999999</v>
      </c>
      <c r="Q22" s="16">
        <f>'FU 0.85'!$L22</f>
        <v>3894.855</v>
      </c>
    </row>
    <row r="23" spans="1:17" x14ac:dyDescent="0.25">
      <c r="A23">
        <f>'FU 0.7'!A23</f>
        <v>0.81</v>
      </c>
      <c r="B23" s="16">
        <f>'FU 0.7'!$L23</f>
        <v>4132.5601999999999</v>
      </c>
      <c r="C23" s="16">
        <f>'FU 0.71'!$L23</f>
        <v>4103.4808000000003</v>
      </c>
      <c r="D23" s="16">
        <f>'FU 0.72'!$L23</f>
        <v>4074.0257000000001</v>
      </c>
      <c r="E23" s="16">
        <f>'FU 0.73'!$L23</f>
        <v>4044.1684</v>
      </c>
      <c r="F23" s="16">
        <f>'FU 0.74'!$L23</f>
        <v>4013.8769000000002</v>
      </c>
      <c r="G23" s="16">
        <f>'FU 0.75'!$L23</f>
        <v>3983.1138999999998</v>
      </c>
      <c r="H23" s="16">
        <f>'FU 0.76'!$L23</f>
        <v>3951.8362000000002</v>
      </c>
      <c r="I23" s="16">
        <f>'FU 0.77'!$L23</f>
        <v>3919.9933000000001</v>
      </c>
      <c r="J23" s="16">
        <f>'FU 0.78'!$L23</f>
        <v>3887.5272</v>
      </c>
      <c r="K23" s="16">
        <f>'FU 0.79'!$L23</f>
        <v>3854.3706999999999</v>
      </c>
      <c r="L23" s="16">
        <f>'FU 0.8'!$L23</f>
        <v>3820.4454999999998</v>
      </c>
      <c r="M23" s="16">
        <f>'FU 0.81'!$L23</f>
        <v>3785.6604000000002</v>
      </c>
      <c r="N23" s="16">
        <f>'FU 0.82'!$L23</f>
        <v>3749.9077000000002</v>
      </c>
      <c r="O23" s="16">
        <f>'FU 0.83'!$L23</f>
        <v>3713.0596</v>
      </c>
      <c r="P23" s="16">
        <f>'FU 0.84'!$L23</f>
        <v>3674.9627</v>
      </c>
      <c r="Q23" s="16">
        <f>'FU 0.85'!$L23</f>
        <v>3635.4304999999999</v>
      </c>
    </row>
    <row r="24" spans="1:17" x14ac:dyDescent="0.25">
      <c r="A24">
        <f>'FU 0.7'!A24</f>
        <v>0.82</v>
      </c>
      <c r="B24" s="16">
        <f>'FU 0.7'!$L24</f>
        <v>3880.6986999999999</v>
      </c>
      <c r="C24" s="16">
        <f>'FU 0.71'!$L24</f>
        <v>3851.3353000000002</v>
      </c>
      <c r="D24" s="16">
        <f>'FU 0.72'!$L24</f>
        <v>3821.5408000000002</v>
      </c>
      <c r="E24" s="16">
        <f>'FU 0.73'!$L24</f>
        <v>3791.2883999999999</v>
      </c>
      <c r="F24" s="16">
        <f>'FU 0.74'!$L24</f>
        <v>3760.5448000000001</v>
      </c>
      <c r="G24" s="16">
        <f>'FU 0.75'!$L24</f>
        <v>3729.2701999999999</v>
      </c>
      <c r="H24" s="16">
        <f>'FU 0.76'!$L24</f>
        <v>3697.4177</v>
      </c>
      <c r="I24" s="16">
        <f>'FU 0.77'!$L24</f>
        <v>3664.9322000000002</v>
      </c>
      <c r="J24" s="16">
        <f>'FU 0.78'!$L24</f>
        <v>3631.7491</v>
      </c>
      <c r="K24" s="16">
        <f>'FU 0.79'!$L24</f>
        <v>3597.7932999999998</v>
      </c>
      <c r="L24" s="16">
        <f>'FU 0.8'!$L24</f>
        <v>3562.9762999999998</v>
      </c>
      <c r="M24" s="16">
        <f>'FU 0.81'!$L24</f>
        <v>3527.194</v>
      </c>
      <c r="N24" s="16">
        <f>'FU 0.82'!$L24</f>
        <v>3490.3226</v>
      </c>
      <c r="O24" s="16">
        <f>'FU 0.83'!$L24</f>
        <v>3452.2136</v>
      </c>
      <c r="P24" s="16">
        <f>'FU 0.84'!$L24</f>
        <v>3412.6867999999999</v>
      </c>
      <c r="Q24" s="16">
        <f>'FU 0.85'!$L24</f>
        <v>3371.5207999999998</v>
      </c>
    </row>
    <row r="25" spans="1:17" x14ac:dyDescent="0.25">
      <c r="A25">
        <f>'FU 0.7'!A25</f>
        <v>0.83</v>
      </c>
      <c r="B25" s="16">
        <f>'FU 0.7'!$L25</f>
        <v>3625.8454999999999</v>
      </c>
      <c r="C25" s="16">
        <f>'FU 0.71'!$L25</f>
        <v>3596.1671999999999</v>
      </c>
      <c r="D25" s="16">
        <f>'FU 0.72'!$L25</f>
        <v>3565.9859000000001</v>
      </c>
      <c r="E25" s="16">
        <f>'FU 0.73'!$L25</f>
        <v>3535.2746999999999</v>
      </c>
      <c r="F25" s="16">
        <f>'FU 0.74'!$L25</f>
        <v>3503.9987999999998</v>
      </c>
      <c r="G25" s="16">
        <f>'FU 0.75'!$L25</f>
        <v>3472.1152999999999</v>
      </c>
      <c r="H25" s="16">
        <f>'FU 0.76'!$L25</f>
        <v>3439.5725000000002</v>
      </c>
      <c r="I25" s="16">
        <f>'FU 0.77'!$L25</f>
        <v>3406.3087</v>
      </c>
      <c r="J25" s="16">
        <f>'FU 0.78'!$L25</f>
        <v>3372.2509</v>
      </c>
      <c r="K25" s="16">
        <f>'FU 0.79'!$L25</f>
        <v>3337.3126000000002</v>
      </c>
      <c r="L25" s="16">
        <f>'FU 0.8'!$L25</f>
        <v>3301.3914</v>
      </c>
      <c r="M25" s="16">
        <f>'FU 0.81'!$L25</f>
        <v>3264.3649</v>
      </c>
      <c r="N25" s="16">
        <f>'FU 0.82'!$L25</f>
        <v>3226.0862999999999</v>
      </c>
      <c r="O25" s="16">
        <f>'FU 0.83'!$L25</f>
        <v>3186.377</v>
      </c>
      <c r="P25" s="16">
        <f>'FU 0.84'!$L25</f>
        <v>3145.0176000000001</v>
      </c>
      <c r="Q25" s="16">
        <f>'FU 0.85'!$L25</f>
        <v>3101.7341000000001</v>
      </c>
    </row>
    <row r="26" spans="1:17" x14ac:dyDescent="0.25">
      <c r="A26">
        <f>'FU 0.7'!A26</f>
        <v>0.84</v>
      </c>
      <c r="B26" s="16">
        <f>'FU 0.7'!$L26</f>
        <v>3367.1716000000001</v>
      </c>
      <c r="C26" s="16">
        <f>'FU 0.71'!$L26</f>
        <v>3337.1455999999998</v>
      </c>
      <c r="D26" s="16">
        <f>'FU 0.72'!$L26</f>
        <v>3306.5198999999998</v>
      </c>
      <c r="E26" s="16">
        <f>'FU 0.73'!$L26</f>
        <v>3275.2683000000002</v>
      </c>
      <c r="F26" s="16">
        <f>'FU 0.74'!$L26</f>
        <v>3243.3542000000002</v>
      </c>
      <c r="G26" s="16">
        <f>'FU 0.75'!$L26</f>
        <v>3210.7307000000001</v>
      </c>
      <c r="H26" s="16">
        <f>'FU 0.76'!$L26</f>
        <v>3177.3393000000001</v>
      </c>
      <c r="I26" s="16">
        <f>'FU 0.77'!$L26</f>
        <v>3143.1093000000001</v>
      </c>
      <c r="J26" s="16">
        <f>'FU 0.78'!$L26</f>
        <v>3107.9553000000001</v>
      </c>
      <c r="K26" s="16">
        <f>'FU 0.79'!$L26</f>
        <v>3071.7746999999999</v>
      </c>
      <c r="L26" s="16">
        <f>'FU 0.8'!$L26</f>
        <v>3034.4441000000002</v>
      </c>
      <c r="M26" s="16">
        <f>'FU 0.81'!$L26</f>
        <v>2995.8141000000001</v>
      </c>
      <c r="N26" s="16">
        <f>'FU 0.82'!$L26</f>
        <v>2955.7026999999998</v>
      </c>
      <c r="O26" s="16">
        <f>'FU 0.83'!$L26</f>
        <v>2913.8847999999998</v>
      </c>
      <c r="P26" s="16">
        <f>'FU 0.84'!$L26</f>
        <v>2870.0789</v>
      </c>
      <c r="Q26" s="16">
        <f>'FU 0.85'!$L26</f>
        <v>2823.9256999999998</v>
      </c>
    </row>
    <row r="27" spans="1:17" x14ac:dyDescent="0.25">
      <c r="A27">
        <f>'FU 0.7'!A27</f>
        <v>0.85</v>
      </c>
      <c r="B27" s="16">
        <f>'FU 0.7'!$L27</f>
        <v>3103.4580999999998</v>
      </c>
      <c r="C27" s="16">
        <f>'FU 0.71'!$L27</f>
        <v>3073.0527000000002</v>
      </c>
      <c r="D27" s="16">
        <f>'FU 0.72'!$L27</f>
        <v>3041.9124999999999</v>
      </c>
      <c r="E27" s="16">
        <f>'FU 0.73'!$L27</f>
        <v>3010.0129999999999</v>
      </c>
      <c r="F27" s="16">
        <f>'FU 0.74'!$L27</f>
        <v>2977.3155000000002</v>
      </c>
      <c r="G27" s="16">
        <f>'FU 0.75'!$L27</f>
        <v>2943.7674999999999</v>
      </c>
      <c r="H27" s="16">
        <f>'FU 0.76'!$L27</f>
        <v>2909.3009000000002</v>
      </c>
      <c r="I27" s="16">
        <f>'FU 0.77'!$L27</f>
        <v>2873.8310000000001</v>
      </c>
      <c r="J27" s="16">
        <f>'FU 0.78'!$L27</f>
        <v>2837.2534999999998</v>
      </c>
      <c r="K27" s="16">
        <f>'FU 0.79'!$L27</f>
        <v>2799.4407000000001</v>
      </c>
      <c r="L27" s="16">
        <f>'FU 0.8'!$L27</f>
        <v>2760.2361000000001</v>
      </c>
      <c r="M27" s="16">
        <f>'FU 0.81'!$L27</f>
        <v>2719.4463999999998</v>
      </c>
      <c r="N27" s="16">
        <f>'FU 0.82'!$L27</f>
        <v>2676.8310000000001</v>
      </c>
      <c r="O27" s="16">
        <f>'FU 0.83'!$L27</f>
        <v>2632.0862000000002</v>
      </c>
      <c r="P27" s="16">
        <f>'FU 0.84'!$L27</f>
        <v>2584.8209000000002</v>
      </c>
      <c r="Q27" s="16">
        <f>'FU 0.85'!$L27</f>
        <v>2534.5207999999998</v>
      </c>
    </row>
  </sheetData>
  <conditionalFormatting sqref="B2:Q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:L27"/>
    </sheetView>
  </sheetViews>
  <sheetFormatPr defaultRowHeight="15" x14ac:dyDescent="0.25"/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>
        <f>0.6</f>
        <v>0.6</v>
      </c>
      <c r="B2">
        <f>36.82662651</f>
        <v>36.826626509999997</v>
      </c>
      <c r="C2">
        <f>35.22169459</f>
        <v>35.221694589999998</v>
      </c>
      <c r="D2">
        <f>41.09970514</f>
        <v>41.099705139999998</v>
      </c>
      <c r="E2">
        <f>76.32139973</f>
        <v>76.321399729999996</v>
      </c>
      <c r="F2">
        <f>34.62770921</f>
        <v>34.627709209999999</v>
      </c>
      <c r="G2">
        <f>33.11860775</f>
        <v>33.118607750000002</v>
      </c>
      <c r="H2">
        <f>12.15854227</f>
        <v>12.15854227</v>
      </c>
      <c r="I2">
        <f>45.27715002</f>
        <v>45.277150020000001</v>
      </c>
      <c r="J2">
        <f>167.79639</f>
        <v>167.79639</v>
      </c>
      <c r="K2">
        <f>8.5733063</f>
        <v>8.5733063000000005</v>
      </c>
      <c r="L2">
        <f>9172.3293</f>
        <v>9172.3292999999994</v>
      </c>
    </row>
    <row r="3" spans="1:12" x14ac:dyDescent="0.25">
      <c r="A3">
        <f>0.61</f>
        <v>0.61</v>
      </c>
      <c r="B3">
        <f>37.44040362</f>
        <v>37.440403619999998</v>
      </c>
      <c r="C3">
        <f>35.87765468</f>
        <v>35.877654679999999</v>
      </c>
      <c r="D3">
        <f>40.95438667</f>
        <v>40.954386669999998</v>
      </c>
      <c r="E3">
        <f>76.83204135</f>
        <v>76.832041349999997</v>
      </c>
      <c r="F3">
        <f>35.20483769</f>
        <v>35.204837689999998</v>
      </c>
      <c r="G3">
        <f>33.73540047</f>
        <v>33.735400470000002</v>
      </c>
      <c r="H3">
        <f>12.20552542</f>
        <v>12.205525420000001</v>
      </c>
      <c r="I3">
        <f>45.94092589</f>
        <v>45.940925890000003</v>
      </c>
      <c r="J3">
        <f>166.21335</f>
        <v>166.21334999999999</v>
      </c>
      <c r="K3">
        <f>8.8047357</f>
        <v>8.8047357000000002</v>
      </c>
      <c r="L3">
        <f>8936.8475</f>
        <v>8936.8474999999999</v>
      </c>
    </row>
    <row r="4" spans="1:12" x14ac:dyDescent="0.25">
      <c r="A4">
        <f>0.62</f>
        <v>0.62</v>
      </c>
      <c r="B4">
        <f>38.05418072</f>
        <v>38.054180719999998</v>
      </c>
      <c r="C4">
        <f>36.53364588</f>
        <v>36.533645880000002</v>
      </c>
      <c r="D4">
        <f>40.80896807</f>
        <v>40.808968069999999</v>
      </c>
      <c r="E4">
        <f>77.34261396</f>
        <v>77.342613959999994</v>
      </c>
      <c r="F4">
        <f>35.78196618</f>
        <v>35.781966179999998</v>
      </c>
      <c r="G4">
        <f>34.35222245</f>
        <v>34.352222449999999</v>
      </c>
      <c r="H4">
        <f>12.25554655</f>
        <v>12.25554655</v>
      </c>
      <c r="I4">
        <f>46.60776901</f>
        <v>46.607769009999998</v>
      </c>
      <c r="J4">
        <f>164.48265</f>
        <v>164.48265000000001</v>
      </c>
      <c r="K4">
        <f>9.0491914</f>
        <v>9.0491913999999998</v>
      </c>
      <c r="L4">
        <f>8701.1505</f>
        <v>8701.1504999999997</v>
      </c>
    </row>
    <row r="5" spans="1:12" x14ac:dyDescent="0.25">
      <c r="A5">
        <f>0.63</f>
        <v>0.63</v>
      </c>
      <c r="B5">
        <f>38.66795783</f>
        <v>38.667957829999999</v>
      </c>
      <c r="C5">
        <f>37.1896709</f>
        <v>37.189670900000003</v>
      </c>
      <c r="D5">
        <f>40.66344068</f>
        <v>40.663440680000001</v>
      </c>
      <c r="E5">
        <f>77.85311158</f>
        <v>77.853111580000004</v>
      </c>
      <c r="F5">
        <f>36.35909467</f>
        <v>36.359094669999998</v>
      </c>
      <c r="G5">
        <f>34.96907623</f>
        <v>34.969076229999999</v>
      </c>
      <c r="H5">
        <f>12.30881765</f>
        <v>12.30881765</v>
      </c>
      <c r="I5">
        <f>47.27789388</f>
        <v>47.277893880000001</v>
      </c>
      <c r="J5">
        <f>162.60375</f>
        <v>162.60374999999999</v>
      </c>
      <c r="K5">
        <f>9.3078219</f>
        <v>9.3078219000000004</v>
      </c>
      <c r="L5">
        <f>8465.2204</f>
        <v>8465.2204000000002</v>
      </c>
    </row>
    <row r="6" spans="1:12" x14ac:dyDescent="0.25">
      <c r="A6">
        <f>0.64</f>
        <v>0.64</v>
      </c>
      <c r="B6">
        <f>39.28173494</f>
        <v>39.28173494</v>
      </c>
      <c r="C6">
        <f>37.84573276</f>
        <v>37.845732759999997</v>
      </c>
      <c r="D6">
        <f>40.51779475</f>
        <v>40.51779475</v>
      </c>
      <c r="E6">
        <f>78.36352751</f>
        <v>78.363527509999997</v>
      </c>
      <c r="F6">
        <f>36.93622315</f>
        <v>36.936223149999996</v>
      </c>
      <c r="G6">
        <f>35.58596464</f>
        <v>35.58596464</v>
      </c>
      <c r="H6">
        <f>12.36557155</f>
        <v>12.36557155</v>
      </c>
      <c r="I6">
        <f>47.95153619</f>
        <v>47.951536189999999</v>
      </c>
      <c r="J6">
        <f>160.57604</f>
        <v>160.57604000000001</v>
      </c>
      <c r="K6">
        <f>9.5819168</f>
        <v>9.5819168000000001</v>
      </c>
      <c r="L6">
        <f>8229.0375</f>
        <v>8229.0375000000004</v>
      </c>
    </row>
    <row r="7" spans="1:12" x14ac:dyDescent="0.25">
      <c r="A7">
        <f>0.65</f>
        <v>0.65</v>
      </c>
      <c r="B7">
        <f>39.89551205</f>
        <v>39.895512050000001</v>
      </c>
      <c r="C7">
        <f>38.50183485</f>
        <v>38.501834850000002</v>
      </c>
      <c r="D7">
        <f>40.37201934</f>
        <v>40.372019340000001</v>
      </c>
      <c r="E7">
        <f>78.87385418</f>
        <v>78.873854179999995</v>
      </c>
      <c r="F7">
        <f>37.51335164</f>
        <v>37.513351640000003</v>
      </c>
      <c r="G7">
        <f>36.20289088</f>
        <v>36.202890879999998</v>
      </c>
      <c r="H7">
        <f>12.42606467</f>
        <v>12.426064670000001</v>
      </c>
      <c r="I7">
        <f>48.62895555</f>
        <v>48.628955550000001</v>
      </c>
      <c r="J7">
        <f>158.39886</f>
        <v>158.39886000000001</v>
      </c>
      <c r="K7">
        <f>9.8729294</f>
        <v>9.8729294000000003</v>
      </c>
      <c r="L7">
        <f>7992.5797</f>
        <v>7992.5797000000002</v>
      </c>
    </row>
    <row r="8" spans="1:12" x14ac:dyDescent="0.25">
      <c r="A8">
        <f>0.66</f>
        <v>0.66</v>
      </c>
      <c r="B8">
        <f>40.50928916</f>
        <v>40.509289160000002</v>
      </c>
      <c r="C8">
        <f>39.157981</f>
        <v>39.157980999999999</v>
      </c>
      <c r="D8">
        <f>40.22610207</f>
        <v>40.226102070000003</v>
      </c>
      <c r="E8">
        <f>79.38408307</f>
        <v>79.384083070000003</v>
      </c>
      <c r="F8">
        <f>38.09048013</f>
        <v>38.090480130000003</v>
      </c>
      <c r="G8">
        <f>36.81985856</f>
        <v>36.81985856</v>
      </c>
      <c r="H8">
        <f>12.49058025</f>
        <v>12.490580250000001</v>
      </c>
      <c r="I8">
        <f>49.3104388</f>
        <v>49.3104388</v>
      </c>
      <c r="J8">
        <f>156.07146</f>
        <v>156.07146</v>
      </c>
      <c r="K8">
        <f>10.182504</f>
        <v>10.182504</v>
      </c>
      <c r="L8">
        <f>7755.8221</f>
        <v>7755.8221000000003</v>
      </c>
    </row>
    <row r="9" spans="1:12" x14ac:dyDescent="0.25">
      <c r="A9">
        <f>0.67</f>
        <v>0.67</v>
      </c>
      <c r="B9">
        <f>41.12306627</f>
        <v>41.123066270000002</v>
      </c>
      <c r="C9">
        <f>39.81417557</f>
        <v>39.814175570000003</v>
      </c>
      <c r="D9">
        <f>40.08002893</f>
        <v>40.080028929999997</v>
      </c>
      <c r="E9">
        <f>79.8942045</f>
        <v>79.894204500000001</v>
      </c>
      <c r="F9">
        <f>38.66760861</f>
        <v>38.667608610000002</v>
      </c>
      <c r="G9">
        <f>37.43687176</f>
        <v>37.436871760000002</v>
      </c>
      <c r="H9">
        <f>12.55943205</f>
        <v>12.55943205</v>
      </c>
      <c r="I9">
        <f>49.99630381</f>
        <v>49.996303810000001</v>
      </c>
      <c r="J9">
        <f>153.59299</f>
        <v>153.59298999999999</v>
      </c>
      <c r="K9">
        <f>10.512511</f>
        <v>10.512511</v>
      </c>
      <c r="L9">
        <f>7518.7364</f>
        <v>7518.7363999999998</v>
      </c>
    </row>
    <row r="10" spans="1:12" x14ac:dyDescent="0.25">
      <c r="A10">
        <f>0.68</f>
        <v>0.68</v>
      </c>
      <c r="B10">
        <f>41.73684337</f>
        <v>41.736843370000003</v>
      </c>
      <c r="C10">
        <f>40.47042352</f>
        <v>40.470423519999997</v>
      </c>
      <c r="D10">
        <f>39.93378392</f>
        <v>39.933783920000003</v>
      </c>
      <c r="E10">
        <f>80.40420743</f>
        <v>80.40420743</v>
      </c>
      <c r="F10">
        <f>39.2447371</f>
        <v>39.244737100000002</v>
      </c>
      <c r="G10">
        <f>38.05393516</f>
        <v>38.053935160000002</v>
      </c>
      <c r="H10">
        <f>12.63296883</f>
        <v>12.632968829999999</v>
      </c>
      <c r="I10">
        <f>50.68690399</f>
        <v>50.686903989999998</v>
      </c>
      <c r="J10">
        <f>150.96247</f>
        <v>150.96247</v>
      </c>
      <c r="K10">
        <f>10.865082</f>
        <v>10.865081999999999</v>
      </c>
      <c r="L10">
        <f>7281.2906</f>
        <v>7281.2906000000003</v>
      </c>
    </row>
    <row r="11" spans="1:12" x14ac:dyDescent="0.25">
      <c r="A11">
        <f>0.69</f>
        <v>0.69</v>
      </c>
      <c r="B11">
        <f>42.35062048</f>
        <v>42.350620480000003</v>
      </c>
      <c r="C11">
        <f>41.12673051</f>
        <v>41.126730510000002</v>
      </c>
      <c r="D11">
        <f>39.78734873</f>
        <v>39.787348729999998</v>
      </c>
      <c r="E11">
        <f>80.91407925</f>
        <v>80.91407925</v>
      </c>
      <c r="F11">
        <f>39.82186559</f>
        <v>39.821865590000002</v>
      </c>
      <c r="G11">
        <f>38.67105407</f>
        <v>38.671054069999997</v>
      </c>
      <c r="H11">
        <f>12.71157962</f>
        <v>12.71157962</v>
      </c>
      <c r="I11">
        <f>51.38263369</f>
        <v>51.382633689999999</v>
      </c>
      <c r="J11">
        <f>148.17883</f>
        <v>148.17883</v>
      </c>
      <c r="K11">
        <f>11.242666</f>
        <v>11.242666</v>
      </c>
      <c r="L11">
        <f>7043.4484</f>
        <v>7043.4484000000002</v>
      </c>
    </row>
    <row r="12" spans="1:12" x14ac:dyDescent="0.25">
      <c r="A12">
        <f>0.7</f>
        <v>0.7</v>
      </c>
      <c r="B12">
        <f>42.96439759</f>
        <v>42.964397589999997</v>
      </c>
      <c r="C12">
        <f>41.78310308</f>
        <v>41.783103079999997</v>
      </c>
      <c r="D12">
        <f>39.64070231</f>
        <v>39.640702310000002</v>
      </c>
      <c r="E12">
        <f>81.4238054</f>
        <v>81.423805400000006</v>
      </c>
      <c r="F12">
        <f>40.39899407</f>
        <v>40.398994070000001</v>
      </c>
      <c r="G12">
        <f>39.28823464</f>
        <v>39.288234639999999</v>
      </c>
      <c r="H12">
        <f>12.7957</f>
        <v>12.7957</v>
      </c>
      <c r="I12">
        <f>52.08393464</f>
        <v>52.083934640000003</v>
      </c>
      <c r="J12">
        <f>145.24079</f>
        <v>145.24079</v>
      </c>
      <c r="K12">
        <f>11.648085</f>
        <v>11.648085</v>
      </c>
      <c r="L12">
        <f>6805.1679</f>
        <v>6805.1679000000004</v>
      </c>
    </row>
    <row r="13" spans="1:12" x14ac:dyDescent="0.25">
      <c r="A13">
        <f>0.71</f>
        <v>0.71</v>
      </c>
      <c r="B13">
        <f>43.5781747</f>
        <v>43.578174699999998</v>
      </c>
      <c r="C13">
        <f>42.43954878</f>
        <v>42.439548780000003</v>
      </c>
      <c r="D13">
        <f>39.49382028</f>
        <v>39.493820280000001</v>
      </c>
      <c r="E13">
        <f>81.93336906</f>
        <v>81.933369060000004</v>
      </c>
      <c r="F13">
        <f>40.97612256</f>
        <v>40.97612256</v>
      </c>
      <c r="G13">
        <f>39.90548398</f>
        <v>39.90548398</v>
      </c>
      <c r="H13">
        <f>12.88581976</f>
        <v>12.88581976</v>
      </c>
      <c r="I13">
        <f>52.79130374</f>
        <v>52.791303739999996</v>
      </c>
      <c r="J13">
        <f>142.14693</f>
        <v>142.14693</v>
      </c>
      <c r="K13">
        <f>12.084613</f>
        <v>12.084612999999999</v>
      </c>
      <c r="L13">
        <f>6566.401</f>
        <v>6566.4009999999998</v>
      </c>
    </row>
    <row r="14" spans="1:12" x14ac:dyDescent="0.25">
      <c r="A14">
        <f>0.72</f>
        <v>0.72</v>
      </c>
      <c r="B14">
        <f>44.19195181</f>
        <v>44.191951809999999</v>
      </c>
      <c r="C14">
        <f>43.09607641</f>
        <v>43.096076410000002</v>
      </c>
      <c r="D14">
        <f>39.34667421</f>
        <v>39.346674210000003</v>
      </c>
      <c r="E14">
        <f>82.44275062</f>
        <v>82.442750619999998</v>
      </c>
      <c r="F14">
        <f>41.55325105</f>
        <v>41.55325105</v>
      </c>
      <c r="G14">
        <f>40.52281035</f>
        <v>40.52281035</v>
      </c>
      <c r="H14">
        <f>12.98249217</f>
        <v>12.98249217</v>
      </c>
      <c r="I14">
        <f>53.50530252</f>
        <v>53.505302520000001</v>
      </c>
      <c r="J14">
        <f>138.89556</f>
        <v>138.89555999999999</v>
      </c>
      <c r="K14">
        <f>12.556072</f>
        <v>12.556072</v>
      </c>
      <c r="L14">
        <f>6327.0917</f>
        <v>6327.0916999999999</v>
      </c>
    </row>
    <row r="15" spans="1:12" x14ac:dyDescent="0.25">
      <c r="A15">
        <f>0.73</f>
        <v>0.73</v>
      </c>
      <c r="B15">
        <f>44.80572892</f>
        <v>44.80572892</v>
      </c>
      <c r="C15">
        <f>43.75269627</f>
        <v>43.752696270000001</v>
      </c>
      <c r="D15">
        <f>39.19923082</f>
        <v>39.199230819999997</v>
      </c>
      <c r="E15">
        <f>82.95192709</f>
        <v>82.951927089999998</v>
      </c>
      <c r="F15">
        <f>42.13037953</f>
        <v>42.130379529999999</v>
      </c>
      <c r="G15">
        <f>41.14022345</f>
        <v>41.140223450000001</v>
      </c>
      <c r="H15">
        <f>13.08634535</f>
        <v>13.08634535</v>
      </c>
      <c r="I15">
        <f>54.2265688</f>
        <v>54.226568800000003</v>
      </c>
      <c r="J15">
        <f>135.48473</f>
        <v>135.48473000000001</v>
      </c>
      <c r="K15">
        <f>13.066956</f>
        <v>13.066955999999999</v>
      </c>
      <c r="L15">
        <f>6087.1748</f>
        <v>6087.1747999999998</v>
      </c>
    </row>
    <row r="16" spans="1:12" x14ac:dyDescent="0.25">
      <c r="A16">
        <f>0.74</f>
        <v>0.74</v>
      </c>
      <c r="B16">
        <f>45.41950602</f>
        <v>45.41950602</v>
      </c>
      <c r="C16">
        <f>44.40942054</f>
        <v>44.409420539999999</v>
      </c>
      <c r="D16">
        <f>39.05145075</f>
        <v>39.051450750000001</v>
      </c>
      <c r="E16">
        <f>83.46087129</f>
        <v>83.46087129</v>
      </c>
      <c r="F16">
        <f>42.70750802</f>
        <v>42.707508019999999</v>
      </c>
      <c r="G16">
        <f>41.75773473</f>
        <v>41.757734730000003</v>
      </c>
      <c r="H16">
        <f>13.19809638</f>
        <v>13.198096380000001</v>
      </c>
      <c r="I16">
        <f>54.9558311</f>
        <v>54.955831099999997</v>
      </c>
      <c r="J16">
        <f>131.91216</f>
        <v>131.91216</v>
      </c>
      <c r="K16">
        <f>13.622586</f>
        <v>13.622586</v>
      </c>
      <c r="L16">
        <f>5846.5733</f>
        <v>5846.5733</v>
      </c>
    </row>
    <row r="17" spans="1:12" x14ac:dyDescent="0.25">
      <c r="A17">
        <f>0.75</f>
        <v>0.75</v>
      </c>
      <c r="B17">
        <f>46.03328313</f>
        <v>46.033283130000001</v>
      </c>
      <c r="C17">
        <f>45.06626373</f>
        <v>45.066263730000003</v>
      </c>
      <c r="D17">
        <f>38.90328711</f>
        <v>38.903287110000001</v>
      </c>
      <c r="E17">
        <f>83.96955085</f>
        <v>83.969550850000005</v>
      </c>
      <c r="F17">
        <f>43.28463651</f>
        <v>43.284636509999999</v>
      </c>
      <c r="G17">
        <f>42.37535782</f>
        <v>42.375357819999998</v>
      </c>
      <c r="H17">
        <f>13.31856903</f>
        <v>13.318569030000001</v>
      </c>
      <c r="I17">
        <f>55.69392685</f>
        <v>55.693926849999997</v>
      </c>
      <c r="J17">
        <f>128.17514</f>
        <v>128.17514</v>
      </c>
      <c r="K17">
        <f>14.229316</f>
        <v>14.229316000000001</v>
      </c>
      <c r="L17">
        <f>5605.1961</f>
        <v>5605.1961000000001</v>
      </c>
    </row>
    <row r="18" spans="1:12" x14ac:dyDescent="0.25">
      <c r="A18">
        <f>0.76</f>
        <v>0.76</v>
      </c>
      <c r="B18">
        <f>46.64706024</f>
        <v>46.647060240000002</v>
      </c>
      <c r="C18">
        <f>45.72324328</f>
        <v>45.723243279999998</v>
      </c>
      <c r="D18">
        <f>38.75468354</f>
        <v>38.754683540000002</v>
      </c>
      <c r="E18">
        <f>84.47792681</f>
        <v>84.47792681</v>
      </c>
      <c r="F18">
        <f>43.861765</f>
        <v>43.861764999999998</v>
      </c>
      <c r="G18">
        <f>42.99310913</f>
        <v>42.993109130000001</v>
      </c>
      <c r="H18">
        <f>13.44871626</f>
        <v>13.448716259999999</v>
      </c>
      <c r="I18">
        <f>56.44182539</f>
        <v>56.441825389999998</v>
      </c>
      <c r="J18">
        <f>124.27041</f>
        <v>124.27041</v>
      </c>
      <c r="K18">
        <f>14.894809</f>
        <v>14.894809</v>
      </c>
      <c r="L18">
        <f>5362.9337</f>
        <v>5362.9336999999996</v>
      </c>
    </row>
    <row r="19" spans="1:12" x14ac:dyDescent="0.25">
      <c r="A19">
        <f>0.77</f>
        <v>0.77</v>
      </c>
      <c r="B19">
        <f>47.26083735</f>
        <v>47.260837350000003</v>
      </c>
      <c r="C19">
        <f>46.38038034</f>
        <v>46.380380340000002</v>
      </c>
      <c r="D19">
        <f>38.60557152</f>
        <v>38.605571519999998</v>
      </c>
      <c r="E19">
        <f>84.98595187</f>
        <v>84.985951869999994</v>
      </c>
      <c r="F19">
        <f>44.43889348</f>
        <v>44.438893479999997</v>
      </c>
      <c r="G19">
        <f>43.61100855</f>
        <v>43.611008550000001</v>
      </c>
      <c r="H19">
        <f>13.58964927</f>
        <v>13.589649270000001</v>
      </c>
      <c r="I19">
        <f>57.20065782</f>
        <v>57.200657820000004</v>
      </c>
      <c r="J19">
        <f>120.19407</f>
        <v>120.19407</v>
      </c>
      <c r="K19">
        <f>15.628402</f>
        <v>15.628401999999999</v>
      </c>
      <c r="L19">
        <f>5119.6536</f>
        <v>5119.6535999999996</v>
      </c>
    </row>
    <row r="20" spans="1:12" x14ac:dyDescent="0.25">
      <c r="A20">
        <f>0.78</f>
        <v>0.78</v>
      </c>
      <c r="B20">
        <f>47.87461446</f>
        <v>47.874614459999997</v>
      </c>
      <c r="C20">
        <f>47.03769952</f>
        <v>47.037699519999997</v>
      </c>
      <c r="D20">
        <f>38.45587174</f>
        <v>38.455871739999999</v>
      </c>
      <c r="E20">
        <f>85.49357126</f>
        <v>85.493571259999996</v>
      </c>
      <c r="F20">
        <f>45.01602197</f>
        <v>45.016021969999997</v>
      </c>
      <c r="G20">
        <f>44.22907921</f>
        <v>44.229079210000002</v>
      </c>
      <c r="H20">
        <f>13.7426704</f>
        <v>13.7426704</v>
      </c>
      <c r="I20">
        <f>57.97174961</f>
        <v>57.971749610000003</v>
      </c>
      <c r="J20">
        <f>115.9454</f>
        <v>115.94540000000001</v>
      </c>
      <c r="K20">
        <f>16.441577</f>
        <v>16.441576999999999</v>
      </c>
      <c r="L20">
        <f>4875.3655</f>
        <v>4875.3654999999999</v>
      </c>
    </row>
    <row r="21" spans="1:12" x14ac:dyDescent="0.25">
      <c r="A21">
        <f>0.79</f>
        <v>0.79</v>
      </c>
      <c r="B21">
        <f>48.48839157</f>
        <v>48.488391569999997</v>
      </c>
      <c r="C21">
        <f>47.69523601</f>
        <v>47.695236010000002</v>
      </c>
      <c r="D21">
        <f>38.30546961</f>
        <v>38.305469610000003</v>
      </c>
      <c r="E21">
        <f>86.00070562</f>
        <v>86.000705620000005</v>
      </c>
      <c r="F21">
        <f>45.59315046</f>
        <v>45.593150459999997</v>
      </c>
      <c r="G21">
        <f>44.84735421</f>
        <v>44.847354209999999</v>
      </c>
      <c r="H21">
        <f>13.90934419</f>
        <v>13.909344190000001</v>
      </c>
      <c r="I21">
        <f>58.7566984</f>
        <v>58.756698399999998</v>
      </c>
      <c r="J21">
        <f>111.51004</f>
        <v>111.51004</v>
      </c>
      <c r="K21">
        <f>17.34877</f>
        <v>17.348769999999998</v>
      </c>
      <c r="L21">
        <f>4629.5115</f>
        <v>4629.5114999999996</v>
      </c>
    </row>
    <row r="22" spans="1:12" x14ac:dyDescent="0.25">
      <c r="A22">
        <f>0.8</f>
        <v>0.8</v>
      </c>
      <c r="B22">
        <f>49.10216868</f>
        <v>49.102168679999998</v>
      </c>
      <c r="C22">
        <f>48.35302943</f>
        <v>48.353029429999999</v>
      </c>
      <c r="D22">
        <f>38.15423698</f>
        <v>38.15423698</v>
      </c>
      <c r="E22">
        <f>86.50726641</f>
        <v>86.50726641</v>
      </c>
      <c r="F22">
        <f>46.17027894</f>
        <v>46.170278940000003</v>
      </c>
      <c r="G22">
        <f>45.46587079</f>
        <v>45.465870789999997</v>
      </c>
      <c r="H22">
        <f>14.09153778</f>
        <v>14.091537779999999</v>
      </c>
      <c r="I22">
        <f>59.55740857</f>
        <v>59.55740857</v>
      </c>
      <c r="J22">
        <f>106.88482</f>
        <v>106.88482</v>
      </c>
      <c r="K22">
        <f>18.36822</f>
        <v>18.368220000000001</v>
      </c>
      <c r="L22">
        <f>4382.01959999999</f>
        <v>4382.0195999999996</v>
      </c>
    </row>
    <row r="23" spans="1:12" x14ac:dyDescent="0.25">
      <c r="A23">
        <f>0.81</f>
        <v>0.81</v>
      </c>
      <c r="B23">
        <f>49.71594578</f>
        <v>49.715945779999998</v>
      </c>
      <c r="C23">
        <f>49.01113256</f>
        <v>49.01113256</v>
      </c>
      <c r="D23">
        <f>38.00200355</f>
        <v>38.002003549999998</v>
      </c>
      <c r="E23">
        <f>87.01313611</f>
        <v>87.013136110000005</v>
      </c>
      <c r="F23">
        <f>46.74740743</f>
        <v>46.747407430000003</v>
      </c>
      <c r="G23">
        <f>46.08467859</f>
        <v>46.084678590000003</v>
      </c>
      <c r="H23">
        <f>14.29153844</f>
        <v>14.29153844</v>
      </c>
      <c r="I23">
        <f>60.37621703</f>
        <v>60.376217029999999</v>
      </c>
      <c r="J23">
        <f>102.06009</f>
        <v>102.06009</v>
      </c>
      <c r="K23">
        <f>19.523537</f>
        <v>19.523537000000001</v>
      </c>
      <c r="L23">
        <f>4132.5602</f>
        <v>4132.5601999999999</v>
      </c>
    </row>
    <row r="24" spans="1:12" x14ac:dyDescent="0.25">
      <c r="A24">
        <f>0.82</f>
        <v>0.82</v>
      </c>
      <c r="B24">
        <f>50.32972289</f>
        <v>50.329722889999999</v>
      </c>
      <c r="C24">
        <f>49.66961492</f>
        <v>49.669614920000001</v>
      </c>
      <c r="D24">
        <f>37.84854245</f>
        <v>37.848542449999997</v>
      </c>
      <c r="E24">
        <f>87.51815737</f>
        <v>87.518157369999997</v>
      </c>
      <c r="F24">
        <f>47.32453592</f>
        <v>47.324535920000002</v>
      </c>
      <c r="G24">
        <f>46.70384298</f>
        <v>46.703842979999997</v>
      </c>
      <c r="H24">
        <f>14.51218963</f>
        <v>14.51218963</v>
      </c>
      <c r="I24">
        <f>61.21603262</f>
        <v>61.21603262</v>
      </c>
      <c r="J24">
        <f>97.02318</f>
        <v>97.023179999999996</v>
      </c>
      <c r="K24">
        <f>20.845912</f>
        <v>20.845911999999998</v>
      </c>
      <c r="L24">
        <f>3880.6987</f>
        <v>3880.6986999999999</v>
      </c>
    </row>
    <row r="25" spans="1:12" x14ac:dyDescent="0.25">
      <c r="A25">
        <f>0.83</f>
        <v>0.83</v>
      </c>
      <c r="B25">
        <f>50.9435</f>
        <v>50.9435</v>
      </c>
      <c r="C25">
        <f>50.32857048</f>
        <v>50.328570480000003</v>
      </c>
      <c r="D25">
        <f>37.69354898</f>
        <v>37.693548980000003</v>
      </c>
      <c r="E25">
        <f>88.02211947</f>
        <v>88.022119470000007</v>
      </c>
      <c r="F25">
        <f>47.9016644</f>
        <v>47.901664400000001</v>
      </c>
      <c r="G25">
        <f>47.32345232</f>
        <v>47.323452320000001</v>
      </c>
      <c r="H25">
        <f>14.75710789</f>
        <v>14.75710789</v>
      </c>
      <c r="I25">
        <f>62.0805602</f>
        <v>62.080560200000001</v>
      </c>
      <c r="J25">
        <f>91.756979</f>
        <v>91.756979000000001</v>
      </c>
      <c r="K25">
        <f>22.377645</f>
        <v>22.377645000000001</v>
      </c>
      <c r="L25">
        <f>3625.8455</f>
        <v>3625.8454999999999</v>
      </c>
    </row>
    <row r="26" spans="1:12" x14ac:dyDescent="0.25">
      <c r="A26">
        <f>0.84</f>
        <v>0.84</v>
      </c>
      <c r="B26">
        <f>51.55727711</f>
        <v>51.557277110000001</v>
      </c>
      <c r="C26">
        <f>50.98813051</f>
        <v>50.988130509999998</v>
      </c>
      <c r="D26">
        <f>37.53659632</f>
        <v>37.536596320000001</v>
      </c>
      <c r="E26">
        <f>88.52472683</f>
        <v>88.524726830000006</v>
      </c>
      <c r="F26">
        <f>48.47879289</f>
        <v>48.478792890000001</v>
      </c>
      <c r="G26">
        <f>47.94363003</f>
        <v>47.943630030000001</v>
      </c>
      <c r="H26">
        <f>15.03102227</f>
        <v>15.031022269999999</v>
      </c>
      <c r="I26">
        <f>62.9746523</f>
        <v>62.974652300000002</v>
      </c>
      <c r="J26">
        <f>86.237521</f>
        <v>86.237521000000001</v>
      </c>
      <c r="K26">
        <f>24.177986</f>
        <v>24.177986000000001</v>
      </c>
      <c r="L26">
        <f>3367.1716</f>
        <v>3367.1716000000001</v>
      </c>
    </row>
    <row r="27" spans="1:12" x14ac:dyDescent="0.25">
      <c r="A27">
        <f>0.85</f>
        <v>0.85</v>
      </c>
      <c r="B27">
        <f>52.17105422</f>
        <v>52.171054220000002</v>
      </c>
      <c r="C27">
        <f>51.64848634</f>
        <v>51.648486339999998</v>
      </c>
      <c r="D27">
        <f>37.37706155</f>
        <v>37.377061550000001</v>
      </c>
      <c r="E27">
        <f>89.02554789</f>
        <v>89.025547889999999</v>
      </c>
      <c r="F27">
        <f>49.05592138</f>
        <v>49.055921380000001</v>
      </c>
      <c r="G27">
        <f>48.56455602</f>
        <v>48.564556019999998</v>
      </c>
      <c r="H27">
        <f>15.34034971</f>
        <v>15.34034971</v>
      </c>
      <c r="I27">
        <f>63.90490572</f>
        <v>63.904905720000002</v>
      </c>
      <c r="J27">
        <f>80.429717</f>
        <v>80.429716999999997</v>
      </c>
      <c r="K27">
        <f>26.333402</f>
        <v>26.333402</v>
      </c>
      <c r="L27">
        <f>3103.4581</f>
        <v>3103.4580999999998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J29" sqref="J29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>37.35272117</f>
        <v>37.352721170000002</v>
      </c>
      <c r="C2">
        <f>35.70739523</f>
        <v>35.707395230000003</v>
      </c>
      <c r="D2">
        <f>40.06463971</f>
        <v>40.064639710000002</v>
      </c>
      <c r="E2">
        <f>75.77203495</f>
        <v>75.772034950000005</v>
      </c>
      <c r="F2">
        <f>35.12239077</f>
        <v>35.122390770000003</v>
      </c>
      <c r="G2">
        <f>33.57530721</f>
        <v>33.575307209999998</v>
      </c>
      <c r="H2">
        <f>11.65717503</f>
        <v>11.657175029999999</v>
      </c>
      <c r="I2">
        <f>45.23248225</f>
        <v>45.232482249999997</v>
      </c>
      <c r="J2">
        <f>167.31252</f>
        <v>167.31252000000001</v>
      </c>
      <c r="K2">
        <f>8.4822835</f>
        <v>8.4822834999999994</v>
      </c>
      <c r="L2">
        <f>9145.8792</f>
        <v>9145.8791999999994</v>
      </c>
    </row>
    <row r="3" spans="1:12" x14ac:dyDescent="0.25">
      <c r="A3">
        <f>0.61</f>
        <v>0.61</v>
      </c>
      <c r="B3">
        <f>37.97526652</f>
        <v>37.975266519999998</v>
      </c>
      <c r="C3">
        <f>36.37272968</f>
        <v>36.372729679999999</v>
      </c>
      <c r="D3">
        <f>39.91722685</f>
        <v>39.917226849999999</v>
      </c>
      <c r="E3">
        <f>76.28995653</f>
        <v>76.289956529999998</v>
      </c>
      <c r="F3">
        <f>35.70776395</f>
        <v>35.70776395</v>
      </c>
      <c r="G3">
        <f>34.20091456</f>
        <v>34.200914560000001</v>
      </c>
      <c r="H3">
        <f>11.69841813</f>
        <v>11.69841813</v>
      </c>
      <c r="I3">
        <f>45.89933268</f>
        <v>45.899332680000001</v>
      </c>
      <c r="J3">
        <f>165.72033</f>
        <v>165.72032999999999</v>
      </c>
      <c r="K3">
        <f>8.708779</f>
        <v>8.7087789999999998</v>
      </c>
      <c r="L3">
        <f>8910.3389</f>
        <v>8910.3389000000006</v>
      </c>
    </row>
    <row r="4" spans="1:12" x14ac:dyDescent="0.25">
      <c r="A4">
        <f>0.62</f>
        <v>0.62</v>
      </c>
      <c r="B4">
        <f>38.59781188</f>
        <v>38.597811880000002</v>
      </c>
      <c r="C4">
        <f>37.03809601</f>
        <v>37.038096009999997</v>
      </c>
      <c r="D4">
        <f>39.76971096</f>
        <v>39.769710959999998</v>
      </c>
      <c r="E4">
        <f>76.80780697</f>
        <v>76.807806970000001</v>
      </c>
      <c r="F4">
        <f>36.29313713</f>
        <v>36.293137129999998</v>
      </c>
      <c r="G4">
        <f>34.82655187</f>
        <v>34.826551870000003</v>
      </c>
      <c r="H4">
        <f>11.74245718</f>
        <v>11.742457180000001</v>
      </c>
      <c r="I4">
        <f>46.56900905</f>
        <v>46.569009049999998</v>
      </c>
      <c r="J4">
        <f>163.98038</f>
        <v>163.98038</v>
      </c>
      <c r="K4">
        <f>8.947885</f>
        <v>8.9478849999999994</v>
      </c>
      <c r="L4">
        <f>8674.5801</f>
        <v>8674.5800999999992</v>
      </c>
    </row>
    <row r="5" spans="1:12" x14ac:dyDescent="0.25">
      <c r="A5">
        <f>0.63</f>
        <v>0.63</v>
      </c>
      <c r="B5">
        <f>39.22035723</f>
        <v>39.220357229999998</v>
      </c>
      <c r="C5">
        <f>37.70349697</f>
        <v>37.703496970000003</v>
      </c>
      <c r="D5">
        <f>39.62208309</f>
        <v>39.622083089999997</v>
      </c>
      <c r="E5">
        <f>77.32558006</f>
        <v>77.325580059999993</v>
      </c>
      <c r="F5">
        <f>36.87851031</f>
        <v>36.878510310000003</v>
      </c>
      <c r="G5">
        <f>35.45222175</f>
        <v>35.45222175</v>
      </c>
      <c r="H5">
        <f>11.78948714</f>
        <v>11.78948714</v>
      </c>
      <c r="I5">
        <f>47.24170889</f>
        <v>47.241708889999998</v>
      </c>
      <c r="J5">
        <f>162.09212</f>
        <v>162.09211999999999</v>
      </c>
      <c r="K5">
        <f>9.2007015</f>
        <v>9.2007014999999992</v>
      </c>
      <c r="L5">
        <f>8438.5848</f>
        <v>8438.5848000000005</v>
      </c>
    </row>
    <row r="6" spans="1:12" x14ac:dyDescent="0.25">
      <c r="A6">
        <f>0.64</f>
        <v>0.64</v>
      </c>
      <c r="B6">
        <f>39.84290258</f>
        <v>39.842902580000001</v>
      </c>
      <c r="C6">
        <f>38.36893568</f>
        <v>38.36893568</v>
      </c>
      <c r="D6">
        <f>39.47433318</f>
        <v>39.474333180000002</v>
      </c>
      <c r="E6">
        <f>77.84326885</f>
        <v>77.843268850000001</v>
      </c>
      <c r="F6">
        <f>37.46388348</f>
        <v>37.46388348</v>
      </c>
      <c r="G6">
        <f>36.07792712</f>
        <v>36.077927119999998</v>
      </c>
      <c r="H6">
        <f>11.83972213</f>
        <v>11.83972213</v>
      </c>
      <c r="I6">
        <f>47.91764925</f>
        <v>47.917649249999997</v>
      </c>
      <c r="J6">
        <f>160.05494</f>
        <v>160.05493999999999</v>
      </c>
      <c r="K6">
        <f>9.4684622</f>
        <v>9.4684621999999994</v>
      </c>
      <c r="L6">
        <f>8202.333</f>
        <v>8202.3330000000005</v>
      </c>
    </row>
    <row r="7" spans="1:12" x14ac:dyDescent="0.25">
      <c r="A7">
        <f>0.65</f>
        <v>0.65</v>
      </c>
      <c r="B7">
        <f>40.46544794</f>
        <v>40.465447939999997</v>
      </c>
      <c r="C7">
        <f>39.03441563</f>
        <v>39.034415629999998</v>
      </c>
      <c r="D7">
        <f>39.32644988</f>
        <v>39.326449879999998</v>
      </c>
      <c r="E7">
        <f>78.36086551</f>
        <v>78.360865509999996</v>
      </c>
      <c r="F7">
        <f>38.04925666</f>
        <v>38.049256659999998</v>
      </c>
      <c r="G7">
        <f>36.70367127</f>
        <v>36.703671270000001</v>
      </c>
      <c r="H7">
        <f>11.89339795</f>
        <v>11.893397950000001</v>
      </c>
      <c r="I7">
        <f>48.59706922</f>
        <v>48.597069220000002</v>
      </c>
      <c r="J7">
        <f>157.86818</f>
        <v>157.86818</v>
      </c>
      <c r="K7">
        <f>9.7525559</f>
        <v>9.7525559000000008</v>
      </c>
      <c r="L7">
        <f>7965.802</f>
        <v>7965.8019999999997</v>
      </c>
    </row>
    <row r="8" spans="1:12" x14ac:dyDescent="0.25">
      <c r="A8">
        <f>0.66</f>
        <v>0.66</v>
      </c>
      <c r="B8">
        <f>41.08799329</f>
        <v>41.08799329</v>
      </c>
      <c r="C8">
        <f>39.69994076</f>
        <v>39.699940759999997</v>
      </c>
      <c r="D8">
        <f>39.17842041</f>
        <v>39.178420410000001</v>
      </c>
      <c r="E8">
        <f>78.87836117</f>
        <v>78.878361170000005</v>
      </c>
      <c r="F8">
        <f>38.63462984</f>
        <v>38.634629840000002</v>
      </c>
      <c r="G8">
        <f>37.32945791</f>
        <v>37.329457910000002</v>
      </c>
      <c r="H8">
        <f>11.95077503</f>
        <v>11.950775030000001</v>
      </c>
      <c r="I8">
        <f>49.28023295</f>
        <v>49.280232949999998</v>
      </c>
      <c r="J8">
        <f>155.53105</f>
        <v>155.53104999999999</v>
      </c>
      <c r="K8">
        <f>10.054552</f>
        <v>10.054551999999999</v>
      </c>
      <c r="L8">
        <f>7728.9666</f>
        <v>7728.9665999999997</v>
      </c>
    </row>
    <row r="9" spans="1:12" x14ac:dyDescent="0.25">
      <c r="A9">
        <f>0.67</f>
        <v>0.67</v>
      </c>
      <c r="B9">
        <f>41.71053864</f>
        <v>41.710538640000003</v>
      </c>
      <c r="C9">
        <f>40.36551557</f>
        <v>40.365515569999999</v>
      </c>
      <c r="D9">
        <f>39.03023022</f>
        <v>39.03023022</v>
      </c>
      <c r="E9">
        <f>79.39574579</f>
        <v>79.395745790000007</v>
      </c>
      <c r="F9">
        <f>39.22000302</f>
        <v>39.22000302</v>
      </c>
      <c r="G9">
        <f>37.95529126</f>
        <v>37.955291260000003</v>
      </c>
      <c r="H9">
        <f>12.01214188</f>
        <v>12.01214188</v>
      </c>
      <c r="I9">
        <f>49.96743313</f>
        <v>49.967433130000003</v>
      </c>
      <c r="J9">
        <f>153.04269</f>
        <v>153.04268999999999</v>
      </c>
      <c r="K9">
        <f>10.376233</f>
        <v>10.376232999999999</v>
      </c>
      <c r="L9">
        <f>7491.7982</f>
        <v>7491.7982000000002</v>
      </c>
    </row>
    <row r="10" spans="1:12" x14ac:dyDescent="0.25">
      <c r="A10">
        <f>0.68</f>
        <v>0.68</v>
      </c>
      <c r="B10">
        <f>42.33308399</f>
        <v>42.333083989999999</v>
      </c>
      <c r="C10">
        <f>41.03114515</f>
        <v>41.03114515</v>
      </c>
      <c r="D10">
        <f>38.88186275</f>
        <v>38.881862750000003</v>
      </c>
      <c r="E10">
        <f>79.9130079</f>
        <v>79.913007899999997</v>
      </c>
      <c r="F10">
        <f>39.8053762</f>
        <v>39.805376199999998</v>
      </c>
      <c r="G10">
        <f>38.58117611</f>
        <v>38.581176110000001</v>
      </c>
      <c r="H10">
        <f>12.07781913</f>
        <v>12.07781913</v>
      </c>
      <c r="I10">
        <f>50.65899524</f>
        <v>50.658995240000003</v>
      </c>
      <c r="J10">
        <f>150.40214</f>
        <v>150.40214</v>
      </c>
      <c r="K10">
        <f>10.719628</f>
        <v>10.719628</v>
      </c>
      <c r="L10">
        <f>7254.2643</f>
        <v>7254.2642999999998</v>
      </c>
    </row>
    <row r="11" spans="1:12" x14ac:dyDescent="0.25">
      <c r="A11">
        <f>0.69</f>
        <v>0.69</v>
      </c>
      <c r="B11">
        <f>42.95562935</f>
        <v>42.955629350000002</v>
      </c>
      <c r="C11">
        <f>41.69683536</f>
        <v>41.696835360000001</v>
      </c>
      <c r="D11">
        <f>38.73329901</f>
        <v>38.733299010000003</v>
      </c>
      <c r="E11">
        <f>80.43013437</f>
        <v>80.430134370000005</v>
      </c>
      <c r="F11">
        <f>40.39074938</f>
        <v>40.390749380000003</v>
      </c>
      <c r="G11">
        <f>39.20711797</f>
        <v>39.207117969999999</v>
      </c>
      <c r="H11">
        <f>12.14816443</f>
        <v>12.14816443</v>
      </c>
      <c r="I11">
        <f>51.3552824</f>
        <v>51.3552824</v>
      </c>
      <c r="J11">
        <f>147.60827</f>
        <v>147.60827</v>
      </c>
      <c r="K11">
        <f>11.087064</f>
        <v>11.087064</v>
      </c>
      <c r="L11">
        <f>7016.3279</f>
        <v>7016.3279000000002</v>
      </c>
    </row>
    <row r="12" spans="1:12" x14ac:dyDescent="0.25">
      <c r="A12">
        <f>0.7</f>
        <v>0.7</v>
      </c>
      <c r="B12">
        <f>43.5781747</f>
        <v>43.578174699999998</v>
      </c>
      <c r="C12">
        <f>42.36259293</f>
        <v>42.362592929999998</v>
      </c>
      <c r="D12">
        <f>38.58451714</f>
        <v>38.584517140000003</v>
      </c>
      <c r="E12">
        <f>80.94711007</f>
        <v>80.947110069999994</v>
      </c>
      <c r="F12">
        <f>40.97612256</f>
        <v>40.97612256</v>
      </c>
      <c r="G12">
        <f>39.83312316</f>
        <v>39.83312316</v>
      </c>
      <c r="H12">
        <f>12.22357823</f>
        <v>12.223578229999999</v>
      </c>
      <c r="I12">
        <f>52.05670139</f>
        <v>52.056701390000001</v>
      </c>
      <c r="J12">
        <f>144.65982</f>
        <v>144.65982</v>
      </c>
      <c r="K12">
        <f>11.481219</f>
        <v>11.481218999999999</v>
      </c>
      <c r="L12">
        <f>6777.9466</f>
        <v>6777.9466000000002</v>
      </c>
    </row>
    <row r="13" spans="1:12" x14ac:dyDescent="0.25">
      <c r="A13">
        <f>0.71</f>
        <v>0.71</v>
      </c>
      <c r="B13">
        <f>44.20072005</f>
        <v>44.200720050000001</v>
      </c>
      <c r="C13">
        <f>43.02842566</f>
        <v>43.028425660000003</v>
      </c>
      <c r="D13">
        <f>38.43549181</f>
        <v>38.435491810000002</v>
      </c>
      <c r="E13">
        <f>81.46391747</f>
        <v>81.463917469999998</v>
      </c>
      <c r="F13">
        <f>41.56149574</f>
        <v>41.561495739999998</v>
      </c>
      <c r="G13">
        <f>40.45919903</f>
        <v>40.459199030000001</v>
      </c>
      <c r="H13">
        <f>12.30451078</f>
        <v>12.304510779999999</v>
      </c>
      <c r="I13">
        <f>52.76370981</f>
        <v>52.763709810000002</v>
      </c>
      <c r="J13">
        <f>141.55531</f>
        <v>141.55530999999999</v>
      </c>
      <c r="K13">
        <f>11.905196</f>
        <v>11.905196</v>
      </c>
      <c r="L13">
        <f>6539.0715</f>
        <v>6539.0715</v>
      </c>
    </row>
    <row r="14" spans="1:12" x14ac:dyDescent="0.25">
      <c r="A14">
        <f>0.72</f>
        <v>0.72</v>
      </c>
      <c r="B14">
        <f>44.82326541</f>
        <v>44.823265409999998</v>
      </c>
      <c r="C14">
        <f>43.69434264</f>
        <v>43.694342640000002</v>
      </c>
      <c r="D14">
        <f>38.28619349</f>
        <v>38.286193490000002</v>
      </c>
      <c r="E14">
        <f>81.98053612</f>
        <v>81.980536119999996</v>
      </c>
      <c r="F14">
        <f>42.14686892</f>
        <v>42.146868920000003</v>
      </c>
      <c r="G14">
        <f>41.08535411</f>
        <v>41.085354109999997</v>
      </c>
      <c r="H14">
        <f>12.39147067</f>
        <v>12.39147067</v>
      </c>
      <c r="I14">
        <f>53.47682478</f>
        <v>53.476824780000001</v>
      </c>
      <c r="J14">
        <f>138.29305</f>
        <v>138.29304999999999</v>
      </c>
      <c r="K14">
        <f>12.362609</f>
        <v>12.362609000000001</v>
      </c>
      <c r="L14">
        <f>6299.6458</f>
        <v>6299.6458000000002</v>
      </c>
    </row>
    <row r="15" spans="1:12" x14ac:dyDescent="0.25">
      <c r="A15">
        <f>0.73</f>
        <v>0.73</v>
      </c>
      <c r="B15">
        <f>45.44581076</f>
        <v>45.445810760000001</v>
      </c>
      <c r="C15">
        <f>44.36035452</f>
        <v>44.360354520000001</v>
      </c>
      <c r="D15">
        <f>38.13658752</f>
        <v>38.136587519999999</v>
      </c>
      <c r="E15">
        <f>82.49694204</f>
        <v>82.496942039999993</v>
      </c>
      <c r="F15">
        <f>42.7322421</f>
        <v>42.732242100000001</v>
      </c>
      <c r="G15">
        <f>41.71159844</f>
        <v>41.711598440000003</v>
      </c>
      <c r="H15">
        <f>12.48503528</f>
        <v>12.48503528</v>
      </c>
      <c r="I15">
        <f>54.19663372</f>
        <v>54.196633720000001</v>
      </c>
      <c r="J15">
        <f>134.87107</f>
        <v>134.87107</v>
      </c>
      <c r="K15">
        <f>12.8577</f>
        <v>12.857699999999999</v>
      </c>
      <c r="L15">
        <f>6059.6034</f>
        <v>6059.6034</v>
      </c>
    </row>
    <row r="16" spans="1:12" x14ac:dyDescent="0.25">
      <c r="A16">
        <f>0.74</f>
        <v>0.74</v>
      </c>
      <c r="B16">
        <f>46.06835611</f>
        <v>46.068356110000003</v>
      </c>
      <c r="C16">
        <f>45.02647392</f>
        <v>45.026473920000001</v>
      </c>
      <c r="D16">
        <f>37.98663293</f>
        <v>37.986632929999999</v>
      </c>
      <c r="E16">
        <f>83.01310685</f>
        <v>83.01310685</v>
      </c>
      <c r="F16">
        <f>43.31761528</f>
        <v>43.317615279999998</v>
      </c>
      <c r="G16">
        <f>42.33794386</f>
        <v>42.337943860000003</v>
      </c>
      <c r="H16">
        <f>12.5858638</f>
        <v>12.5858638</v>
      </c>
      <c r="I16">
        <f>54.92380766</f>
        <v>54.923807660000001</v>
      </c>
      <c r="J16">
        <f>131.28703</f>
        <v>131.28702999999999</v>
      </c>
      <c r="K16">
        <f>13.395481</f>
        <v>13.395481</v>
      </c>
      <c r="L16">
        <f>5818.8663</f>
        <v>5818.8662999999997</v>
      </c>
    </row>
    <row r="17" spans="1:12" x14ac:dyDescent="0.25">
      <c r="A17">
        <f>0.75</f>
        <v>0.75</v>
      </c>
      <c r="B17">
        <f>46.69090146</f>
        <v>46.690901459999999</v>
      </c>
      <c r="C17">
        <f>45.69271585</f>
        <v>45.692715849999999</v>
      </c>
      <c r="D17">
        <f>37.83628082</f>
        <v>37.836280819999999</v>
      </c>
      <c r="E17">
        <f>83.52899667</f>
        <v>83.528996669999998</v>
      </c>
      <c r="F17">
        <f>43.90298846</f>
        <v>43.902988460000003</v>
      </c>
      <c r="G17">
        <f>42.96440449</f>
        <v>42.96440449</v>
      </c>
      <c r="H17">
        <f>12.69471351</f>
        <v>12.69471351</v>
      </c>
      <c r="I17">
        <f>55.65911801</f>
        <v>55.65911801</v>
      </c>
      <c r="J17">
        <f>127.53819</f>
        <v>127.53819</v>
      </c>
      <c r="K17">
        <f>13.981929</f>
        <v>13.981928999999999</v>
      </c>
      <c r="L17">
        <f>5577.3419</f>
        <v>5577.3419000000004</v>
      </c>
    </row>
    <row r="18" spans="1:12" x14ac:dyDescent="0.25">
      <c r="A18">
        <f>0.76</f>
        <v>0.76</v>
      </c>
      <c r="B18">
        <f>47.31344682</f>
        <v>47.313446820000003</v>
      </c>
      <c r="C18">
        <f>46.35909839</f>
        <v>46.35909839</v>
      </c>
      <c r="D18">
        <f>37.68547235</f>
        <v>37.685472349999998</v>
      </c>
      <c r="E18">
        <f>84.04457074</f>
        <v>84.044570739999997</v>
      </c>
      <c r="F18">
        <f>44.48836164</f>
        <v>44.488361640000001</v>
      </c>
      <c r="G18">
        <f>43.59099734</f>
        <v>43.590997340000001</v>
      </c>
      <c r="H18">
        <f>12.81246054</f>
        <v>12.81246054</v>
      </c>
      <c r="I18">
        <f>56.40345788</f>
        <v>56.403457879999998</v>
      </c>
      <c r="J18">
        <f>123.62127</f>
        <v>123.62127</v>
      </c>
      <c r="K18">
        <f>14.624231</f>
        <v>14.624231</v>
      </c>
      <c r="L18">
        <f>5334.9194</f>
        <v>5334.9193999999998</v>
      </c>
    </row>
    <row r="19" spans="1:12" x14ac:dyDescent="0.25">
      <c r="A19">
        <f>0.77</f>
        <v>0.77</v>
      </c>
      <c r="B19">
        <f>47.93599217</f>
        <v>47.935992169999999</v>
      </c>
      <c r="C19">
        <f>47.02564352</f>
        <v>47.025643520000003</v>
      </c>
      <c r="D19">
        <f>37.53413593</f>
        <v>37.534135929999998</v>
      </c>
      <c r="E19">
        <f>84.55977945</f>
        <v>84.559779449999994</v>
      </c>
      <c r="F19">
        <f>45.07373482</f>
        <v>45.073734819999999</v>
      </c>
      <c r="G19">
        <f>44.21774307</f>
        <v>44.217743069999997</v>
      </c>
      <c r="H19">
        <f>12.94012662</f>
        <v>12.940126619999999</v>
      </c>
      <c r="I19">
        <f>57.1578697</f>
        <v>57.157869699999999</v>
      </c>
      <c r="J19">
        <f>119.53228</f>
        <v>119.53228</v>
      </c>
      <c r="K19">
        <f>15.331124</f>
        <v>15.331124000000001</v>
      </c>
      <c r="L19">
        <f>5091.4647</f>
        <v>5091.4647000000004</v>
      </c>
    </row>
    <row r="20" spans="1:12" x14ac:dyDescent="0.25">
      <c r="A20">
        <f>0.78</f>
        <v>0.78</v>
      </c>
      <c r="B20">
        <f>48.55853752</f>
        <v>48.558537520000002</v>
      </c>
      <c r="C20">
        <f>47.69237682</f>
        <v>47.69237682</v>
      </c>
      <c r="D20">
        <f>37.38218843</f>
        <v>37.382188429999999</v>
      </c>
      <c r="E20">
        <f>85.07456525</f>
        <v>85.074565250000006</v>
      </c>
      <c r="F20">
        <f>45.659108</f>
        <v>45.659108000000003</v>
      </c>
      <c r="G20">
        <f>44.84466573</f>
        <v>44.844665730000003</v>
      </c>
      <c r="H20">
        <f>13.07890954</f>
        <v>13.07890954</v>
      </c>
      <c r="I20">
        <f>57.92357527</f>
        <v>57.923575270000001</v>
      </c>
      <c r="J20">
        <f>115.27044</f>
        <v>115.27043999999999</v>
      </c>
      <c r="K20">
        <f>16.113327</f>
        <v>16.113327000000002</v>
      </c>
      <c r="L20">
        <f>4846.9845</f>
        <v>4846.9844999999996</v>
      </c>
    </row>
    <row r="21" spans="1:12" x14ac:dyDescent="0.25">
      <c r="A21">
        <f>0.79</f>
        <v>0.79</v>
      </c>
      <c r="B21">
        <f>49.18108288</f>
        <v>49.181082879999998</v>
      </c>
      <c r="C21">
        <f>48.35933486</f>
        <v>48.359334859999997</v>
      </c>
      <c r="D21">
        <f>37.22951003</f>
        <v>37.22951003</v>
      </c>
      <c r="E21">
        <f>85.58884489</f>
        <v>85.588844890000004</v>
      </c>
      <c r="F21">
        <f>46.24448118</f>
        <v>46.244481180000001</v>
      </c>
      <c r="G21">
        <f>45.47179972</f>
        <v>45.47179972</v>
      </c>
      <c r="H21">
        <f>13.23024857</f>
        <v>13.230248570000001</v>
      </c>
      <c r="I21">
        <f>58.70204829</f>
        <v>58.70204829</v>
      </c>
      <c r="J21">
        <f>110.82137</f>
        <v>110.82137</v>
      </c>
      <c r="K21">
        <f>16.984282</f>
        <v>16.984282</v>
      </c>
      <c r="L21">
        <f>4600.9203</f>
        <v>4600.9202999999998</v>
      </c>
    </row>
    <row r="22" spans="1:12" x14ac:dyDescent="0.25">
      <c r="A22">
        <f>0.8</f>
        <v>0.8</v>
      </c>
      <c r="B22">
        <f>49.80362823</f>
        <v>49.803628230000001</v>
      </c>
      <c r="C22">
        <f>49.02655894</f>
        <v>49.026558940000001</v>
      </c>
      <c r="D22">
        <f>37.0759661</f>
        <v>37.075966100000002</v>
      </c>
      <c r="E22">
        <f>86.10252504</f>
        <v>86.102525040000003</v>
      </c>
      <c r="F22">
        <f>46.82985436</f>
        <v>46.829854359999999</v>
      </c>
      <c r="G22">
        <f>46.09918387</f>
        <v>46.099183869999997</v>
      </c>
      <c r="H22">
        <f>13.39586225</f>
        <v>13.39586225</v>
      </c>
      <c r="I22">
        <f>59.49504612</f>
        <v>59.495046119999998</v>
      </c>
      <c r="J22">
        <f>106.18178</f>
        <v>106.18178</v>
      </c>
      <c r="K22">
        <f>17.960918</f>
        <v>17.960917999999999</v>
      </c>
      <c r="L22">
        <f>4353.1965</f>
        <v>4353.1965</v>
      </c>
    </row>
    <row r="23" spans="1:12" x14ac:dyDescent="0.25">
      <c r="A23">
        <f>0.81</f>
        <v>0.81</v>
      </c>
      <c r="B23">
        <f>50.42617358</f>
        <v>50.426173579999997</v>
      </c>
      <c r="C23">
        <f>49.69410419</f>
        <v>49.694104189999997</v>
      </c>
      <c r="D23">
        <f>36.92137651</f>
        <v>36.921376510000002</v>
      </c>
      <c r="E23">
        <f>86.6154807</f>
        <v>86.615480700000006</v>
      </c>
      <c r="F23">
        <f>47.41522754</f>
        <v>47.415227539999997</v>
      </c>
      <c r="G23">
        <f>46.72686999</f>
        <v>46.726869989999997</v>
      </c>
      <c r="H23">
        <f>13.57785657</f>
        <v>13.57785657</v>
      </c>
      <c r="I23">
        <f>60.30472656</f>
        <v>60.304726559999999</v>
      </c>
      <c r="J23">
        <f>101.34193</f>
        <v>101.34193</v>
      </c>
      <c r="K23">
        <f>19.065086</f>
        <v>19.065086000000001</v>
      </c>
      <c r="L23">
        <f>4103.4808</f>
        <v>4103.4808000000003</v>
      </c>
    </row>
    <row r="24" spans="1:12" x14ac:dyDescent="0.25">
      <c r="A24">
        <f>0.82</f>
        <v>0.82</v>
      </c>
      <c r="B24">
        <f>51.04871893</f>
        <v>51.04871893</v>
      </c>
      <c r="C24">
        <f>50.36204325</f>
        <v>50.362043249999999</v>
      </c>
      <c r="D24">
        <f>36.76550522</f>
        <v>36.765505220000001</v>
      </c>
      <c r="E24">
        <f>87.12754848</f>
        <v>87.127548480000002</v>
      </c>
      <c r="F24">
        <f>48.00060071</f>
        <v>48.000600710000001</v>
      </c>
      <c r="G24">
        <f>47.35492643</f>
        <v>47.354926429999999</v>
      </c>
      <c r="H24">
        <f>13.77885388</f>
        <v>13.77885388</v>
      </c>
      <c r="I24">
        <f>61.13378031</f>
        <v>61.133780309999999</v>
      </c>
      <c r="J24">
        <f>96.289052</f>
        <v>96.289051999999998</v>
      </c>
      <c r="K24">
        <f>20.325558</f>
        <v>20.325558000000001</v>
      </c>
      <c r="L24">
        <f>3851.3353</f>
        <v>3851.3353000000002</v>
      </c>
    </row>
    <row r="25" spans="1:12" x14ac:dyDescent="0.25">
      <c r="A25">
        <f>0.83</f>
        <v>0.83</v>
      </c>
      <c r="B25">
        <f>51.67126429</f>
        <v>51.671264290000003</v>
      </c>
      <c r="C25">
        <f>51.03047455</f>
        <v>51.030474550000001</v>
      </c>
      <c r="D25">
        <f>36.60802798</f>
        <v>36.608027980000003</v>
      </c>
      <c r="E25">
        <f>87.63850254</f>
        <v>87.638502540000005</v>
      </c>
      <c r="F25">
        <f>48.58597389</f>
        <v>48.585973889999998</v>
      </c>
      <c r="G25">
        <f>47.98344571</f>
        <v>47.983445709999998</v>
      </c>
      <c r="H25">
        <f>14.00219033</f>
        <v>14.002190329999999</v>
      </c>
      <c r="I25">
        <f>61.98563604</f>
        <v>61.985636040000003</v>
      </c>
      <c r="J25">
        <f>91.005931</f>
        <v>91.005931000000004</v>
      </c>
      <c r="K25">
        <f>21.781221</f>
        <v>21.781220999999999</v>
      </c>
      <c r="L25">
        <f>3596.1672</f>
        <v>3596.1671999999999</v>
      </c>
    </row>
    <row r="26" spans="1:12" x14ac:dyDescent="0.25">
      <c r="A26">
        <f>0.84</f>
        <v>0.84</v>
      </c>
      <c r="B26">
        <f>52.29380964</f>
        <v>52.293809639999999</v>
      </c>
      <c r="C26">
        <f>51.69953582</f>
        <v>51.699535820000001</v>
      </c>
      <c r="D26">
        <f>36.4484944</f>
        <v>36.448494400000001</v>
      </c>
      <c r="E26">
        <f>88.14803022</f>
        <v>88.148030219999995</v>
      </c>
      <c r="F26">
        <f>49.17134707</f>
        <v>49.171347070000003</v>
      </c>
      <c r="G26">
        <f>48.61255734</f>
        <v>48.612557340000002</v>
      </c>
      <c r="H26">
        <f>14.25223754</f>
        <v>14.252237539999999</v>
      </c>
      <c r="I26">
        <f>62.86479488</f>
        <v>62.864794879999998</v>
      </c>
      <c r="J26">
        <f>85.468517</f>
        <v>85.468517000000006</v>
      </c>
      <c r="K26">
        <f>23.486343</f>
        <v>23.486343000000002</v>
      </c>
      <c r="L26">
        <f>3337.1456</f>
        <v>3337.1455999999998</v>
      </c>
    </row>
    <row r="27" spans="1:12" x14ac:dyDescent="0.25">
      <c r="A27">
        <f>0.85</f>
        <v>0.85</v>
      </c>
      <c r="B27">
        <f>52.91635499</f>
        <v>52.916354990000002</v>
      </c>
      <c r="C27">
        <f>52.36942818</f>
        <v>52.36942818</v>
      </c>
      <c r="D27">
        <f>36.2862447</f>
        <v>36.286244699999997</v>
      </c>
      <c r="E27">
        <f>88.65567288</f>
        <v>88.655672879999997</v>
      </c>
      <c r="F27">
        <f>49.75672025</f>
        <v>49.756720250000001</v>
      </c>
      <c r="G27">
        <f>49.24245043</f>
        <v>49.242450429999998</v>
      </c>
      <c r="H27">
        <f>14.53493959</f>
        <v>14.53493959</v>
      </c>
      <c r="I27">
        <f>63.77739002</f>
        <v>63.777390019999999</v>
      </c>
      <c r="J27">
        <f>79.641724</f>
        <v>79.641723999999996</v>
      </c>
      <c r="K27">
        <f>25.519833</f>
        <v>25.519832999999998</v>
      </c>
      <c r="L27">
        <f>3073.0527</f>
        <v>3073.0527000000002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L29" sqref="L29"/>
    </sheetView>
  </sheetViews>
  <sheetFormatPr defaultRowHeight="15" x14ac:dyDescent="0.25"/>
  <sheetData>
    <row r="1" spans="1:1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>
        <f>0.6</f>
        <v>0.6</v>
      </c>
      <c r="B2">
        <f>37.87881584</f>
        <v>37.878815840000001</v>
      </c>
      <c r="C2">
        <f>36.19309819</f>
        <v>36.193098190000001</v>
      </c>
      <c r="D2">
        <f>39.02957124</f>
        <v>39.029571240000003</v>
      </c>
      <c r="E2">
        <f>75.22266943</f>
        <v>75.222669429999996</v>
      </c>
      <c r="F2">
        <f>35.61707233</f>
        <v>35.617072329999999</v>
      </c>
      <c r="G2">
        <f>34.03200886</f>
        <v>34.032008859999998</v>
      </c>
      <c r="H2">
        <f>11.1698994</f>
        <v>11.1698994</v>
      </c>
      <c r="I2">
        <f>45.20190826</f>
        <v>45.201908260000003</v>
      </c>
      <c r="J2">
        <f>166.82699</f>
        <v>166.82699</v>
      </c>
      <c r="K2">
        <f>8.3956348</f>
        <v>8.3956347999999998</v>
      </c>
      <c r="L2">
        <f>9119.3387</f>
        <v>9119.3387000000002</v>
      </c>
    </row>
    <row r="3" spans="1:12" x14ac:dyDescent="0.25">
      <c r="A3">
        <f>0.61</f>
        <v>0.61</v>
      </c>
      <c r="B3">
        <f>38.51012943</f>
        <v>38.510129429999999</v>
      </c>
      <c r="C3">
        <f>36.86780716</f>
        <v>36.867807159999998</v>
      </c>
      <c r="D3">
        <f>38.88006372</f>
        <v>38.880063720000003</v>
      </c>
      <c r="E3">
        <f>75.74787088</f>
        <v>75.747870879999994</v>
      </c>
      <c r="F3">
        <f>36.2106902</f>
        <v>36.210690200000002</v>
      </c>
      <c r="G3">
        <f>34.66643097</f>
        <v>34.66643097</v>
      </c>
      <c r="H3">
        <f>11.20570618</f>
        <v>11.20570618</v>
      </c>
      <c r="I3">
        <f>45.87213714</f>
        <v>45.87213714</v>
      </c>
      <c r="J3">
        <f>165.22556</f>
        <v>165.22556</v>
      </c>
      <c r="K3">
        <f>8.617485</f>
        <v>8.6174850000000003</v>
      </c>
      <c r="L3">
        <f>8883.7363</f>
        <v>8883.7363000000005</v>
      </c>
    </row>
    <row r="4" spans="1:12" x14ac:dyDescent="0.25">
      <c r="A4">
        <f>0.62</f>
        <v>0.62</v>
      </c>
      <c r="B4">
        <f>39.14144303</f>
        <v>39.141443029999998</v>
      </c>
      <c r="C4">
        <f>37.54254877</f>
        <v>37.542548770000003</v>
      </c>
      <c r="D4">
        <f>38.73045025</f>
        <v>38.730450249999997</v>
      </c>
      <c r="E4">
        <f>76.27299902</f>
        <v>76.27299902</v>
      </c>
      <c r="F4">
        <f>36.80430807</f>
        <v>36.804308069999998</v>
      </c>
      <c r="G4">
        <f>35.30088376</f>
        <v>35.300883759999998</v>
      </c>
      <c r="H4">
        <f>11.24408075</f>
        <v>11.24408075</v>
      </c>
      <c r="I4">
        <f>46.54496451</f>
        <v>46.54496451</v>
      </c>
      <c r="J4">
        <f>163.47625</f>
        <v>163.47624999999999</v>
      </c>
      <c r="K4">
        <f>8.8515585</f>
        <v>8.8515584999999994</v>
      </c>
      <c r="L4">
        <f>8647.9118</f>
        <v>8647.9117999999999</v>
      </c>
    </row>
    <row r="5" spans="1:12" x14ac:dyDescent="0.25">
      <c r="A5">
        <f>0.63</f>
        <v>0.63</v>
      </c>
      <c r="B5">
        <f>39.77275663</f>
        <v>39.772756630000003</v>
      </c>
      <c r="C5">
        <f>38.21732586</f>
        <v>38.217325860000003</v>
      </c>
      <c r="D5">
        <f>38.58072159</f>
        <v>38.580721590000003</v>
      </c>
      <c r="E5">
        <f>76.79804744</f>
        <v>76.798047440000005</v>
      </c>
      <c r="F5">
        <f>37.39792594</f>
        <v>37.39792594</v>
      </c>
      <c r="G5">
        <f>35.93536992</f>
        <v>35.935369919999999</v>
      </c>
      <c r="H5">
        <f>11.28520205</f>
        <v>11.285202050000001</v>
      </c>
      <c r="I5">
        <f>47.22057197</f>
        <v>47.220571970000002</v>
      </c>
      <c r="J5">
        <f>161.57853</f>
        <v>161.57853</v>
      </c>
      <c r="K5">
        <f>9.0989108</f>
        <v>9.0989108000000005</v>
      </c>
      <c r="L5">
        <f>8411.847</f>
        <v>8411.8469999999998</v>
      </c>
    </row>
    <row r="6" spans="1:12" x14ac:dyDescent="0.25">
      <c r="A6">
        <f>0.64</f>
        <v>0.64</v>
      </c>
      <c r="B6">
        <f>40.40407022</f>
        <v>40.404070220000001</v>
      </c>
      <c r="C6">
        <f>38.89214162</f>
        <v>38.892141619999997</v>
      </c>
      <c r="D6">
        <f>38.43086731</f>
        <v>38.430867309999996</v>
      </c>
      <c r="E6">
        <f>77.32300893</f>
        <v>77.32300893</v>
      </c>
      <c r="F6">
        <f>37.99154382</f>
        <v>37.991543819999997</v>
      </c>
      <c r="G6">
        <f>36.56989245</f>
        <v>36.569892449999998</v>
      </c>
      <c r="H6">
        <f>11.32926659</f>
        <v>11.32926659</v>
      </c>
      <c r="I6">
        <f>47.89915903</f>
        <v>47.89915903</v>
      </c>
      <c r="J6">
        <f>159.53176</f>
        <v>159.53175999999999</v>
      </c>
      <c r="K6">
        <f>9.3607243</f>
        <v>9.3607242999999993</v>
      </c>
      <c r="L6">
        <f>8175.5215</f>
        <v>8175.5214999999998</v>
      </c>
    </row>
    <row r="7" spans="1:12" x14ac:dyDescent="0.25">
      <c r="A7">
        <f>0.65</f>
        <v>0.65</v>
      </c>
      <c r="B7">
        <f>41.03538382</f>
        <v>41.03538382</v>
      </c>
      <c r="C7">
        <f>39.56699966</f>
        <v>39.56699966</v>
      </c>
      <c r="D7">
        <f>38.28087572</f>
        <v>38.280875719999997</v>
      </c>
      <c r="E7">
        <f>77.84787538</f>
        <v>77.847875380000005</v>
      </c>
      <c r="F7">
        <f>38.58516169</f>
        <v>38.58516169</v>
      </c>
      <c r="G7">
        <f>37.20445472</f>
        <v>37.204454720000001</v>
      </c>
      <c r="H7">
        <f>11.37649078</f>
        <v>11.376490779999999</v>
      </c>
      <c r="I7">
        <f>48.5809455</f>
        <v>48.580945499999999</v>
      </c>
      <c r="J7">
        <f>157.33527</f>
        <v>157.33527000000001</v>
      </c>
      <c r="K7">
        <f>9.6383285</f>
        <v>9.6383285000000001</v>
      </c>
      <c r="L7">
        <f>7938.9122</f>
        <v>7938.9121999999998</v>
      </c>
    </row>
    <row r="8" spans="1:12" x14ac:dyDescent="0.25">
      <c r="A8">
        <f>0.66</f>
        <v>0.66</v>
      </c>
      <c r="B8">
        <f>41.66669742</f>
        <v>41.666697419999998</v>
      </c>
      <c r="C8">
        <f>40.24190403</f>
        <v>40.241904030000001</v>
      </c>
      <c r="D8">
        <f>38.13073356</f>
        <v>38.130733560000003</v>
      </c>
      <c r="E8">
        <f>78.37263759</f>
        <v>78.372637589999997</v>
      </c>
      <c r="F8">
        <f>39.17877956</f>
        <v>39.178779560000002</v>
      </c>
      <c r="G8">
        <f>37.83906056</f>
        <v>37.83906056</v>
      </c>
      <c r="H8">
        <f>11.42711362</f>
        <v>11.42711362</v>
      </c>
      <c r="I8">
        <f>49.26617419</f>
        <v>49.266174190000001</v>
      </c>
      <c r="J8">
        <f>154.98826</f>
        <v>154.98826</v>
      </c>
      <c r="K8">
        <f>9.9332245</f>
        <v>9.9332244999999997</v>
      </c>
      <c r="L8">
        <f>7701.9936</f>
        <v>7701.9935999999998</v>
      </c>
    </row>
    <row r="9" spans="1:12" x14ac:dyDescent="0.25">
      <c r="A9">
        <f>0.67</f>
        <v>0.67</v>
      </c>
      <c r="B9">
        <f>42.29801102</f>
        <v>42.298011019999997</v>
      </c>
      <c r="C9">
        <f>40.91685935</f>
        <v>40.916859350000003</v>
      </c>
      <c r="D9">
        <f>37.98042579</f>
        <v>37.980425789999998</v>
      </c>
      <c r="E9">
        <f>78.89728515</f>
        <v>78.897285150000002</v>
      </c>
      <c r="F9">
        <f>39.77239743</f>
        <v>39.772397429999998</v>
      </c>
      <c r="G9">
        <f>38.47371431</f>
        <v>38.473714309999998</v>
      </c>
      <c r="H9">
        <f>11.48139987</f>
        <v>11.481399870000001</v>
      </c>
      <c r="I9">
        <f>49.95511418</f>
        <v>49.955114180000002</v>
      </c>
      <c r="J9">
        <f>152.48987</f>
        <v>152.48987</v>
      </c>
      <c r="K9">
        <f>10.247113</f>
        <v>10.247113000000001</v>
      </c>
      <c r="L9">
        <f>7464.7364</f>
        <v>7464.7363999999998</v>
      </c>
    </row>
    <row r="10" spans="1:12" x14ac:dyDescent="0.25">
      <c r="A10">
        <f>0.68</f>
        <v>0.68</v>
      </c>
      <c r="B10">
        <f>42.92932461</f>
        <v>42.929324610000002</v>
      </c>
      <c r="C10">
        <f>41.59187089</f>
        <v>41.591870890000003</v>
      </c>
      <c r="D10">
        <f>37.82993525</f>
        <v>37.829935249999998</v>
      </c>
      <c r="E10">
        <f>79.42180614</f>
        <v>79.421806140000001</v>
      </c>
      <c r="F10">
        <f>40.3660153</f>
        <v>40.366015300000001</v>
      </c>
      <c r="G10">
        <f>39.10842092</f>
        <v>39.10842092</v>
      </c>
      <c r="H10">
        <f>11.53964374</f>
        <v>11.539643740000001</v>
      </c>
      <c r="I10">
        <f>50.64806466</f>
        <v>50.648064660000003</v>
      </c>
      <c r="J10">
        <f>149.8391</f>
        <v>149.8391</v>
      </c>
      <c r="K10">
        <f>10.581932</f>
        <v>10.581932</v>
      </c>
      <c r="L10">
        <f>7227.1076</f>
        <v>7227.1076000000003</v>
      </c>
    </row>
    <row r="11" spans="1:12" x14ac:dyDescent="0.25">
      <c r="A11">
        <f>0.69</f>
        <v>0.69</v>
      </c>
      <c r="B11">
        <f>43.56063821</f>
        <v>43.56063821</v>
      </c>
      <c r="C11">
        <f>42.26694468</f>
        <v>42.266944680000002</v>
      </c>
      <c r="D11">
        <f>37.67924225</f>
        <v>37.679242250000001</v>
      </c>
      <c r="E11">
        <f>79.94618693</f>
        <v>79.946186929999996</v>
      </c>
      <c r="F11">
        <f>40.95963318</f>
        <v>40.959633179999997</v>
      </c>
      <c r="G11">
        <f>39.74318606</f>
        <v>39.743186059999999</v>
      </c>
      <c r="H11">
        <f>11.60217342</f>
        <v>11.60217342</v>
      </c>
      <c r="I11">
        <f>51.34535949</f>
        <v>51.34535949</v>
      </c>
      <c r="J11">
        <f>147.03482</f>
        <v>147.03482</v>
      </c>
      <c r="K11">
        <f>10.939896</f>
        <v>10.939895999999999</v>
      </c>
      <c r="L11">
        <f>6989.0697</f>
        <v>6989.0697</v>
      </c>
    </row>
    <row r="12" spans="1:12" x14ac:dyDescent="0.25">
      <c r="A12">
        <f>0.7</f>
        <v>0.7</v>
      </c>
      <c r="B12">
        <f>44.19195181</f>
        <v>44.191951809999999</v>
      </c>
      <c r="C12">
        <f>42.94208766</f>
        <v>42.942087659999999</v>
      </c>
      <c r="D12">
        <f>37.52832411</f>
        <v>37.52832411</v>
      </c>
      <c r="E12">
        <f>80.47041177</f>
        <v>80.470411769999998</v>
      </c>
      <c r="F12">
        <f>41.55325105</f>
        <v>41.55325105</v>
      </c>
      <c r="G12">
        <f>40.37801627</f>
        <v>40.378016270000003</v>
      </c>
      <c r="H12">
        <f>11.66935635</f>
        <v>11.669356349999999</v>
      </c>
      <c r="I12">
        <f>52.04737262</f>
        <v>52.047372619999997</v>
      </c>
      <c r="J12">
        <f>144.07573</f>
        <v>144.07572999999999</v>
      </c>
      <c r="K12">
        <f>11.323553</f>
        <v>11.323553</v>
      </c>
      <c r="L12">
        <f>6750.5794</f>
        <v>6750.5793999999996</v>
      </c>
    </row>
    <row r="13" spans="1:12" x14ac:dyDescent="0.25">
      <c r="A13">
        <f>0.71</f>
        <v>0.71</v>
      </c>
      <c r="B13">
        <f>44.82326541</f>
        <v>44.823265409999998</v>
      </c>
      <c r="C13">
        <f>43.61730789</f>
        <v>43.617307889999999</v>
      </c>
      <c r="D13">
        <f>37.37715454</f>
        <v>37.377154539999999</v>
      </c>
      <c r="E13">
        <f>80.99446242</f>
        <v>80.994462420000005</v>
      </c>
      <c r="F13">
        <f>42.14686892</f>
        <v>42.146868920000003</v>
      </c>
      <c r="G13">
        <f>41.01291911</f>
        <v>41.012919109999999</v>
      </c>
      <c r="H13">
        <f>11.74160568</f>
        <v>11.741605679999999</v>
      </c>
      <c r="I13">
        <f>52.75452479</f>
        <v>52.754524789999998</v>
      </c>
      <c r="J13">
        <f>140.96033</f>
        <v>140.96033</v>
      </c>
      <c r="K13">
        <f>11.73585</f>
        <v>11.735849999999999</v>
      </c>
      <c r="L13">
        <f>6511.5869</f>
        <v>6511.5869000000002</v>
      </c>
    </row>
    <row r="14" spans="1:12" x14ac:dyDescent="0.25">
      <c r="A14">
        <f>0.72</f>
        <v>0.72</v>
      </c>
      <c r="B14">
        <f>45.454579</f>
        <v>45.454579000000003</v>
      </c>
      <c r="C14">
        <f>44.29261476</f>
        <v>44.292614759999999</v>
      </c>
      <c r="D14">
        <f>37.22570284</f>
        <v>37.225702839999997</v>
      </c>
      <c r="E14">
        <f>81.5183176</f>
        <v>81.518317600000003</v>
      </c>
      <c r="F14">
        <f>42.74048679</f>
        <v>42.740486789999999</v>
      </c>
      <c r="G14">
        <f>41.64790342</f>
        <v>41.647903419999999</v>
      </c>
      <c r="H14">
        <f>11.81938807</f>
        <v>11.81938807</v>
      </c>
      <c r="I14">
        <f>53.46729148</f>
        <v>53.46729148</v>
      </c>
      <c r="J14">
        <f>137.68692</f>
        <v>137.68691999999999</v>
      </c>
      <c r="K14">
        <f>12.180213</f>
        <v>12.180213</v>
      </c>
      <c r="L14">
        <f>6272.0347</f>
        <v>6272.0347000000002</v>
      </c>
    </row>
    <row r="15" spans="1:12" x14ac:dyDescent="0.25">
      <c r="A15">
        <f>0.73</f>
        <v>0.73</v>
      </c>
      <c r="B15">
        <f>46.0858926</f>
        <v>46.085892600000001</v>
      </c>
      <c r="C15">
        <f>44.9680193</f>
        <v>44.968019300000002</v>
      </c>
      <c r="D15">
        <f>37.07393299</f>
        <v>37.073932990000003</v>
      </c>
      <c r="E15">
        <f>82.04195228</f>
        <v>82.041952280000004</v>
      </c>
      <c r="F15">
        <f>43.33410466</f>
        <v>43.334104660000001</v>
      </c>
      <c r="G15">
        <f>42.28297956</f>
        <v>42.282979560000001</v>
      </c>
      <c r="H15">
        <f>11.90323333</f>
        <v>11.903233330000001</v>
      </c>
      <c r="I15">
        <f>54.18621289</f>
        <v>54.18621289</v>
      </c>
      <c r="J15">
        <f>134.25346</f>
        <v>134.25345999999999</v>
      </c>
      <c r="K15">
        <f>12.660657</f>
        <v>12.660657</v>
      </c>
      <c r="L15">
        <f>6031.8552</f>
        <v>6031.8552</v>
      </c>
    </row>
    <row r="16" spans="1:12" x14ac:dyDescent="0.25">
      <c r="A16">
        <f>0.74</f>
        <v>0.74</v>
      </c>
      <c r="B16">
        <f>46.7172062</f>
        <v>46.7172062</v>
      </c>
      <c r="C16">
        <f>45.64353455</f>
        <v>45.643534549999998</v>
      </c>
      <c r="D16">
        <f>36.92180229</f>
        <v>36.921802290000002</v>
      </c>
      <c r="E16">
        <f>82.56533684</f>
        <v>82.565336840000001</v>
      </c>
      <c r="F16">
        <f>43.92772254</f>
        <v>43.927722539999998</v>
      </c>
      <c r="G16">
        <f>42.91815981</f>
        <v>42.918159809999999</v>
      </c>
      <c r="H16">
        <f>11.99374636</f>
        <v>11.993746359999999</v>
      </c>
      <c r="I16">
        <f>54.91190617</f>
        <v>54.911906170000002</v>
      </c>
      <c r="J16">
        <f>130.65761</f>
        <v>130.65761000000001</v>
      </c>
      <c r="K16">
        <f>13.181918</f>
        <v>13.181918</v>
      </c>
      <c r="L16">
        <f>5790.9691</f>
        <v>5790.9691000000003</v>
      </c>
    </row>
    <row r="17" spans="1:12" x14ac:dyDescent="0.25">
      <c r="A17">
        <f>0.75</f>
        <v>0.75</v>
      </c>
      <c r="B17">
        <f>47.34851979</f>
        <v>47.348519789999997</v>
      </c>
      <c r="C17">
        <f>46.31917608</f>
        <v>46.319176079999998</v>
      </c>
      <c r="D17">
        <f>36.76925982</f>
        <v>36.769259820000002</v>
      </c>
      <c r="E17">
        <f>83.0884359</f>
        <v>83.088435899999993</v>
      </c>
      <c r="F17">
        <f>44.52134041</f>
        <v>44.521340410000001</v>
      </c>
      <c r="G17">
        <f>43.5534588</f>
        <v>43.553458800000001</v>
      </c>
      <c r="H17">
        <f>12.09162216</f>
        <v>12.09162216</v>
      </c>
      <c r="I17">
        <f>55.64508096</f>
        <v>55.645080960000001</v>
      </c>
      <c r="J17">
        <f>126.89655</f>
        <v>126.89655</v>
      </c>
      <c r="K17">
        <f>13.749632</f>
        <v>13.749632</v>
      </c>
      <c r="L17">
        <f>5549.2824</f>
        <v>5549.2824000000001</v>
      </c>
    </row>
    <row r="18" spans="1:12" x14ac:dyDescent="0.25">
      <c r="A18">
        <f>0.76</f>
        <v>0.76</v>
      </c>
      <c r="B18">
        <f>47.97983339</f>
        <v>47.979833390000003</v>
      </c>
      <c r="C18">
        <f>46.99496265</f>
        <v>46.994962649999998</v>
      </c>
      <c r="D18">
        <f>36.61624416</f>
        <v>36.616244160000001</v>
      </c>
      <c r="E18">
        <f>83.61120681</f>
        <v>83.611206809999999</v>
      </c>
      <c r="F18">
        <f>45.11495828</f>
        <v>45.114958280000003</v>
      </c>
      <c r="G18">
        <f>44.18889416</f>
        <v>44.188894159999997</v>
      </c>
      <c r="H18">
        <f>12.19766489</f>
        <v>12.19766489</v>
      </c>
      <c r="I18">
        <f>56.38655905</f>
        <v>56.386559050000002</v>
      </c>
      <c r="J18">
        <f>122.96695</f>
        <v>122.96695</v>
      </c>
      <c r="K18">
        <f>14.370563</f>
        <v>14.370563000000001</v>
      </c>
      <c r="L18">
        <f>5306.6824</f>
        <v>5306.6823999999997</v>
      </c>
    </row>
    <row r="19" spans="1:12" x14ac:dyDescent="0.25">
      <c r="A19">
        <f>0.77</f>
        <v>0.77</v>
      </c>
      <c r="B19">
        <f>48.61114699</f>
        <v>48.611146990000002</v>
      </c>
      <c r="C19">
        <f>47.67091708</f>
        <v>47.670917080000002</v>
      </c>
      <c r="D19">
        <f>36.46268051</f>
        <v>36.462680509999998</v>
      </c>
      <c r="E19">
        <f>84.13359759</f>
        <v>84.133597589999994</v>
      </c>
      <c r="F19">
        <f>45.70857615</f>
        <v>45.708576149999999</v>
      </c>
      <c r="G19">
        <f>44.82448736</f>
        <v>44.824487359999999</v>
      </c>
      <c r="H19">
        <f>12.31281258</f>
        <v>12.312812579999999</v>
      </c>
      <c r="I19">
        <f>57.13729994</f>
        <v>57.137299939999998</v>
      </c>
      <c r="J19">
        <f>118.86477</f>
        <v>118.86476999999999</v>
      </c>
      <c r="K19">
        <f>15.052915</f>
        <v>15.052915</v>
      </c>
      <c r="L19">
        <f>5063.0324</f>
        <v>5063.0324000000001</v>
      </c>
    </row>
    <row r="20" spans="1:12" x14ac:dyDescent="0.25">
      <c r="A20">
        <f>0.78</f>
        <v>0.78</v>
      </c>
      <c r="B20">
        <f>49.24246059</f>
        <v>49.24246059</v>
      </c>
      <c r="C20">
        <f>48.347066</f>
        <v>48.347065999999998</v>
      </c>
      <c r="D20">
        <f>36.30848178</f>
        <v>36.308481780000001</v>
      </c>
      <c r="E20">
        <f>84.65554778</f>
        <v>84.655547780000006</v>
      </c>
      <c r="F20">
        <f>46.30219403</f>
        <v>46.302194030000003</v>
      </c>
      <c r="G20">
        <f>45.46026344</f>
        <v>45.460263439999999</v>
      </c>
      <c r="H20">
        <f>12.43816521</f>
        <v>12.438165209999999</v>
      </c>
      <c r="I20">
        <f>57.89842865</f>
        <v>57.89842865</v>
      </c>
      <c r="J20">
        <f>114.58913</f>
        <v>114.58913</v>
      </c>
      <c r="K20">
        <f>15.806731</f>
        <v>15.806730999999999</v>
      </c>
      <c r="L20">
        <f>4818.336</f>
        <v>4818.3360000000002</v>
      </c>
    </row>
    <row r="21" spans="1:12" x14ac:dyDescent="0.25">
      <c r="A21">
        <f>0.79</f>
        <v>0.79</v>
      </c>
      <c r="B21">
        <f>49.87377418</f>
        <v>49.873774179999998</v>
      </c>
      <c r="C21">
        <f>49.02344746</f>
        <v>49.02344746</v>
      </c>
      <c r="D21">
        <f>36.15352265</f>
        <v>36.153522649999999</v>
      </c>
      <c r="E21">
        <f>85.1769701</f>
        <v>85.176970100000005</v>
      </c>
      <c r="F21">
        <f>46.8958119</f>
        <v>46.895811899999998</v>
      </c>
      <c r="G21">
        <f>46.09625817</f>
        <v>46.096258169999999</v>
      </c>
      <c r="H21">
        <f>12.575045</f>
        <v>12.575044999999999</v>
      </c>
      <c r="I21">
        <f>58.67130317</f>
        <v>58.671303170000002</v>
      </c>
      <c r="J21">
        <f>110.12556</f>
        <v>110.12555999999999</v>
      </c>
      <c r="K21">
        <f>16.644577</f>
        <v>16.644577000000002</v>
      </c>
      <c r="L21">
        <f>4572.0324</f>
        <v>4572.0324000000001</v>
      </c>
    </row>
    <row r="22" spans="1:12" x14ac:dyDescent="0.25">
      <c r="A22">
        <f>0.8</f>
        <v>0.8</v>
      </c>
      <c r="B22">
        <f>50.50508778</f>
        <v>50.505087779999997</v>
      </c>
      <c r="C22">
        <f>49.70010457</f>
        <v>49.700104570000001</v>
      </c>
      <c r="D22">
        <f>35.99766167</f>
        <v>35.997661669999999</v>
      </c>
      <c r="E22">
        <f>85.69776624</f>
        <v>85.697766240000007</v>
      </c>
      <c r="F22">
        <f>47.48942977</f>
        <v>47.489429770000001</v>
      </c>
      <c r="G22">
        <f>46.73251209</f>
        <v>46.73251209</v>
      </c>
      <c r="H22">
        <f>12.72503175</f>
        <v>12.725031749999999</v>
      </c>
      <c r="I22">
        <f>59.45754384</f>
        <v>59.45754384</v>
      </c>
      <c r="J22">
        <f>105.47064</f>
        <v>105.47064</v>
      </c>
      <c r="K22">
        <f>17.582234</f>
        <v>17.582234</v>
      </c>
      <c r="L22">
        <f>4324.0415</f>
        <v>4324.0415000000003</v>
      </c>
    </row>
    <row r="23" spans="1:12" x14ac:dyDescent="0.25">
      <c r="A23">
        <f>0.81</f>
        <v>0.81</v>
      </c>
      <c r="B23">
        <f>51.13640138</f>
        <v>51.136401380000002</v>
      </c>
      <c r="C23">
        <f>50.37709492</f>
        <v>50.377094919999998</v>
      </c>
      <c r="D23">
        <f>35.84070942</f>
        <v>35.840709420000003</v>
      </c>
      <c r="E23">
        <f>86.21780434</f>
        <v>86.217804340000001</v>
      </c>
      <c r="F23">
        <f>48.08304764</f>
        <v>48.083047639999997</v>
      </c>
      <c r="G23">
        <f>47.36907936</f>
        <v>47.369079360000001</v>
      </c>
      <c r="H23">
        <f>12.89006291</f>
        <v>12.890062909999999</v>
      </c>
      <c r="I23">
        <f>60.25914227</f>
        <v>60.259142269999998</v>
      </c>
      <c r="J23">
        <f>100.61449</f>
        <v>100.61449</v>
      </c>
      <c r="K23">
        <f>18.64002</f>
        <v>18.64002</v>
      </c>
      <c r="L23">
        <f>4074.0257</f>
        <v>4074.0257000000001</v>
      </c>
    </row>
    <row r="24" spans="1:12" x14ac:dyDescent="0.25">
      <c r="A24">
        <f>0.82</f>
        <v>0.82</v>
      </c>
      <c r="B24">
        <f>51.76771498</f>
        <v>51.767714980000001</v>
      </c>
      <c r="C24">
        <f>51.05449464</f>
        <v>51.054494640000001</v>
      </c>
      <c r="D24">
        <f>35.68241675</f>
        <v>35.682416750000002</v>
      </c>
      <c r="E24">
        <f>86.7369114</f>
        <v>86.736911399999997</v>
      </c>
      <c r="F24">
        <f>48.67666551</f>
        <v>48.676665509999999</v>
      </c>
      <c r="G24">
        <f>48.00603156</f>
        <v>48.006031559999997</v>
      </c>
      <c r="H24">
        <f>13.07255348</f>
        <v>13.07255348</v>
      </c>
      <c r="I24">
        <f>61.07858504</f>
        <v>61.07858504</v>
      </c>
      <c r="J24">
        <f>95.544146</f>
        <v>95.544145999999998</v>
      </c>
      <c r="K24">
        <f>19.844616</f>
        <v>19.844615999999998</v>
      </c>
      <c r="L24">
        <f>3821.5408</f>
        <v>3821.5408000000002</v>
      </c>
    </row>
    <row r="25" spans="1:12" x14ac:dyDescent="0.25">
      <c r="A25">
        <f>0.83</f>
        <v>0.83</v>
      </c>
      <c r="B25">
        <f>52.39902857</f>
        <v>52.399028569999999</v>
      </c>
      <c r="C25">
        <f>51.73240702</f>
        <v>51.732407019999997</v>
      </c>
      <c r="D25">
        <f>35.52244163</f>
        <v>35.522441630000003</v>
      </c>
      <c r="E25">
        <f>87.25484865</f>
        <v>87.25484865</v>
      </c>
      <c r="F25">
        <f>49.27028339</f>
        <v>49.270283390000003</v>
      </c>
      <c r="G25">
        <f>48.6434658</f>
        <v>48.643465800000001</v>
      </c>
      <c r="H25">
        <f>13.27558062</f>
        <v>13.275580619999999</v>
      </c>
      <c r="I25">
        <f>61.91904641</f>
        <v>61.91904641</v>
      </c>
      <c r="J25">
        <f>90.242152</f>
        <v>90.242152000000004</v>
      </c>
      <c r="K25">
        <f>21.231978</f>
        <v>21.231978000000002</v>
      </c>
      <c r="L25">
        <f>3565.9859</f>
        <v>3565.9859000000001</v>
      </c>
    </row>
    <row r="26" spans="1:12" x14ac:dyDescent="0.25">
      <c r="A26">
        <f>0.84</f>
        <v>0.84</v>
      </c>
      <c r="B26">
        <f>53.03034217</f>
        <v>53.030342169999997</v>
      </c>
      <c r="C26">
        <f>52.410977</f>
        <v>52.410977000000003</v>
      </c>
      <c r="D26">
        <f>35.36030678</f>
        <v>35.360306780000002</v>
      </c>
      <c r="E26">
        <f>87.77128378</f>
        <v>87.771283780000005</v>
      </c>
      <c r="F26">
        <f>49.86390126</f>
        <v>49.863901259999999</v>
      </c>
      <c r="G26">
        <f>49.28151837</f>
        <v>49.281518370000001</v>
      </c>
      <c r="H26">
        <f>13.50318451</f>
        <v>13.503184510000001</v>
      </c>
      <c r="I26">
        <f>62.78470288</f>
        <v>62.784702879999998</v>
      </c>
      <c r="J26">
        <f>84.684155</f>
        <v>84.684155000000004</v>
      </c>
      <c r="K26">
        <f>22.852147</f>
        <v>22.852146999999999</v>
      </c>
      <c r="L26">
        <f>3306.5199</f>
        <v>3306.5198999999998</v>
      </c>
    </row>
    <row r="27" spans="1:12" x14ac:dyDescent="0.25">
      <c r="A27">
        <f>0.85</f>
        <v>0.85</v>
      </c>
      <c r="B27">
        <f>53.66165577</f>
        <v>53.661655770000003</v>
      </c>
      <c r="C27">
        <f>53.09041681</f>
        <v>53.090416810000001</v>
      </c>
      <c r="D27">
        <f>35.19531146</f>
        <v>35.195311459999999</v>
      </c>
      <c r="E27">
        <f>88.28572827</f>
        <v>88.285728270000007</v>
      </c>
      <c r="F27">
        <f>50.45751913</f>
        <v>50.457519130000001</v>
      </c>
      <c r="G27">
        <f>49.92038885</f>
        <v>49.920388850000002</v>
      </c>
      <c r="H27">
        <f>13.7608739</f>
        <v>13.7608739</v>
      </c>
      <c r="I27">
        <f>63.68126274</f>
        <v>63.681262740000001</v>
      </c>
      <c r="J27">
        <f>78.83469</f>
        <v>78.834689999999995</v>
      </c>
      <c r="K27">
        <f>24.777682</f>
        <v>24.777681999999999</v>
      </c>
      <c r="L27">
        <f>3041.9125</f>
        <v>3041.9124999999999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G20" sqref="G20"/>
    </sheetView>
  </sheetViews>
  <sheetFormatPr defaultRowHeight="15" x14ac:dyDescent="0.25"/>
  <sheetData>
    <row r="1" spans="1:12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</row>
    <row r="2" spans="1:12" x14ac:dyDescent="0.25">
      <c r="A2">
        <f>0.6</f>
        <v>0.6</v>
      </c>
      <c r="B2">
        <f>38.4049105</f>
        <v>38.4049105</v>
      </c>
      <c r="C2">
        <f>36.67880355</f>
        <v>36.678803549999998</v>
      </c>
      <c r="D2">
        <f>37.99449907</f>
        <v>37.994499070000003</v>
      </c>
      <c r="E2">
        <f>74.67330262</f>
        <v>74.673302620000001</v>
      </c>
      <c r="F2">
        <f>36.11175389</f>
        <v>36.111753890000003</v>
      </c>
      <c r="G2">
        <f>34.48871275</f>
        <v>34.488712749999998</v>
      </c>
      <c r="H2">
        <f>10.69612546</f>
        <v>10.696125459999999</v>
      </c>
      <c r="I2">
        <f>45.18483822</f>
        <v>45.184838220000003</v>
      </c>
      <c r="J2">
        <f>166.33946</f>
        <v>166.33946</v>
      </c>
      <c r="K2">
        <f>8.3130531</f>
        <v>8.3130530999999994</v>
      </c>
      <c r="L2">
        <f>9092.6882</f>
        <v>9092.6882000000005</v>
      </c>
    </row>
    <row r="3" spans="1:12" x14ac:dyDescent="0.25">
      <c r="A3">
        <f>0.61</f>
        <v>0.61</v>
      </c>
      <c r="B3">
        <f>39.04499234</f>
        <v>39.04499234</v>
      </c>
      <c r="C3">
        <f>37.36288719</f>
        <v>37.362887190000002</v>
      </c>
      <c r="D3">
        <f>37.84289658</f>
        <v>37.842896580000001</v>
      </c>
      <c r="E3">
        <f>75.20578378</f>
        <v>75.205783780000004</v>
      </c>
      <c r="F3">
        <f>36.71361645</f>
        <v>36.713616450000004</v>
      </c>
      <c r="G3">
        <f>35.13194978</f>
        <v>35.131949779999999</v>
      </c>
      <c r="H3">
        <f>10.72678611</f>
        <v>10.726786110000001</v>
      </c>
      <c r="I3">
        <f>45.85873589</f>
        <v>45.858735889999998</v>
      </c>
      <c r="J3">
        <f>164.72866</f>
        <v>164.72865999999999</v>
      </c>
      <c r="K3">
        <f>8.5305227</f>
        <v>8.5305227000000006</v>
      </c>
      <c r="L3">
        <f>8857.0198</f>
        <v>8857.0198</v>
      </c>
    </row>
    <row r="4" spans="1:12" x14ac:dyDescent="0.25">
      <c r="A4">
        <f>0.62</f>
        <v>0.62</v>
      </c>
      <c r="B4">
        <f>39.68507418</f>
        <v>39.685074180000001</v>
      </c>
      <c r="C4">
        <f>38.04700426</f>
        <v>38.047004260000001</v>
      </c>
      <c r="D4">
        <f>37.6911852</f>
        <v>37.6911852</v>
      </c>
      <c r="E4">
        <f>75.73818946</f>
        <v>75.738189460000001</v>
      </c>
      <c r="F4">
        <f>37.31547902</f>
        <v>37.315479019999998</v>
      </c>
      <c r="G4">
        <f>35.77521822</f>
        <v>35.775218219999999</v>
      </c>
      <c r="H4">
        <f>10.75979957</f>
        <v>10.75979957</v>
      </c>
      <c r="I4">
        <f>46.5350178</f>
        <v>46.535017799999999</v>
      </c>
      <c r="J4">
        <f>162.96989</f>
        <v>162.96988999999999</v>
      </c>
      <c r="K4">
        <f>8.7598546</f>
        <v>8.7598546000000006</v>
      </c>
      <c r="L4">
        <f>8621.1255</f>
        <v>8621.1255000000001</v>
      </c>
    </row>
    <row r="5" spans="1:12" x14ac:dyDescent="0.25">
      <c r="A5">
        <f>0.63</f>
        <v>0.63</v>
      </c>
      <c r="B5">
        <f>40.32515602</f>
        <v>40.325156020000001</v>
      </c>
      <c r="C5">
        <f>38.73115767</f>
        <v>38.731157670000002</v>
      </c>
      <c r="D5">
        <f>37.53935535</f>
        <v>37.539355350000001</v>
      </c>
      <c r="E5">
        <f>76.27051302</f>
        <v>76.270513019999996</v>
      </c>
      <c r="F5">
        <f>37.91734158</f>
        <v>37.917341579999999</v>
      </c>
      <c r="G5">
        <f>36.41852084</f>
        <v>36.418520839999999</v>
      </c>
      <c r="H5">
        <f>10.79532971</f>
        <v>10.795329710000001</v>
      </c>
      <c r="I5">
        <f>47.21385055</f>
        <v>47.213850549999997</v>
      </c>
      <c r="J5">
        <f>161.06258</f>
        <v>161.06258</v>
      </c>
      <c r="K5">
        <f>9.002063</f>
        <v>9.0020629999999997</v>
      </c>
      <c r="L5">
        <f>8384.9866</f>
        <v>8384.9866000000002</v>
      </c>
    </row>
    <row r="6" spans="1:12" x14ac:dyDescent="0.25">
      <c r="A6">
        <f>0.64</f>
        <v>0.64</v>
      </c>
      <c r="B6">
        <f>40.96523787</f>
        <v>40.965237870000003</v>
      </c>
      <c r="C6">
        <f>39.4153507</f>
        <v>39.415350699999998</v>
      </c>
      <c r="D6">
        <f>37.3873963</f>
        <v>37.387396299999999</v>
      </c>
      <c r="E6">
        <f>76.802747</f>
        <v>76.802746999999997</v>
      </c>
      <c r="F6">
        <f>38.51920415</f>
        <v>38.51920415</v>
      </c>
      <c r="G6">
        <f>37.06186072</f>
        <v>37.061860719999999</v>
      </c>
      <c r="H6">
        <f>10.83355649</f>
        <v>10.833556489999999</v>
      </c>
      <c r="I6">
        <f>47.89541721</f>
        <v>47.895417209999998</v>
      </c>
      <c r="J6">
        <f>159.00609</f>
        <v>159.00609</v>
      </c>
      <c r="K6">
        <f>9.2582831</f>
        <v>9.2582830999999999</v>
      </c>
      <c r="L6">
        <f>8148.5825</f>
        <v>8148.5825000000004</v>
      </c>
    </row>
    <row r="7" spans="1:12" x14ac:dyDescent="0.25">
      <c r="A7">
        <f>0.65</f>
        <v>0.65</v>
      </c>
      <c r="B7">
        <f>41.60531971</f>
        <v>41.605319710000003</v>
      </c>
      <c r="C7">
        <f>40.09958706</f>
        <v>40.099587059999998</v>
      </c>
      <c r="D7">
        <f>37.23529593</f>
        <v>37.235295929999999</v>
      </c>
      <c r="E7">
        <f>77.33488299</f>
        <v>77.334882989999997</v>
      </c>
      <c r="F7">
        <f>39.12106671</f>
        <v>39.121066710000001</v>
      </c>
      <c r="G7">
        <f>37.70524134</f>
        <v>37.705241340000001</v>
      </c>
      <c r="H7">
        <f>10.87467808</f>
        <v>10.874678080000001</v>
      </c>
      <c r="I7">
        <f>48.57991942</f>
        <v>48.579919420000003</v>
      </c>
      <c r="J7">
        <f>156.79973</f>
        <v>156.79973000000001</v>
      </c>
      <c r="K7">
        <f>9.52979</f>
        <v>9.5297900000000002</v>
      </c>
      <c r="L7">
        <f>7911.8897</f>
        <v>7911.8896999999997</v>
      </c>
    </row>
    <row r="8" spans="1:12" x14ac:dyDescent="0.25">
      <c r="A8">
        <f>0.66</f>
        <v>0.66</v>
      </c>
      <c r="B8">
        <f>42.24540155</f>
        <v>42.245401549999997</v>
      </c>
      <c r="C8">
        <f>40.78387093</f>
        <v>40.783870929999999</v>
      </c>
      <c r="D8">
        <f>37.08304054</f>
        <v>37.083040539999999</v>
      </c>
      <c r="E8">
        <f>77.86691148</f>
        <v>77.866911479999999</v>
      </c>
      <c r="F8">
        <f>39.72292928</f>
        <v>39.722929280000002</v>
      </c>
      <c r="G8">
        <f>38.34866663</f>
        <v>38.348666629999997</v>
      </c>
      <c r="H8">
        <f>10.91891333</f>
        <v>10.918913330000001</v>
      </c>
      <c r="I8">
        <f>49.26757996</f>
        <v>49.267579959999999</v>
      </c>
      <c r="J8">
        <f>154.44269</f>
        <v>154.44269</v>
      </c>
      <c r="K8">
        <f>9.8180214</f>
        <v>9.8180213999999992</v>
      </c>
      <c r="L8">
        <f>7674.882</f>
        <v>7674.8819999999996</v>
      </c>
    </row>
    <row r="9" spans="1:12" x14ac:dyDescent="0.25">
      <c r="A9">
        <f>0.67</f>
        <v>0.67</v>
      </c>
      <c r="B9">
        <f>42.88548339</f>
        <v>42.885483389999997</v>
      </c>
      <c r="C9">
        <f>41.46820707</f>
        <v>41.468207069999998</v>
      </c>
      <c r="D9">
        <f>36.93061457</f>
        <v>36.930614570000003</v>
      </c>
      <c r="E9">
        <f>78.39882165</f>
        <v>78.398821650000002</v>
      </c>
      <c r="F9">
        <f>40.32479184</f>
        <v>40.324791840000003</v>
      </c>
      <c r="G9">
        <f>38.99214107</f>
        <v>38.992141070000002</v>
      </c>
      <c r="H9">
        <f>10.96650468</f>
        <v>10.96650468</v>
      </c>
      <c r="I9">
        <f>49.95864574</f>
        <v>49.958645740000001</v>
      </c>
      <c r="J9">
        <f>151.93409</f>
        <v>151.93409</v>
      </c>
      <c r="K9">
        <f>10.124605</f>
        <v>10.124605000000001</v>
      </c>
      <c r="L9">
        <f>7437.5297</f>
        <v>7437.5297</v>
      </c>
    </row>
    <row r="10" spans="1:12" x14ac:dyDescent="0.25">
      <c r="A10">
        <f>0.68</f>
        <v>0.68</v>
      </c>
      <c r="B10">
        <f>43.52556523</f>
        <v>43.525565229999998</v>
      </c>
      <c r="C10">
        <f>42.1526009</f>
        <v>42.152600900000003</v>
      </c>
      <c r="D10">
        <f>36.77800025</f>
        <v>36.778000249999998</v>
      </c>
      <c r="E10">
        <f>78.93060115</f>
        <v>78.930601150000001</v>
      </c>
      <c r="F10">
        <f>40.92665441</f>
        <v>40.926654409999998</v>
      </c>
      <c r="G10">
        <f>39.63566975</f>
        <v>39.635669749999998</v>
      </c>
      <c r="H10">
        <f>11.01772153</f>
        <v>11.017721529999999</v>
      </c>
      <c r="I10">
        <f>50.65339128</f>
        <v>50.653391280000001</v>
      </c>
      <c r="J10">
        <f>149.27292</f>
        <v>149.27292</v>
      </c>
      <c r="K10">
        <f>10.451393</f>
        <v>10.451392999999999</v>
      </c>
      <c r="L10">
        <f>7199.7992</f>
        <v>7199.7992000000004</v>
      </c>
    </row>
    <row r="11" spans="1:12" x14ac:dyDescent="0.25">
      <c r="A11">
        <f>0.69</f>
        <v>0.69</v>
      </c>
      <c r="B11">
        <f>44.16564707</f>
        <v>44.165647069999999</v>
      </c>
      <c r="C11">
        <f>42.83705864</f>
        <v>42.837058640000002</v>
      </c>
      <c r="D11">
        <f>36.62517717</f>
        <v>36.625177170000001</v>
      </c>
      <c r="E11">
        <f>79.46223581</f>
        <v>79.462235809999996</v>
      </c>
      <c r="F11">
        <f>41.52851697</f>
        <v>41.528516969999998</v>
      </c>
      <c r="G11">
        <f>40.27925853</f>
        <v>40.27925853</v>
      </c>
      <c r="H11">
        <f>11.07286438</f>
        <v>11.07286438</v>
      </c>
      <c r="I11">
        <f>51.35212291</f>
        <v>51.352122909999999</v>
      </c>
      <c r="J11">
        <f>146.45801</f>
        <v>146.45801</v>
      </c>
      <c r="K11">
        <f>10.800498</f>
        <v>10.800497999999999</v>
      </c>
      <c r="L11">
        <f>6961.652</f>
        <v>6961.652</v>
      </c>
    </row>
    <row r="12" spans="1:12" x14ac:dyDescent="0.25">
      <c r="A12">
        <f>0.7</f>
        <v>0.7</v>
      </c>
      <c r="B12">
        <f>44.80572892</f>
        <v>44.80572892</v>
      </c>
      <c r="C12">
        <f>43.52158746</f>
        <v>43.521587459999999</v>
      </c>
      <c r="D12">
        <f>36.47212182</f>
        <v>36.472121819999998</v>
      </c>
      <c r="E12">
        <f>79.99370929</f>
        <v>79.993709289999998</v>
      </c>
      <c r="F12">
        <f>42.13037953</f>
        <v>42.130379529999999</v>
      </c>
      <c r="G12">
        <f>40.92291415</f>
        <v>40.922914149999997</v>
      </c>
      <c r="H12">
        <f>11.13226969</f>
        <v>11.132269689999999</v>
      </c>
      <c r="I12">
        <f>52.05518384</f>
        <v>52.055183839999998</v>
      </c>
      <c r="J12">
        <f>143.48805</f>
        <v>143.48804999999999</v>
      </c>
      <c r="K12">
        <f>11.174351</f>
        <v>11.174351</v>
      </c>
      <c r="L12">
        <f>6723.0442</f>
        <v>6723.0442000000003</v>
      </c>
    </row>
    <row r="13" spans="1:12" x14ac:dyDescent="0.25">
      <c r="A13">
        <f>0.71</f>
        <v>0.71</v>
      </c>
      <c r="B13">
        <f>45.44581076</f>
        <v>45.445810760000001</v>
      </c>
      <c r="C13">
        <f>44.20619569</f>
        <v>44.206195690000001</v>
      </c>
      <c r="D13">
        <f>36.31880691</f>
        <v>36.318806909999999</v>
      </c>
      <c r="E13">
        <f>80.5250026</f>
        <v>80.525002599999993</v>
      </c>
      <c r="F13">
        <f>42.7322421</f>
        <v>42.732242100000001</v>
      </c>
      <c r="G13">
        <f>41.56664443</f>
        <v>41.566644429999997</v>
      </c>
      <c r="H13">
        <f>11.19631575</f>
        <v>11.19631575</v>
      </c>
      <c r="I13">
        <f>52.76296017</f>
        <v>52.762960169999999</v>
      </c>
      <c r="J13">
        <f>140.36152</f>
        <v>140.36152000000001</v>
      </c>
      <c r="K13">
        <f>11.575754</f>
        <v>11.575754</v>
      </c>
      <c r="L13">
        <f>6483.925</f>
        <v>6483.9250000000002</v>
      </c>
    </row>
    <row r="14" spans="1:12" x14ac:dyDescent="0.25">
      <c r="A14">
        <f>0.72</f>
        <v>0.72</v>
      </c>
      <c r="B14">
        <f>46.0858926</f>
        <v>46.085892600000001</v>
      </c>
      <c r="C14">
        <f>44.89089302</f>
        <v>44.89089302</v>
      </c>
      <c r="D14">
        <f>36.16520056</f>
        <v>36.165200560000002</v>
      </c>
      <c r="E14">
        <f>81.05609358</f>
        <v>81.056093579999995</v>
      </c>
      <c r="F14">
        <f>43.33410466</f>
        <v>43.334104660000001</v>
      </c>
      <c r="G14">
        <f>42.21045849</f>
        <v>42.210458490000001</v>
      </c>
      <c r="H14">
        <f>11.26542988</f>
        <v>11.265429879999999</v>
      </c>
      <c r="I14">
        <f>53.47588837</f>
        <v>53.47588837</v>
      </c>
      <c r="J14">
        <f>137.07665</f>
        <v>137.07665</v>
      </c>
      <c r="K14">
        <f>12.007966</f>
        <v>12.007966</v>
      </c>
      <c r="L14">
        <f>6244.2355</f>
        <v>6244.2354999999998</v>
      </c>
    </row>
    <row r="15" spans="1:12" x14ac:dyDescent="0.25">
      <c r="A15">
        <f>0.73</f>
        <v>0.73</v>
      </c>
      <c r="B15">
        <f>46.72597444</f>
        <v>46.725974440000002</v>
      </c>
      <c r="C15">
        <f>45.57569087</f>
        <v>45.575690870000003</v>
      </c>
      <c r="D15">
        <f>36.0112653</f>
        <v>36.011265299999998</v>
      </c>
      <c r="E15">
        <f>81.58695617</f>
        <v>81.586956169999993</v>
      </c>
      <c r="F15">
        <f>43.93596723</f>
        <v>43.935967230000003</v>
      </c>
      <c r="G15">
        <f>42.85436707</f>
        <v>42.854367070000002</v>
      </c>
      <c r="H15">
        <f>11.34009727</f>
        <v>11.340097269999999</v>
      </c>
      <c r="I15">
        <f>54.19446434</f>
        <v>54.194464340000003</v>
      </c>
      <c r="J15">
        <f>133.63141</f>
        <v>133.63140999999999</v>
      </c>
      <c r="K15">
        <f>12.474794</f>
        <v>12.474793999999999</v>
      </c>
      <c r="L15">
        <f>6003.9069</f>
        <v>6003.9069</v>
      </c>
    </row>
    <row r="16" spans="1:12" x14ac:dyDescent="0.25">
      <c r="A16">
        <f>0.74</f>
        <v>0.74</v>
      </c>
      <c r="B16">
        <f>47.36605628</f>
        <v>47.366056280000002</v>
      </c>
      <c r="C16">
        <f>46.26060275</f>
        <v>46.260602749999997</v>
      </c>
      <c r="D16">
        <f>35.85695672</f>
        <v>35.856956719999999</v>
      </c>
      <c r="E16">
        <f>82.11755946</f>
        <v>82.117559459999995</v>
      </c>
      <c r="F16">
        <f>44.53782979</f>
        <v>44.537829790000004</v>
      </c>
      <c r="G16">
        <f>43.49838287</f>
        <v>43.49838287</v>
      </c>
      <c r="H16">
        <f>11.42087191</f>
        <v>11.420871910000001</v>
      </c>
      <c r="I16">
        <f>54.91925478</f>
        <v>54.919254780000003</v>
      </c>
      <c r="J16">
        <f>130.02336</f>
        <v>130.02336</v>
      </c>
      <c r="K16">
        <f>12.980728</f>
        <v>12.980727999999999</v>
      </c>
      <c r="L16">
        <f>5762.8584</f>
        <v>5762.8584000000001</v>
      </c>
    </row>
    <row r="17" spans="1:12" x14ac:dyDescent="0.25">
      <c r="A17">
        <f>0.75</f>
        <v>0.75</v>
      </c>
      <c r="B17">
        <f>48.00613812</f>
        <v>48.006138120000003</v>
      </c>
      <c r="C17">
        <f>46.9456448</f>
        <v>46.945644799999997</v>
      </c>
      <c r="D17">
        <f>35.70222171</f>
        <v>35.702221710000003</v>
      </c>
      <c r="E17">
        <f>82.64786651</f>
        <v>82.64786651</v>
      </c>
      <c r="F17">
        <f>45.13969236</f>
        <v>45.139692359999998</v>
      </c>
      <c r="G17">
        <f>44.14252107</f>
        <v>44.142521070000001</v>
      </c>
      <c r="H17">
        <f>11.50839037</f>
        <v>11.508390370000001</v>
      </c>
      <c r="I17">
        <f>55.65091144</f>
        <v>55.650911440000002</v>
      </c>
      <c r="J17">
        <f>126.24967</f>
        <v>126.24966999999999</v>
      </c>
      <c r="K17">
        <f>13.531094</f>
        <v>13.531094</v>
      </c>
      <c r="L17">
        <f>5520.9939</f>
        <v>5520.9939000000004</v>
      </c>
    </row>
    <row r="18" spans="1:12" x14ac:dyDescent="0.25">
      <c r="A18">
        <f>0.76</f>
        <v>0.76</v>
      </c>
      <c r="B18">
        <f>48.64621997</f>
        <v>48.646219969999997</v>
      </c>
      <c r="C18">
        <f>47.63083648</f>
        <v>47.630836479999999</v>
      </c>
      <c r="D18">
        <f>35.54699624</f>
        <v>35.546996239999999</v>
      </c>
      <c r="E18">
        <f>83.17783271</f>
        <v>83.177832710000004</v>
      </c>
      <c r="F18">
        <f>45.74155492</f>
        <v>45.741554919999999</v>
      </c>
      <c r="G18">
        <f>44.78679997</f>
        <v>44.786799969999997</v>
      </c>
      <c r="H18">
        <f>11.60338939</f>
        <v>11.60338939</v>
      </c>
      <c r="I18">
        <f>56.39018936</f>
        <v>56.390189360000001</v>
      </c>
      <c r="J18">
        <f>122.30692</f>
        <v>122.30692000000001</v>
      </c>
      <c r="K18">
        <f>14.13228</f>
        <v>14.13228</v>
      </c>
      <c r="L18">
        <f>5278.1982</f>
        <v>5278.1981999999998</v>
      </c>
    </row>
    <row r="19" spans="1:12" x14ac:dyDescent="0.25">
      <c r="A19">
        <f>0.77</f>
        <v>0.77</v>
      </c>
      <c r="B19">
        <f>49.28630181</f>
        <v>49.286301809999998</v>
      </c>
      <c r="C19">
        <f>48.31620152</f>
        <v>48.31620152</v>
      </c>
      <c r="D19">
        <f>35.39120214</f>
        <v>35.391202139999997</v>
      </c>
      <c r="E19">
        <f>83.70740365</f>
        <v>83.707403650000003</v>
      </c>
      <c r="F19">
        <f>46.34341749</f>
        <v>46.34341749</v>
      </c>
      <c r="G19">
        <f>45.43124187</f>
        <v>45.431241870000001</v>
      </c>
      <c r="H19">
        <f>11.70672857</f>
        <v>11.706728569999999</v>
      </c>
      <c r="I19">
        <f>57.13797044</f>
        <v>57.137970439999997</v>
      </c>
      <c r="J19">
        <f>118.19097</f>
        <v>118.19096999999999</v>
      </c>
      <c r="K19">
        <f>14.792013</f>
        <v>14.792013000000001</v>
      </c>
      <c r="L19">
        <f>5034.33209999999</f>
        <v>5034.3320999999996</v>
      </c>
    </row>
    <row r="20" spans="1:12" x14ac:dyDescent="0.25">
      <c r="A20">
        <f>0.78</f>
        <v>0.78</v>
      </c>
      <c r="B20">
        <f>49.92638365</f>
        <v>49.926383649999998</v>
      </c>
      <c r="C20">
        <f>49.00176766</f>
        <v>49.001767659999999</v>
      </c>
      <c r="D20">
        <f>35.23474815</f>
        <v>35.234748150000001</v>
      </c>
      <c r="E20">
        <f>84.23651582</f>
        <v>84.236515819999994</v>
      </c>
      <c r="F20">
        <f>46.94528005</f>
        <v>46.945280050000001</v>
      </c>
      <c r="G20">
        <f>46.07587287</f>
        <v>46.075872869999998</v>
      </c>
      <c r="H20">
        <f>11.81941635</f>
        <v>11.819416349999999</v>
      </c>
      <c r="I20">
        <f>57.89528922</f>
        <v>57.895289220000002</v>
      </c>
      <c r="J20">
        <f>113.90085</f>
        <v>113.90085000000001</v>
      </c>
      <c r="K20">
        <f>15.519734</f>
        <v>15.519734</v>
      </c>
      <c r="L20">
        <f>4789.39459999999</f>
        <v>4789.3945999999996</v>
      </c>
    </row>
    <row r="21" spans="1:12" x14ac:dyDescent="0.25">
      <c r="A21">
        <f>0.79</f>
        <v>0.79</v>
      </c>
      <c r="B21">
        <f>50.56646549</f>
        <v>50.566465489999999</v>
      </c>
      <c r="C21">
        <f>49.68757451</f>
        <v>49.687574509999997</v>
      </c>
      <c r="D21">
        <f>35.07750322</f>
        <v>35.077503219999997</v>
      </c>
      <c r="E21">
        <f>84.76507773</f>
        <v>84.765077730000002</v>
      </c>
      <c r="F21">
        <f>47.54714262</f>
        <v>47.547142620000002</v>
      </c>
      <c r="G21">
        <f>46.7207302</f>
        <v>46.720730199999998</v>
      </c>
      <c r="H21">
        <f>11.94266539</f>
        <v>11.94266539</v>
      </c>
      <c r="I21">
        <f>58.66339559</f>
        <v>58.66339559</v>
      </c>
      <c r="J21">
        <f>109.42198</f>
        <v>109.42198</v>
      </c>
      <c r="K21">
        <f>16.327234</f>
        <v>16.327234000000001</v>
      </c>
      <c r="L21">
        <f>4542.8223</f>
        <v>4542.8222999999998</v>
      </c>
    </row>
    <row r="22" spans="1:12" x14ac:dyDescent="0.25">
      <c r="A22">
        <f>0.8</f>
        <v>0.8</v>
      </c>
      <c r="B22">
        <f>51.20654733</f>
        <v>51.206547329999999</v>
      </c>
      <c r="C22">
        <f>50.37366713</f>
        <v>50.373667130000001</v>
      </c>
      <c r="D22">
        <f>34.91931867</f>
        <v>34.919318670000003</v>
      </c>
      <c r="E22">
        <f>85.29298581</f>
        <v>85.292985810000005</v>
      </c>
      <c r="F22">
        <f>48.14900518</f>
        <v>48.149005180000003</v>
      </c>
      <c r="G22">
        <f>47.36585625</f>
        <v>47.36585625</v>
      </c>
      <c r="H22">
        <f>12.07792575</f>
        <v>12.07792575</v>
      </c>
      <c r="I22">
        <f>59.44378199</f>
        <v>59.443781989999998</v>
      </c>
      <c r="J22">
        <f>104.75076</f>
        <v>104.75076</v>
      </c>
      <c r="K22">
        <f>17.229285</f>
        <v>17.229285000000001</v>
      </c>
      <c r="L22">
        <f>4294.5284</f>
        <v>4294.5284000000001</v>
      </c>
    </row>
    <row r="23" spans="1:12" x14ac:dyDescent="0.25">
      <c r="A23">
        <f>0.81</f>
        <v>0.81</v>
      </c>
      <c r="B23">
        <f>51.84662917</f>
        <v>51.84662917</v>
      </c>
      <c r="C23">
        <f>51.06010582</f>
        <v>51.060105819999997</v>
      </c>
      <c r="D23">
        <f>34.75999517</f>
        <v>34.759995170000003</v>
      </c>
      <c r="E23">
        <f>85.82010099</f>
        <v>85.82010099</v>
      </c>
      <c r="F23">
        <f>48.75086775</f>
        <v>48.750867749999998</v>
      </c>
      <c r="G23">
        <f>48.01130769</f>
        <v>48.011307690000002</v>
      </c>
      <c r="H23">
        <f>12.22697741</f>
        <v>12.22697741</v>
      </c>
      <c r="I23">
        <f>60.2382851</f>
        <v>60.238285099999999</v>
      </c>
      <c r="J23">
        <f>99.877112</f>
        <v>99.877111999999997</v>
      </c>
      <c r="K23">
        <f>18.244864</f>
        <v>18.244864</v>
      </c>
      <c r="L23">
        <f>4044.1684</f>
        <v>4044.1684</v>
      </c>
    </row>
    <row r="24" spans="1:12" x14ac:dyDescent="0.25">
      <c r="A24">
        <f>0.82</f>
        <v>0.82</v>
      </c>
      <c r="B24">
        <f>52.48671102</f>
        <v>52.486711020000001</v>
      </c>
      <c r="C24">
        <f>51.74697041</f>
        <v>51.746970410000003</v>
      </c>
      <c r="D24">
        <f>34.59926962</f>
        <v>34.599269620000001</v>
      </c>
      <c r="E24">
        <f>86.34624003</f>
        <v>86.346240030000004</v>
      </c>
      <c r="F24">
        <f>49.35273031</f>
        <v>49.352730309999998</v>
      </c>
      <c r="G24">
        <f>48.65715961</f>
        <v>48.657159610000001</v>
      </c>
      <c r="H24">
        <f>12.3920419</f>
        <v>12.392041900000001</v>
      </c>
      <c r="I24">
        <f>61.0492015</f>
        <v>61.049201500000002</v>
      </c>
      <c r="J24">
        <f>94.78779</f>
        <v>94.787790000000001</v>
      </c>
      <c r="K24">
        <f>19.398832</f>
        <v>19.398831999999999</v>
      </c>
      <c r="L24">
        <f>3791.2884</f>
        <v>3791.2883999999999</v>
      </c>
    </row>
    <row r="25" spans="1:12" x14ac:dyDescent="0.25">
      <c r="A25">
        <f>0.83</f>
        <v>0.83</v>
      </c>
      <c r="B25">
        <f>53.12679286</f>
        <v>53.126792860000002</v>
      </c>
      <c r="C25">
        <f>52.43436959</f>
        <v>52.434369590000003</v>
      </c>
      <c r="D25">
        <f>34.4367806</f>
        <v>34.436780599999999</v>
      </c>
      <c r="E25">
        <f>86.87115019</f>
        <v>86.871150189999994</v>
      </c>
      <c r="F25">
        <f>49.95459288</f>
        <v>49.95459288</v>
      </c>
      <c r="G25">
        <f>49.30351419</f>
        <v>49.303514190000001</v>
      </c>
      <c r="H25">
        <f>12.57595503</f>
        <v>12.575955029999999</v>
      </c>
      <c r="I25">
        <f>61.87946922</f>
        <v>61.879469219999997</v>
      </c>
      <c r="J25">
        <f>89.464962</f>
        <v>89.464962</v>
      </c>
      <c r="K25">
        <f>20.72462</f>
        <v>20.724620000000002</v>
      </c>
      <c r="L25">
        <f>3535.2747</f>
        <v>3535.2746999999999</v>
      </c>
    </row>
    <row r="26" spans="1:12" x14ac:dyDescent="0.25">
      <c r="A26">
        <f>0.84</f>
        <v>0.84</v>
      </c>
      <c r="B26">
        <f>53.7668747</f>
        <v>53.766874700000002</v>
      </c>
      <c r="C26">
        <f>53.12245632</f>
        <v>53.122456319999998</v>
      </c>
      <c r="D26">
        <f>34.27202147</f>
        <v>34.272021469999999</v>
      </c>
      <c r="E26">
        <f>87.39447779</f>
        <v>87.394477789999996</v>
      </c>
      <c r="F26">
        <f>50.55645544</f>
        <v>50.556455440000001</v>
      </c>
      <c r="G26">
        <f>49.95051527</f>
        <v>49.950515269999997</v>
      </c>
      <c r="H26">
        <f>12.78244905</f>
        <v>12.78244905</v>
      </c>
      <c r="I26">
        <f>62.73296432</f>
        <v>62.732964320000001</v>
      </c>
      <c r="J26">
        <f>83.883761</f>
        <v>83.883761000000007</v>
      </c>
      <c r="K26">
        <f>22.268658</f>
        <v>22.268657999999999</v>
      </c>
      <c r="L26">
        <f>3275.2683</f>
        <v>3275.2683000000002</v>
      </c>
    </row>
    <row r="27" spans="1:12" x14ac:dyDescent="0.25">
      <c r="A27">
        <f>0.85</f>
        <v>0.85</v>
      </c>
      <c r="B27">
        <f>54.40695654</f>
        <v>54.406956540000003</v>
      </c>
      <c r="C27">
        <f>53.81145542</f>
        <v>53.811455420000001</v>
      </c>
      <c r="D27">
        <f>34.1042458</f>
        <v>34.104245800000001</v>
      </c>
      <c r="E27">
        <f>87.91570121</f>
        <v>87.915701209999995</v>
      </c>
      <c r="F27">
        <f>51.15831801</f>
        <v>51.158318010000002</v>
      </c>
      <c r="G27">
        <f>50.59837424</f>
        <v>50.598374239999998</v>
      </c>
      <c r="H27">
        <f>13.01663012</f>
        <v>13.01663012</v>
      </c>
      <c r="I27">
        <f>63.61500436</f>
        <v>63.61500436</v>
      </c>
      <c r="J27">
        <f>78.007978</f>
        <v>78.007977999999994</v>
      </c>
      <c r="K27">
        <f>24.098155</f>
        <v>24.098154999999998</v>
      </c>
      <c r="L27">
        <f>3010.013</f>
        <v>3010.0129999999999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Gross_elec_eff</vt:lpstr>
      <vt:lpstr>Net_elec_eff</vt:lpstr>
      <vt:lpstr>Heat_eff</vt:lpstr>
      <vt:lpstr>Tot_eff</vt:lpstr>
      <vt:lpstr>P_i</vt:lpstr>
      <vt:lpstr>FU 0.7</vt:lpstr>
      <vt:lpstr>FU 0.71</vt:lpstr>
      <vt:lpstr>FU 0.72</vt:lpstr>
      <vt:lpstr>FU 0.73</vt:lpstr>
      <vt:lpstr>FU 0.74</vt:lpstr>
      <vt:lpstr>FU 0.75</vt:lpstr>
      <vt:lpstr>FU 0.76</vt:lpstr>
      <vt:lpstr>FU 0.77</vt:lpstr>
      <vt:lpstr>FU 0.78</vt:lpstr>
      <vt:lpstr>FU 0.79</vt:lpstr>
      <vt:lpstr>FU 0.8</vt:lpstr>
      <vt:lpstr>FU 0.81</vt:lpstr>
      <vt:lpstr>FU 0.82</vt:lpstr>
      <vt:lpstr>FU 0.83</vt:lpstr>
      <vt:lpstr>FU 0.84</vt:lpstr>
      <vt:lpstr>FU 0.85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Berend van Veldhuizen</cp:lastModifiedBy>
  <dcterms:created xsi:type="dcterms:W3CDTF">2021-11-10T14:26:52Z</dcterms:created>
  <dcterms:modified xsi:type="dcterms:W3CDTF">2021-11-15T09:05:05Z</dcterms:modified>
</cp:coreProperties>
</file>