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beren\surfdrive\0. PHD (surfdrive)\06 Nautilus project\WP7 Technology analysis\T7.1 Future fuels\2 Fuel analysis\0 Thermodynamic analysis\2 Methanol model\Results\"/>
    </mc:Choice>
  </mc:AlternateContent>
  <xr:revisionPtr revIDLastSave="0" documentId="13_ncr:1_{7C973C20-73F0-4C57-AD50-CFC2C64C25DB}" xr6:coauthVersionLast="47" xr6:coauthVersionMax="47" xr10:uidLastSave="{00000000-0000-0000-0000-000000000000}"/>
  <bookViews>
    <workbookView xWindow="-120" yWindow="-120" windowWidth="29040" windowHeight="15840" tabRatio="837" xr2:uid="{00000000-000D-0000-FFFF-FFFF00000000}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MeOH FU 0.7" sheetId="2" r:id="rId6"/>
    <sheet name="MeOH FU 0.71" sheetId="3" r:id="rId7"/>
    <sheet name="MeOH FU 0.72" sheetId="4" r:id="rId8"/>
    <sheet name="MeOH FU 0.73" sheetId="5" r:id="rId9"/>
    <sheet name="MeOH FU 0.74" sheetId="6" r:id="rId10"/>
    <sheet name="MeOH FU 0.75" sheetId="7" r:id="rId11"/>
    <sheet name="MeOH FU 0.76" sheetId="8" r:id="rId12"/>
    <sheet name="MeOH FU 0.77" sheetId="9" r:id="rId13"/>
    <sheet name="MeOH FU 0.78" sheetId="10" r:id="rId14"/>
    <sheet name="MeOH FU 0.79" sheetId="11" r:id="rId15"/>
    <sheet name="MeOH FU 0.8" sheetId="12" r:id="rId16"/>
    <sheet name="MeOH FU 0.81" sheetId="13" r:id="rId17"/>
    <sheet name="MeOH FU 0.82" sheetId="14" r:id="rId18"/>
    <sheet name="MeOH FU 0.83" sheetId="15" r:id="rId19"/>
    <sheet name="MeOH FU 0.84" sheetId="16" r:id="rId20"/>
    <sheet name="MeOH FU 0.85" sheetId="17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7" i="17" l="1"/>
  <c r="Q27" i="21" s="1"/>
  <c r="K27" i="17"/>
  <c r="J27" i="17"/>
  <c r="I27" i="17"/>
  <c r="H27" i="17"/>
  <c r="G27" i="17"/>
  <c r="F27" i="17"/>
  <c r="E27" i="17"/>
  <c r="Q27" i="1" s="1"/>
  <c r="D27" i="17"/>
  <c r="Q27" i="20" s="1"/>
  <c r="C27" i="17"/>
  <c r="Q27" i="18" s="1"/>
  <c r="B27" i="17"/>
  <c r="Q27" i="19" s="1"/>
  <c r="A27" i="17"/>
  <c r="L26" i="17"/>
  <c r="Q26" i="21" s="1"/>
  <c r="K26" i="17"/>
  <c r="J26" i="17"/>
  <c r="I26" i="17"/>
  <c r="H26" i="17"/>
  <c r="G26" i="17"/>
  <c r="F26" i="17"/>
  <c r="E26" i="17"/>
  <c r="Q26" i="1" s="1"/>
  <c r="D26" i="17"/>
  <c r="Q26" i="20" s="1"/>
  <c r="C26" i="17"/>
  <c r="Q26" i="18" s="1"/>
  <c r="B26" i="17"/>
  <c r="Q26" i="19" s="1"/>
  <c r="A26" i="17"/>
  <c r="L25" i="17"/>
  <c r="Q25" i="21" s="1"/>
  <c r="K25" i="17"/>
  <c r="J25" i="17"/>
  <c r="I25" i="17"/>
  <c r="H25" i="17"/>
  <c r="G25" i="17"/>
  <c r="F25" i="17"/>
  <c r="E25" i="17"/>
  <c r="Q25" i="1" s="1"/>
  <c r="D25" i="17"/>
  <c r="Q25" i="20" s="1"/>
  <c r="C25" i="17"/>
  <c r="Q25" i="18" s="1"/>
  <c r="B25" i="17"/>
  <c r="Q25" i="19" s="1"/>
  <c r="A25" i="17"/>
  <c r="L24" i="17"/>
  <c r="Q24" i="21" s="1"/>
  <c r="K24" i="17"/>
  <c r="J24" i="17"/>
  <c r="I24" i="17"/>
  <c r="H24" i="17"/>
  <c r="G24" i="17"/>
  <c r="F24" i="17"/>
  <c r="E24" i="17"/>
  <c r="Q24" i="1" s="1"/>
  <c r="D24" i="17"/>
  <c r="Q24" i="20" s="1"/>
  <c r="C24" i="17"/>
  <c r="Q24" i="18" s="1"/>
  <c r="B24" i="17"/>
  <c r="Q24" i="19" s="1"/>
  <c r="A24" i="17"/>
  <c r="L23" i="17"/>
  <c r="Q23" i="21" s="1"/>
  <c r="K23" i="17"/>
  <c r="J23" i="17"/>
  <c r="I23" i="17"/>
  <c r="H23" i="17"/>
  <c r="G23" i="17"/>
  <c r="F23" i="17"/>
  <c r="E23" i="17"/>
  <c r="Q23" i="1" s="1"/>
  <c r="D23" i="17"/>
  <c r="Q23" i="20" s="1"/>
  <c r="C23" i="17"/>
  <c r="Q23" i="18" s="1"/>
  <c r="B23" i="17"/>
  <c r="Q23" i="19" s="1"/>
  <c r="A23" i="17"/>
  <c r="L22" i="17"/>
  <c r="Q22" i="21" s="1"/>
  <c r="K22" i="17"/>
  <c r="J22" i="17"/>
  <c r="I22" i="17"/>
  <c r="H22" i="17"/>
  <c r="G22" i="17"/>
  <c r="F22" i="17"/>
  <c r="E22" i="17"/>
  <c r="Q22" i="1" s="1"/>
  <c r="D22" i="17"/>
  <c r="Q22" i="20" s="1"/>
  <c r="C22" i="17"/>
  <c r="Q22" i="18" s="1"/>
  <c r="B22" i="17"/>
  <c r="Q22" i="19" s="1"/>
  <c r="A22" i="17"/>
  <c r="L21" i="17"/>
  <c r="Q21" i="21" s="1"/>
  <c r="K21" i="17"/>
  <c r="J21" i="17"/>
  <c r="I21" i="17"/>
  <c r="H21" i="17"/>
  <c r="G21" i="17"/>
  <c r="F21" i="17"/>
  <c r="E21" i="17"/>
  <c r="Q21" i="1" s="1"/>
  <c r="D21" i="17"/>
  <c r="Q21" i="20" s="1"/>
  <c r="C21" i="17"/>
  <c r="Q21" i="18" s="1"/>
  <c r="B21" i="17"/>
  <c r="Q21" i="19" s="1"/>
  <c r="A21" i="17"/>
  <c r="L20" i="17"/>
  <c r="Q20" i="21" s="1"/>
  <c r="K20" i="17"/>
  <c r="J20" i="17"/>
  <c r="I20" i="17"/>
  <c r="H20" i="17"/>
  <c r="G20" i="17"/>
  <c r="F20" i="17"/>
  <c r="E20" i="17"/>
  <c r="Q20" i="1" s="1"/>
  <c r="D20" i="17"/>
  <c r="Q20" i="20" s="1"/>
  <c r="C20" i="17"/>
  <c r="Q20" i="18" s="1"/>
  <c r="B20" i="17"/>
  <c r="Q20" i="19" s="1"/>
  <c r="A20" i="17"/>
  <c r="L19" i="17"/>
  <c r="Q19" i="21" s="1"/>
  <c r="K19" i="17"/>
  <c r="J19" i="17"/>
  <c r="I19" i="17"/>
  <c r="H19" i="17"/>
  <c r="G19" i="17"/>
  <c r="F19" i="17"/>
  <c r="E19" i="17"/>
  <c r="Q19" i="1" s="1"/>
  <c r="D19" i="17"/>
  <c r="Q19" i="20" s="1"/>
  <c r="C19" i="17"/>
  <c r="Q19" i="18" s="1"/>
  <c r="B19" i="17"/>
  <c r="Q19" i="19" s="1"/>
  <c r="A19" i="17"/>
  <c r="L18" i="17"/>
  <c r="Q18" i="21" s="1"/>
  <c r="K18" i="17"/>
  <c r="J18" i="17"/>
  <c r="I18" i="17"/>
  <c r="H18" i="17"/>
  <c r="G18" i="17"/>
  <c r="F18" i="17"/>
  <c r="E18" i="17"/>
  <c r="Q18" i="1" s="1"/>
  <c r="D18" i="17"/>
  <c r="Q18" i="20" s="1"/>
  <c r="C18" i="17"/>
  <c r="Q18" i="18" s="1"/>
  <c r="B18" i="17"/>
  <c r="Q18" i="19" s="1"/>
  <c r="A18" i="17"/>
  <c r="L17" i="17"/>
  <c r="Q17" i="21" s="1"/>
  <c r="K17" i="17"/>
  <c r="J17" i="17"/>
  <c r="I17" i="17"/>
  <c r="H17" i="17"/>
  <c r="G17" i="17"/>
  <c r="F17" i="17"/>
  <c r="E17" i="17"/>
  <c r="Q17" i="1" s="1"/>
  <c r="D17" i="17"/>
  <c r="Q17" i="20" s="1"/>
  <c r="C17" i="17"/>
  <c r="Q17" i="18" s="1"/>
  <c r="B17" i="17"/>
  <c r="Q17" i="19" s="1"/>
  <c r="A17" i="17"/>
  <c r="L16" i="17"/>
  <c r="Q16" i="21" s="1"/>
  <c r="K16" i="17"/>
  <c r="J16" i="17"/>
  <c r="I16" i="17"/>
  <c r="H16" i="17"/>
  <c r="G16" i="17"/>
  <c r="F16" i="17"/>
  <c r="E16" i="17"/>
  <c r="Q16" i="1" s="1"/>
  <c r="D16" i="17"/>
  <c r="Q16" i="20" s="1"/>
  <c r="C16" i="17"/>
  <c r="Q16" i="18" s="1"/>
  <c r="B16" i="17"/>
  <c r="Q16" i="19" s="1"/>
  <c r="A16" i="17"/>
  <c r="L15" i="17"/>
  <c r="Q15" i="21" s="1"/>
  <c r="K15" i="17"/>
  <c r="J15" i="17"/>
  <c r="I15" i="17"/>
  <c r="H15" i="17"/>
  <c r="G15" i="17"/>
  <c r="F15" i="17"/>
  <c r="E15" i="17"/>
  <c r="Q15" i="1" s="1"/>
  <c r="D15" i="17"/>
  <c r="Q15" i="20" s="1"/>
  <c r="C15" i="17"/>
  <c r="Q15" i="18" s="1"/>
  <c r="B15" i="17"/>
  <c r="Q15" i="19" s="1"/>
  <c r="A15" i="17"/>
  <c r="L14" i="17"/>
  <c r="Q14" i="21" s="1"/>
  <c r="K14" i="17"/>
  <c r="J14" i="17"/>
  <c r="I14" i="17"/>
  <c r="H14" i="17"/>
  <c r="G14" i="17"/>
  <c r="F14" i="17"/>
  <c r="E14" i="17"/>
  <c r="Q14" i="1" s="1"/>
  <c r="D14" i="17"/>
  <c r="Q14" i="20" s="1"/>
  <c r="C14" i="17"/>
  <c r="Q14" i="18" s="1"/>
  <c r="B14" i="17"/>
  <c r="Q14" i="19" s="1"/>
  <c r="A14" i="17"/>
  <c r="L13" i="17"/>
  <c r="Q13" i="21" s="1"/>
  <c r="K13" i="17"/>
  <c r="J13" i="17"/>
  <c r="I13" i="17"/>
  <c r="H13" i="17"/>
  <c r="G13" i="17"/>
  <c r="F13" i="17"/>
  <c r="E13" i="17"/>
  <c r="Q13" i="1" s="1"/>
  <c r="D13" i="17"/>
  <c r="Q13" i="20" s="1"/>
  <c r="C13" i="17"/>
  <c r="Q13" i="18" s="1"/>
  <c r="B13" i="17"/>
  <c r="Q13" i="19" s="1"/>
  <c r="A13" i="17"/>
  <c r="L12" i="17"/>
  <c r="Q12" i="21" s="1"/>
  <c r="K12" i="17"/>
  <c r="J12" i="17"/>
  <c r="I12" i="17"/>
  <c r="H12" i="17"/>
  <c r="G12" i="17"/>
  <c r="F12" i="17"/>
  <c r="E12" i="17"/>
  <c r="Q12" i="1" s="1"/>
  <c r="D12" i="17"/>
  <c r="Q12" i="20" s="1"/>
  <c r="C12" i="17"/>
  <c r="Q12" i="18" s="1"/>
  <c r="B12" i="17"/>
  <c r="Q12" i="19" s="1"/>
  <c r="A12" i="17"/>
  <c r="L11" i="17"/>
  <c r="Q11" i="21" s="1"/>
  <c r="K11" i="17"/>
  <c r="J11" i="17"/>
  <c r="I11" i="17"/>
  <c r="H11" i="17"/>
  <c r="G11" i="17"/>
  <c r="F11" i="17"/>
  <c r="E11" i="17"/>
  <c r="Q11" i="1" s="1"/>
  <c r="D11" i="17"/>
  <c r="Q11" i="20" s="1"/>
  <c r="C11" i="17"/>
  <c r="Q11" i="18" s="1"/>
  <c r="B11" i="17"/>
  <c r="Q11" i="19" s="1"/>
  <c r="A11" i="17"/>
  <c r="L10" i="17"/>
  <c r="Q10" i="21" s="1"/>
  <c r="K10" i="17"/>
  <c r="J10" i="17"/>
  <c r="I10" i="17"/>
  <c r="H10" i="17"/>
  <c r="G10" i="17"/>
  <c r="F10" i="17"/>
  <c r="E10" i="17"/>
  <c r="Q10" i="1" s="1"/>
  <c r="D10" i="17"/>
  <c r="Q10" i="20" s="1"/>
  <c r="C10" i="17"/>
  <c r="Q10" i="18" s="1"/>
  <c r="B10" i="17"/>
  <c r="Q10" i="19" s="1"/>
  <c r="A10" i="17"/>
  <c r="L9" i="17"/>
  <c r="Q9" i="21" s="1"/>
  <c r="K9" i="17"/>
  <c r="J9" i="17"/>
  <c r="I9" i="17"/>
  <c r="H9" i="17"/>
  <c r="G9" i="17"/>
  <c r="F9" i="17"/>
  <c r="E9" i="17"/>
  <c r="Q9" i="1" s="1"/>
  <c r="D9" i="17"/>
  <c r="Q9" i="20" s="1"/>
  <c r="C9" i="17"/>
  <c r="Q9" i="18" s="1"/>
  <c r="B9" i="17"/>
  <c r="Q9" i="19" s="1"/>
  <c r="A9" i="17"/>
  <c r="L8" i="17"/>
  <c r="Q8" i="21" s="1"/>
  <c r="K8" i="17"/>
  <c r="J8" i="17"/>
  <c r="I8" i="17"/>
  <c r="H8" i="17"/>
  <c r="G8" i="17"/>
  <c r="F8" i="17"/>
  <c r="E8" i="17"/>
  <c r="Q8" i="1" s="1"/>
  <c r="D8" i="17"/>
  <c r="Q8" i="20" s="1"/>
  <c r="C8" i="17"/>
  <c r="Q8" i="18" s="1"/>
  <c r="B8" i="17"/>
  <c r="Q8" i="19" s="1"/>
  <c r="A8" i="17"/>
  <c r="L7" i="17"/>
  <c r="Q7" i="21" s="1"/>
  <c r="K7" i="17"/>
  <c r="J7" i="17"/>
  <c r="I7" i="17"/>
  <c r="H7" i="17"/>
  <c r="G7" i="17"/>
  <c r="F7" i="17"/>
  <c r="E7" i="17"/>
  <c r="Q7" i="1" s="1"/>
  <c r="D7" i="17"/>
  <c r="Q7" i="20" s="1"/>
  <c r="C7" i="17"/>
  <c r="Q7" i="18" s="1"/>
  <c r="B7" i="17"/>
  <c r="Q7" i="19" s="1"/>
  <c r="A7" i="17"/>
  <c r="L6" i="17"/>
  <c r="Q6" i="21" s="1"/>
  <c r="K6" i="17"/>
  <c r="J6" i="17"/>
  <c r="I6" i="17"/>
  <c r="H6" i="17"/>
  <c r="G6" i="17"/>
  <c r="F6" i="17"/>
  <c r="E6" i="17"/>
  <c r="Q6" i="1" s="1"/>
  <c r="D6" i="17"/>
  <c r="Q6" i="20" s="1"/>
  <c r="C6" i="17"/>
  <c r="Q6" i="18" s="1"/>
  <c r="B6" i="17"/>
  <c r="Q6" i="19" s="1"/>
  <c r="A6" i="17"/>
  <c r="L5" i="17"/>
  <c r="Q5" i="21" s="1"/>
  <c r="K5" i="17"/>
  <c r="J5" i="17"/>
  <c r="I5" i="17"/>
  <c r="H5" i="17"/>
  <c r="G5" i="17"/>
  <c r="F5" i="17"/>
  <c r="E5" i="17"/>
  <c r="Q5" i="1" s="1"/>
  <c r="D5" i="17"/>
  <c r="Q5" i="20" s="1"/>
  <c r="C5" i="17"/>
  <c r="Q5" i="18" s="1"/>
  <c r="B5" i="17"/>
  <c r="Q5" i="19" s="1"/>
  <c r="A5" i="17"/>
  <c r="L4" i="17"/>
  <c r="Q4" i="21" s="1"/>
  <c r="K4" i="17"/>
  <c r="J4" i="17"/>
  <c r="I4" i="17"/>
  <c r="H4" i="17"/>
  <c r="G4" i="17"/>
  <c r="F4" i="17"/>
  <c r="E4" i="17"/>
  <c r="Q4" i="1" s="1"/>
  <c r="D4" i="17"/>
  <c r="Q4" i="20" s="1"/>
  <c r="C4" i="17"/>
  <c r="Q4" i="18" s="1"/>
  <c r="B4" i="17"/>
  <c r="Q4" i="19" s="1"/>
  <c r="A4" i="17"/>
  <c r="L3" i="17"/>
  <c r="Q3" i="21" s="1"/>
  <c r="K3" i="17"/>
  <c r="J3" i="17"/>
  <c r="I3" i="17"/>
  <c r="H3" i="17"/>
  <c r="G3" i="17"/>
  <c r="F3" i="17"/>
  <c r="E3" i="17"/>
  <c r="Q3" i="1" s="1"/>
  <c r="D3" i="17"/>
  <c r="Q3" i="20" s="1"/>
  <c r="C3" i="17"/>
  <c r="Q3" i="18" s="1"/>
  <c r="B3" i="17"/>
  <c r="Q3" i="19" s="1"/>
  <c r="A3" i="17"/>
  <c r="L2" i="17"/>
  <c r="Q2" i="21" s="1"/>
  <c r="K2" i="17"/>
  <c r="J2" i="17"/>
  <c r="I2" i="17"/>
  <c r="H2" i="17"/>
  <c r="G2" i="17"/>
  <c r="F2" i="17"/>
  <c r="E2" i="17"/>
  <c r="Q2" i="1" s="1"/>
  <c r="D2" i="17"/>
  <c r="Q2" i="20" s="1"/>
  <c r="C2" i="17"/>
  <c r="Q2" i="18" s="1"/>
  <c r="B2" i="17"/>
  <c r="Q2" i="19" s="1"/>
  <c r="A2" i="17"/>
  <c r="L27" i="16"/>
  <c r="P27" i="21" s="1"/>
  <c r="K27" i="16"/>
  <c r="J27" i="16"/>
  <c r="I27" i="16"/>
  <c r="H27" i="16"/>
  <c r="G27" i="16"/>
  <c r="F27" i="16"/>
  <c r="E27" i="16"/>
  <c r="P27" i="1" s="1"/>
  <c r="D27" i="16"/>
  <c r="P27" i="20" s="1"/>
  <c r="C27" i="16"/>
  <c r="P27" i="18" s="1"/>
  <c r="B27" i="16"/>
  <c r="P27" i="19" s="1"/>
  <c r="A27" i="16"/>
  <c r="L26" i="16"/>
  <c r="P26" i="21" s="1"/>
  <c r="K26" i="16"/>
  <c r="J26" i="16"/>
  <c r="I26" i="16"/>
  <c r="H26" i="16"/>
  <c r="G26" i="16"/>
  <c r="F26" i="16"/>
  <c r="E26" i="16"/>
  <c r="P26" i="1" s="1"/>
  <c r="D26" i="16"/>
  <c r="P26" i="20" s="1"/>
  <c r="C26" i="16"/>
  <c r="P26" i="18" s="1"/>
  <c r="B26" i="16"/>
  <c r="P26" i="19" s="1"/>
  <c r="A26" i="16"/>
  <c r="L25" i="16"/>
  <c r="P25" i="21" s="1"/>
  <c r="K25" i="16"/>
  <c r="J25" i="16"/>
  <c r="I25" i="16"/>
  <c r="H25" i="16"/>
  <c r="G25" i="16"/>
  <c r="F25" i="16"/>
  <c r="E25" i="16"/>
  <c r="P25" i="1" s="1"/>
  <c r="D25" i="16"/>
  <c r="P25" i="20" s="1"/>
  <c r="C25" i="16"/>
  <c r="P25" i="18" s="1"/>
  <c r="B25" i="16"/>
  <c r="P25" i="19" s="1"/>
  <c r="A25" i="16"/>
  <c r="L24" i="16"/>
  <c r="P24" i="21" s="1"/>
  <c r="K24" i="16"/>
  <c r="J24" i="16"/>
  <c r="I24" i="16"/>
  <c r="H24" i="16"/>
  <c r="G24" i="16"/>
  <c r="F24" i="16"/>
  <c r="E24" i="16"/>
  <c r="P24" i="1" s="1"/>
  <c r="D24" i="16"/>
  <c r="P24" i="20" s="1"/>
  <c r="C24" i="16"/>
  <c r="P24" i="18" s="1"/>
  <c r="B24" i="16"/>
  <c r="P24" i="19" s="1"/>
  <c r="A24" i="16"/>
  <c r="L23" i="16"/>
  <c r="P23" i="21" s="1"/>
  <c r="K23" i="16"/>
  <c r="J23" i="16"/>
  <c r="I23" i="16"/>
  <c r="H23" i="16"/>
  <c r="G23" i="16"/>
  <c r="F23" i="16"/>
  <c r="E23" i="16"/>
  <c r="P23" i="1" s="1"/>
  <c r="D23" i="16"/>
  <c r="P23" i="20" s="1"/>
  <c r="C23" i="16"/>
  <c r="P23" i="18" s="1"/>
  <c r="B23" i="16"/>
  <c r="P23" i="19" s="1"/>
  <c r="A23" i="16"/>
  <c r="L22" i="16"/>
  <c r="P22" i="21" s="1"/>
  <c r="K22" i="16"/>
  <c r="J22" i="16"/>
  <c r="I22" i="16"/>
  <c r="H22" i="16"/>
  <c r="G22" i="16"/>
  <c r="F22" i="16"/>
  <c r="E22" i="16"/>
  <c r="P22" i="1" s="1"/>
  <c r="D22" i="16"/>
  <c r="P22" i="20" s="1"/>
  <c r="C22" i="16"/>
  <c r="P22" i="18" s="1"/>
  <c r="B22" i="16"/>
  <c r="P22" i="19" s="1"/>
  <c r="A22" i="16"/>
  <c r="L21" i="16"/>
  <c r="P21" i="21" s="1"/>
  <c r="K21" i="16"/>
  <c r="J21" i="16"/>
  <c r="I21" i="16"/>
  <c r="H21" i="16"/>
  <c r="G21" i="16"/>
  <c r="F21" i="16"/>
  <c r="E21" i="16"/>
  <c r="P21" i="1" s="1"/>
  <c r="D21" i="16"/>
  <c r="P21" i="20" s="1"/>
  <c r="C21" i="16"/>
  <c r="P21" i="18" s="1"/>
  <c r="B21" i="16"/>
  <c r="P21" i="19" s="1"/>
  <c r="A21" i="16"/>
  <c r="L20" i="16"/>
  <c r="P20" i="21" s="1"/>
  <c r="K20" i="16"/>
  <c r="J20" i="16"/>
  <c r="I20" i="16"/>
  <c r="H20" i="16"/>
  <c r="G20" i="16"/>
  <c r="F20" i="16"/>
  <c r="E20" i="16"/>
  <c r="P20" i="1" s="1"/>
  <c r="D20" i="16"/>
  <c r="P20" i="20" s="1"/>
  <c r="C20" i="16"/>
  <c r="P20" i="18" s="1"/>
  <c r="B20" i="16"/>
  <c r="P20" i="19" s="1"/>
  <c r="A20" i="16"/>
  <c r="L19" i="16"/>
  <c r="P19" i="21" s="1"/>
  <c r="K19" i="16"/>
  <c r="J19" i="16"/>
  <c r="I19" i="16"/>
  <c r="H19" i="16"/>
  <c r="G19" i="16"/>
  <c r="F19" i="16"/>
  <c r="E19" i="16"/>
  <c r="P19" i="1" s="1"/>
  <c r="D19" i="16"/>
  <c r="P19" i="20" s="1"/>
  <c r="C19" i="16"/>
  <c r="P19" i="18" s="1"/>
  <c r="B19" i="16"/>
  <c r="P19" i="19" s="1"/>
  <c r="A19" i="16"/>
  <c r="L18" i="16"/>
  <c r="P18" i="21" s="1"/>
  <c r="K18" i="16"/>
  <c r="J18" i="16"/>
  <c r="I18" i="16"/>
  <c r="H18" i="16"/>
  <c r="G18" i="16"/>
  <c r="F18" i="16"/>
  <c r="E18" i="16"/>
  <c r="P18" i="1" s="1"/>
  <c r="D18" i="16"/>
  <c r="P18" i="20" s="1"/>
  <c r="C18" i="16"/>
  <c r="P18" i="18" s="1"/>
  <c r="B18" i="16"/>
  <c r="P18" i="19" s="1"/>
  <c r="A18" i="16"/>
  <c r="L17" i="16"/>
  <c r="P17" i="21" s="1"/>
  <c r="K17" i="16"/>
  <c r="J17" i="16"/>
  <c r="I17" i="16"/>
  <c r="H17" i="16"/>
  <c r="G17" i="16"/>
  <c r="F17" i="16"/>
  <c r="E17" i="16"/>
  <c r="P17" i="1" s="1"/>
  <c r="D17" i="16"/>
  <c r="P17" i="20" s="1"/>
  <c r="C17" i="16"/>
  <c r="P17" i="18" s="1"/>
  <c r="B17" i="16"/>
  <c r="P17" i="19" s="1"/>
  <c r="A17" i="16"/>
  <c r="L16" i="16"/>
  <c r="P16" i="21" s="1"/>
  <c r="K16" i="16"/>
  <c r="J16" i="16"/>
  <c r="I16" i="16"/>
  <c r="H16" i="16"/>
  <c r="G16" i="16"/>
  <c r="F16" i="16"/>
  <c r="E16" i="16"/>
  <c r="P16" i="1" s="1"/>
  <c r="D16" i="16"/>
  <c r="P16" i="20" s="1"/>
  <c r="C16" i="16"/>
  <c r="P16" i="18" s="1"/>
  <c r="B16" i="16"/>
  <c r="P16" i="19" s="1"/>
  <c r="A16" i="16"/>
  <c r="L15" i="16"/>
  <c r="P15" i="21" s="1"/>
  <c r="K15" i="16"/>
  <c r="J15" i="16"/>
  <c r="I15" i="16"/>
  <c r="H15" i="16"/>
  <c r="G15" i="16"/>
  <c r="F15" i="16"/>
  <c r="E15" i="16"/>
  <c r="P15" i="1" s="1"/>
  <c r="D15" i="16"/>
  <c r="P15" i="20" s="1"/>
  <c r="C15" i="16"/>
  <c r="P15" i="18" s="1"/>
  <c r="B15" i="16"/>
  <c r="P15" i="19" s="1"/>
  <c r="A15" i="16"/>
  <c r="L14" i="16"/>
  <c r="P14" i="21" s="1"/>
  <c r="K14" i="16"/>
  <c r="J14" i="16"/>
  <c r="I14" i="16"/>
  <c r="H14" i="16"/>
  <c r="G14" i="16"/>
  <c r="F14" i="16"/>
  <c r="E14" i="16"/>
  <c r="P14" i="1" s="1"/>
  <c r="D14" i="16"/>
  <c r="P14" i="20" s="1"/>
  <c r="C14" i="16"/>
  <c r="P14" i="18" s="1"/>
  <c r="B14" i="16"/>
  <c r="P14" i="19" s="1"/>
  <c r="A14" i="16"/>
  <c r="L13" i="16"/>
  <c r="P13" i="21" s="1"/>
  <c r="K13" i="16"/>
  <c r="J13" i="16"/>
  <c r="I13" i="16"/>
  <c r="H13" i="16"/>
  <c r="G13" i="16"/>
  <c r="F13" i="16"/>
  <c r="E13" i="16"/>
  <c r="P13" i="1" s="1"/>
  <c r="D13" i="16"/>
  <c r="P13" i="20" s="1"/>
  <c r="C13" i="16"/>
  <c r="P13" i="18" s="1"/>
  <c r="B13" i="16"/>
  <c r="P13" i="19" s="1"/>
  <c r="A13" i="16"/>
  <c r="L12" i="16"/>
  <c r="P12" i="21" s="1"/>
  <c r="K12" i="16"/>
  <c r="J12" i="16"/>
  <c r="I12" i="16"/>
  <c r="H12" i="16"/>
  <c r="G12" i="16"/>
  <c r="F12" i="16"/>
  <c r="E12" i="16"/>
  <c r="P12" i="1" s="1"/>
  <c r="D12" i="16"/>
  <c r="P12" i="20" s="1"/>
  <c r="C12" i="16"/>
  <c r="P12" i="18" s="1"/>
  <c r="B12" i="16"/>
  <c r="P12" i="19" s="1"/>
  <c r="A12" i="16"/>
  <c r="L11" i="16"/>
  <c r="P11" i="21" s="1"/>
  <c r="K11" i="16"/>
  <c r="J11" i="16"/>
  <c r="I11" i="16"/>
  <c r="H11" i="16"/>
  <c r="G11" i="16"/>
  <c r="F11" i="16"/>
  <c r="E11" i="16"/>
  <c r="P11" i="1" s="1"/>
  <c r="D11" i="16"/>
  <c r="P11" i="20" s="1"/>
  <c r="C11" i="16"/>
  <c r="P11" i="18" s="1"/>
  <c r="B11" i="16"/>
  <c r="P11" i="19" s="1"/>
  <c r="A11" i="16"/>
  <c r="L10" i="16"/>
  <c r="P10" i="21" s="1"/>
  <c r="K10" i="16"/>
  <c r="J10" i="16"/>
  <c r="I10" i="16"/>
  <c r="H10" i="16"/>
  <c r="G10" i="16"/>
  <c r="F10" i="16"/>
  <c r="E10" i="16"/>
  <c r="P10" i="1" s="1"/>
  <c r="D10" i="16"/>
  <c r="P10" i="20" s="1"/>
  <c r="C10" i="16"/>
  <c r="P10" i="18" s="1"/>
  <c r="B10" i="16"/>
  <c r="P10" i="19" s="1"/>
  <c r="A10" i="16"/>
  <c r="L9" i="16"/>
  <c r="P9" i="21" s="1"/>
  <c r="K9" i="16"/>
  <c r="J9" i="16"/>
  <c r="I9" i="16"/>
  <c r="H9" i="16"/>
  <c r="G9" i="16"/>
  <c r="F9" i="16"/>
  <c r="E9" i="16"/>
  <c r="P9" i="1" s="1"/>
  <c r="D9" i="16"/>
  <c r="P9" i="20" s="1"/>
  <c r="C9" i="16"/>
  <c r="P9" i="18" s="1"/>
  <c r="B9" i="16"/>
  <c r="P9" i="19" s="1"/>
  <c r="A9" i="16"/>
  <c r="L8" i="16"/>
  <c r="P8" i="21" s="1"/>
  <c r="K8" i="16"/>
  <c r="J8" i="16"/>
  <c r="I8" i="16"/>
  <c r="H8" i="16"/>
  <c r="G8" i="16"/>
  <c r="F8" i="16"/>
  <c r="E8" i="16"/>
  <c r="P8" i="1" s="1"/>
  <c r="D8" i="16"/>
  <c r="P8" i="20" s="1"/>
  <c r="C8" i="16"/>
  <c r="P8" i="18" s="1"/>
  <c r="B8" i="16"/>
  <c r="P8" i="19" s="1"/>
  <c r="A8" i="16"/>
  <c r="L7" i="16"/>
  <c r="P7" i="21" s="1"/>
  <c r="K7" i="16"/>
  <c r="J7" i="16"/>
  <c r="I7" i="16"/>
  <c r="H7" i="16"/>
  <c r="G7" i="16"/>
  <c r="F7" i="16"/>
  <c r="E7" i="16"/>
  <c r="P7" i="1" s="1"/>
  <c r="D7" i="16"/>
  <c r="P7" i="20" s="1"/>
  <c r="C7" i="16"/>
  <c r="P7" i="18" s="1"/>
  <c r="B7" i="16"/>
  <c r="P7" i="19" s="1"/>
  <c r="A7" i="16"/>
  <c r="L6" i="16"/>
  <c r="P6" i="21" s="1"/>
  <c r="K6" i="16"/>
  <c r="J6" i="16"/>
  <c r="I6" i="16"/>
  <c r="H6" i="16"/>
  <c r="G6" i="16"/>
  <c r="F6" i="16"/>
  <c r="E6" i="16"/>
  <c r="P6" i="1" s="1"/>
  <c r="D6" i="16"/>
  <c r="P6" i="20" s="1"/>
  <c r="C6" i="16"/>
  <c r="P6" i="18" s="1"/>
  <c r="B6" i="16"/>
  <c r="P6" i="19" s="1"/>
  <c r="A6" i="16"/>
  <c r="L5" i="16"/>
  <c r="P5" i="21" s="1"/>
  <c r="K5" i="16"/>
  <c r="J5" i="16"/>
  <c r="I5" i="16"/>
  <c r="H5" i="16"/>
  <c r="G5" i="16"/>
  <c r="F5" i="16"/>
  <c r="E5" i="16"/>
  <c r="P5" i="1" s="1"/>
  <c r="D5" i="16"/>
  <c r="P5" i="20" s="1"/>
  <c r="C5" i="16"/>
  <c r="P5" i="18" s="1"/>
  <c r="B5" i="16"/>
  <c r="P5" i="19" s="1"/>
  <c r="A5" i="16"/>
  <c r="L4" i="16"/>
  <c r="P4" i="21" s="1"/>
  <c r="K4" i="16"/>
  <c r="J4" i="16"/>
  <c r="I4" i="16"/>
  <c r="H4" i="16"/>
  <c r="G4" i="16"/>
  <c r="F4" i="16"/>
  <c r="E4" i="16"/>
  <c r="P4" i="1" s="1"/>
  <c r="D4" i="16"/>
  <c r="P4" i="20" s="1"/>
  <c r="C4" i="16"/>
  <c r="P4" i="18" s="1"/>
  <c r="B4" i="16"/>
  <c r="P4" i="19" s="1"/>
  <c r="A4" i="16"/>
  <c r="L3" i="16"/>
  <c r="P3" i="21" s="1"/>
  <c r="K3" i="16"/>
  <c r="J3" i="16"/>
  <c r="I3" i="16"/>
  <c r="H3" i="16"/>
  <c r="G3" i="16"/>
  <c r="F3" i="16"/>
  <c r="E3" i="16"/>
  <c r="P3" i="1" s="1"/>
  <c r="D3" i="16"/>
  <c r="P3" i="20" s="1"/>
  <c r="C3" i="16"/>
  <c r="P3" i="18" s="1"/>
  <c r="B3" i="16"/>
  <c r="P3" i="19" s="1"/>
  <c r="A3" i="16"/>
  <c r="L2" i="16"/>
  <c r="P2" i="21" s="1"/>
  <c r="K2" i="16"/>
  <c r="J2" i="16"/>
  <c r="I2" i="16"/>
  <c r="H2" i="16"/>
  <c r="G2" i="16"/>
  <c r="F2" i="16"/>
  <c r="E2" i="16"/>
  <c r="P2" i="1" s="1"/>
  <c r="D2" i="16"/>
  <c r="P2" i="20" s="1"/>
  <c r="C2" i="16"/>
  <c r="P2" i="18" s="1"/>
  <c r="B2" i="16"/>
  <c r="P2" i="19" s="1"/>
  <c r="A2" i="16"/>
  <c r="L27" i="15"/>
  <c r="O27" i="21" s="1"/>
  <c r="K27" i="15"/>
  <c r="J27" i="15"/>
  <c r="I27" i="15"/>
  <c r="H27" i="15"/>
  <c r="G27" i="15"/>
  <c r="F27" i="15"/>
  <c r="E27" i="15"/>
  <c r="O27" i="1" s="1"/>
  <c r="D27" i="15"/>
  <c r="O27" i="20" s="1"/>
  <c r="C27" i="15"/>
  <c r="O27" i="18" s="1"/>
  <c r="B27" i="15"/>
  <c r="O27" i="19" s="1"/>
  <c r="A27" i="15"/>
  <c r="L26" i="15"/>
  <c r="O26" i="21" s="1"/>
  <c r="K26" i="15"/>
  <c r="J26" i="15"/>
  <c r="I26" i="15"/>
  <c r="H26" i="15"/>
  <c r="G26" i="15"/>
  <c r="F26" i="15"/>
  <c r="E26" i="15"/>
  <c r="O26" i="1" s="1"/>
  <c r="D26" i="15"/>
  <c r="O26" i="20" s="1"/>
  <c r="C26" i="15"/>
  <c r="O26" i="18" s="1"/>
  <c r="B26" i="15"/>
  <c r="O26" i="19" s="1"/>
  <c r="A26" i="15"/>
  <c r="L25" i="15"/>
  <c r="O25" i="21" s="1"/>
  <c r="K25" i="15"/>
  <c r="J25" i="15"/>
  <c r="I25" i="15"/>
  <c r="H25" i="15"/>
  <c r="G25" i="15"/>
  <c r="F25" i="15"/>
  <c r="E25" i="15"/>
  <c r="O25" i="1" s="1"/>
  <c r="D25" i="15"/>
  <c r="O25" i="20" s="1"/>
  <c r="C25" i="15"/>
  <c r="O25" i="18" s="1"/>
  <c r="B25" i="15"/>
  <c r="O25" i="19" s="1"/>
  <c r="A25" i="15"/>
  <c r="L24" i="15"/>
  <c r="O24" i="21" s="1"/>
  <c r="K24" i="15"/>
  <c r="J24" i="15"/>
  <c r="I24" i="15"/>
  <c r="H24" i="15"/>
  <c r="G24" i="15"/>
  <c r="F24" i="15"/>
  <c r="E24" i="15"/>
  <c r="O24" i="1" s="1"/>
  <c r="D24" i="15"/>
  <c r="O24" i="20" s="1"/>
  <c r="C24" i="15"/>
  <c r="O24" i="18" s="1"/>
  <c r="B24" i="15"/>
  <c r="O24" i="19" s="1"/>
  <c r="A24" i="15"/>
  <c r="L23" i="15"/>
  <c r="O23" i="21" s="1"/>
  <c r="K23" i="15"/>
  <c r="J23" i="15"/>
  <c r="I23" i="15"/>
  <c r="H23" i="15"/>
  <c r="G23" i="15"/>
  <c r="F23" i="15"/>
  <c r="E23" i="15"/>
  <c r="O23" i="1" s="1"/>
  <c r="D23" i="15"/>
  <c r="O23" i="20" s="1"/>
  <c r="C23" i="15"/>
  <c r="O23" i="18" s="1"/>
  <c r="B23" i="15"/>
  <c r="O23" i="19" s="1"/>
  <c r="A23" i="15"/>
  <c r="L22" i="15"/>
  <c r="O22" i="21" s="1"/>
  <c r="K22" i="15"/>
  <c r="J22" i="15"/>
  <c r="I22" i="15"/>
  <c r="H22" i="15"/>
  <c r="G22" i="15"/>
  <c r="F22" i="15"/>
  <c r="E22" i="15"/>
  <c r="O22" i="1" s="1"/>
  <c r="D22" i="15"/>
  <c r="O22" i="20" s="1"/>
  <c r="C22" i="15"/>
  <c r="O22" i="18" s="1"/>
  <c r="B22" i="15"/>
  <c r="O22" i="19" s="1"/>
  <c r="A22" i="15"/>
  <c r="L21" i="15"/>
  <c r="O21" i="21" s="1"/>
  <c r="K21" i="15"/>
  <c r="J21" i="15"/>
  <c r="I21" i="15"/>
  <c r="H21" i="15"/>
  <c r="G21" i="15"/>
  <c r="F21" i="15"/>
  <c r="E21" i="15"/>
  <c r="O21" i="1" s="1"/>
  <c r="D21" i="15"/>
  <c r="O21" i="20" s="1"/>
  <c r="C21" i="15"/>
  <c r="O21" i="18" s="1"/>
  <c r="B21" i="15"/>
  <c r="O21" i="19" s="1"/>
  <c r="A21" i="15"/>
  <c r="L20" i="15"/>
  <c r="O20" i="21" s="1"/>
  <c r="K20" i="15"/>
  <c r="J20" i="15"/>
  <c r="I20" i="15"/>
  <c r="H20" i="15"/>
  <c r="G20" i="15"/>
  <c r="F20" i="15"/>
  <c r="E20" i="15"/>
  <c r="O20" i="1" s="1"/>
  <c r="D20" i="15"/>
  <c r="O20" i="20" s="1"/>
  <c r="C20" i="15"/>
  <c r="O20" i="18" s="1"/>
  <c r="B20" i="15"/>
  <c r="O20" i="19" s="1"/>
  <c r="A20" i="15"/>
  <c r="L19" i="15"/>
  <c r="O19" i="21" s="1"/>
  <c r="K19" i="15"/>
  <c r="J19" i="15"/>
  <c r="I19" i="15"/>
  <c r="H19" i="15"/>
  <c r="G19" i="15"/>
  <c r="F19" i="15"/>
  <c r="E19" i="15"/>
  <c r="O19" i="1" s="1"/>
  <c r="D19" i="15"/>
  <c r="O19" i="20" s="1"/>
  <c r="C19" i="15"/>
  <c r="O19" i="18" s="1"/>
  <c r="B19" i="15"/>
  <c r="O19" i="19" s="1"/>
  <c r="A19" i="15"/>
  <c r="L18" i="15"/>
  <c r="O18" i="21" s="1"/>
  <c r="K18" i="15"/>
  <c r="J18" i="15"/>
  <c r="I18" i="15"/>
  <c r="H18" i="15"/>
  <c r="G18" i="15"/>
  <c r="F18" i="15"/>
  <c r="E18" i="15"/>
  <c r="O18" i="1" s="1"/>
  <c r="D18" i="15"/>
  <c r="O18" i="20" s="1"/>
  <c r="C18" i="15"/>
  <c r="O18" i="18" s="1"/>
  <c r="B18" i="15"/>
  <c r="O18" i="19" s="1"/>
  <c r="A18" i="15"/>
  <c r="L17" i="15"/>
  <c r="O17" i="21" s="1"/>
  <c r="K17" i="15"/>
  <c r="J17" i="15"/>
  <c r="I17" i="15"/>
  <c r="H17" i="15"/>
  <c r="G17" i="15"/>
  <c r="F17" i="15"/>
  <c r="E17" i="15"/>
  <c r="O17" i="1" s="1"/>
  <c r="D17" i="15"/>
  <c r="O17" i="20" s="1"/>
  <c r="C17" i="15"/>
  <c r="O17" i="18" s="1"/>
  <c r="B17" i="15"/>
  <c r="O17" i="19" s="1"/>
  <c r="A17" i="15"/>
  <c r="L16" i="15"/>
  <c r="O16" i="21" s="1"/>
  <c r="K16" i="15"/>
  <c r="J16" i="15"/>
  <c r="I16" i="15"/>
  <c r="H16" i="15"/>
  <c r="G16" i="15"/>
  <c r="F16" i="15"/>
  <c r="E16" i="15"/>
  <c r="O16" i="1" s="1"/>
  <c r="D16" i="15"/>
  <c r="O16" i="20" s="1"/>
  <c r="C16" i="15"/>
  <c r="O16" i="18" s="1"/>
  <c r="B16" i="15"/>
  <c r="O16" i="19" s="1"/>
  <c r="A16" i="15"/>
  <c r="L15" i="15"/>
  <c r="O15" i="21" s="1"/>
  <c r="K15" i="15"/>
  <c r="J15" i="15"/>
  <c r="I15" i="15"/>
  <c r="H15" i="15"/>
  <c r="G15" i="15"/>
  <c r="F15" i="15"/>
  <c r="E15" i="15"/>
  <c r="O15" i="1" s="1"/>
  <c r="D15" i="15"/>
  <c r="O15" i="20" s="1"/>
  <c r="C15" i="15"/>
  <c r="O15" i="18" s="1"/>
  <c r="B15" i="15"/>
  <c r="O15" i="19" s="1"/>
  <c r="A15" i="15"/>
  <c r="L14" i="15"/>
  <c r="O14" i="21" s="1"/>
  <c r="K14" i="15"/>
  <c r="J14" i="15"/>
  <c r="I14" i="15"/>
  <c r="H14" i="15"/>
  <c r="G14" i="15"/>
  <c r="F14" i="15"/>
  <c r="E14" i="15"/>
  <c r="O14" i="1" s="1"/>
  <c r="D14" i="15"/>
  <c r="O14" i="20" s="1"/>
  <c r="C14" i="15"/>
  <c r="O14" i="18" s="1"/>
  <c r="B14" i="15"/>
  <c r="O14" i="19" s="1"/>
  <c r="A14" i="15"/>
  <c r="L13" i="15"/>
  <c r="O13" i="21" s="1"/>
  <c r="K13" i="15"/>
  <c r="J13" i="15"/>
  <c r="I13" i="15"/>
  <c r="H13" i="15"/>
  <c r="G13" i="15"/>
  <c r="F13" i="15"/>
  <c r="E13" i="15"/>
  <c r="O13" i="1" s="1"/>
  <c r="D13" i="15"/>
  <c r="O13" i="20" s="1"/>
  <c r="C13" i="15"/>
  <c r="O13" i="18" s="1"/>
  <c r="B13" i="15"/>
  <c r="O13" i="19" s="1"/>
  <c r="A13" i="15"/>
  <c r="L12" i="15"/>
  <c r="O12" i="21" s="1"/>
  <c r="K12" i="15"/>
  <c r="J12" i="15"/>
  <c r="I12" i="15"/>
  <c r="H12" i="15"/>
  <c r="G12" i="15"/>
  <c r="F12" i="15"/>
  <c r="E12" i="15"/>
  <c r="O12" i="1" s="1"/>
  <c r="D12" i="15"/>
  <c r="O12" i="20" s="1"/>
  <c r="C12" i="15"/>
  <c r="O12" i="18" s="1"/>
  <c r="B12" i="15"/>
  <c r="O12" i="19" s="1"/>
  <c r="A12" i="15"/>
  <c r="L11" i="15"/>
  <c r="O11" i="21" s="1"/>
  <c r="K11" i="15"/>
  <c r="J11" i="15"/>
  <c r="I11" i="15"/>
  <c r="H11" i="15"/>
  <c r="G11" i="15"/>
  <c r="F11" i="15"/>
  <c r="E11" i="15"/>
  <c r="O11" i="1" s="1"/>
  <c r="D11" i="15"/>
  <c r="O11" i="20" s="1"/>
  <c r="C11" i="15"/>
  <c r="O11" i="18" s="1"/>
  <c r="B11" i="15"/>
  <c r="O11" i="19" s="1"/>
  <c r="A11" i="15"/>
  <c r="L10" i="15"/>
  <c r="O10" i="21" s="1"/>
  <c r="K10" i="15"/>
  <c r="J10" i="15"/>
  <c r="I10" i="15"/>
  <c r="H10" i="15"/>
  <c r="G10" i="15"/>
  <c r="F10" i="15"/>
  <c r="E10" i="15"/>
  <c r="O10" i="1" s="1"/>
  <c r="D10" i="15"/>
  <c r="O10" i="20" s="1"/>
  <c r="C10" i="15"/>
  <c r="O10" i="18" s="1"/>
  <c r="B10" i="15"/>
  <c r="O10" i="19" s="1"/>
  <c r="A10" i="15"/>
  <c r="L9" i="15"/>
  <c r="O9" i="21" s="1"/>
  <c r="K9" i="15"/>
  <c r="J9" i="15"/>
  <c r="I9" i="15"/>
  <c r="H9" i="15"/>
  <c r="G9" i="15"/>
  <c r="F9" i="15"/>
  <c r="E9" i="15"/>
  <c r="O9" i="1" s="1"/>
  <c r="D9" i="15"/>
  <c r="O9" i="20" s="1"/>
  <c r="C9" i="15"/>
  <c r="O9" i="18" s="1"/>
  <c r="B9" i="15"/>
  <c r="O9" i="19" s="1"/>
  <c r="A9" i="15"/>
  <c r="L8" i="15"/>
  <c r="O8" i="21" s="1"/>
  <c r="K8" i="15"/>
  <c r="J8" i="15"/>
  <c r="I8" i="15"/>
  <c r="H8" i="15"/>
  <c r="G8" i="15"/>
  <c r="F8" i="15"/>
  <c r="E8" i="15"/>
  <c r="O8" i="1" s="1"/>
  <c r="D8" i="15"/>
  <c r="O8" i="20" s="1"/>
  <c r="C8" i="15"/>
  <c r="O8" i="18" s="1"/>
  <c r="B8" i="15"/>
  <c r="O8" i="19" s="1"/>
  <c r="A8" i="15"/>
  <c r="L7" i="15"/>
  <c r="O7" i="21" s="1"/>
  <c r="K7" i="15"/>
  <c r="J7" i="15"/>
  <c r="I7" i="15"/>
  <c r="H7" i="15"/>
  <c r="G7" i="15"/>
  <c r="F7" i="15"/>
  <c r="E7" i="15"/>
  <c r="O7" i="1" s="1"/>
  <c r="D7" i="15"/>
  <c r="O7" i="20" s="1"/>
  <c r="C7" i="15"/>
  <c r="O7" i="18" s="1"/>
  <c r="B7" i="15"/>
  <c r="O7" i="19" s="1"/>
  <c r="A7" i="15"/>
  <c r="L6" i="15"/>
  <c r="O6" i="21" s="1"/>
  <c r="K6" i="15"/>
  <c r="J6" i="15"/>
  <c r="I6" i="15"/>
  <c r="H6" i="15"/>
  <c r="G6" i="15"/>
  <c r="F6" i="15"/>
  <c r="E6" i="15"/>
  <c r="O6" i="1" s="1"/>
  <c r="D6" i="15"/>
  <c r="O6" i="20" s="1"/>
  <c r="C6" i="15"/>
  <c r="O6" i="18" s="1"/>
  <c r="B6" i="15"/>
  <c r="O6" i="19" s="1"/>
  <c r="A6" i="15"/>
  <c r="L5" i="15"/>
  <c r="O5" i="21" s="1"/>
  <c r="K5" i="15"/>
  <c r="J5" i="15"/>
  <c r="I5" i="15"/>
  <c r="H5" i="15"/>
  <c r="G5" i="15"/>
  <c r="F5" i="15"/>
  <c r="E5" i="15"/>
  <c r="O5" i="1" s="1"/>
  <c r="D5" i="15"/>
  <c r="O5" i="20" s="1"/>
  <c r="C5" i="15"/>
  <c r="O5" i="18" s="1"/>
  <c r="B5" i="15"/>
  <c r="O5" i="19" s="1"/>
  <c r="A5" i="15"/>
  <c r="L4" i="15"/>
  <c r="O4" i="21" s="1"/>
  <c r="K4" i="15"/>
  <c r="J4" i="15"/>
  <c r="I4" i="15"/>
  <c r="H4" i="15"/>
  <c r="G4" i="15"/>
  <c r="F4" i="15"/>
  <c r="E4" i="15"/>
  <c r="O4" i="1" s="1"/>
  <c r="D4" i="15"/>
  <c r="O4" i="20" s="1"/>
  <c r="C4" i="15"/>
  <c r="O4" i="18" s="1"/>
  <c r="B4" i="15"/>
  <c r="O4" i="19" s="1"/>
  <c r="A4" i="15"/>
  <c r="L3" i="15"/>
  <c r="O3" i="21" s="1"/>
  <c r="K3" i="15"/>
  <c r="J3" i="15"/>
  <c r="I3" i="15"/>
  <c r="H3" i="15"/>
  <c r="G3" i="15"/>
  <c r="F3" i="15"/>
  <c r="E3" i="15"/>
  <c r="O3" i="1" s="1"/>
  <c r="D3" i="15"/>
  <c r="O3" i="20" s="1"/>
  <c r="C3" i="15"/>
  <c r="O3" i="18" s="1"/>
  <c r="B3" i="15"/>
  <c r="O3" i="19" s="1"/>
  <c r="A3" i="15"/>
  <c r="L2" i="15"/>
  <c r="O2" i="21" s="1"/>
  <c r="K2" i="15"/>
  <c r="J2" i="15"/>
  <c r="I2" i="15"/>
  <c r="H2" i="15"/>
  <c r="G2" i="15"/>
  <c r="F2" i="15"/>
  <c r="E2" i="15"/>
  <c r="O2" i="1" s="1"/>
  <c r="D2" i="15"/>
  <c r="O2" i="20" s="1"/>
  <c r="C2" i="15"/>
  <c r="O2" i="18" s="1"/>
  <c r="B2" i="15"/>
  <c r="O2" i="19" s="1"/>
  <c r="A2" i="15"/>
  <c r="L27" i="14"/>
  <c r="N27" i="21" s="1"/>
  <c r="K27" i="14"/>
  <c r="J27" i="14"/>
  <c r="I27" i="14"/>
  <c r="H27" i="14"/>
  <c r="G27" i="14"/>
  <c r="F27" i="14"/>
  <c r="E27" i="14"/>
  <c r="N27" i="1" s="1"/>
  <c r="D27" i="14"/>
  <c r="N27" i="20" s="1"/>
  <c r="C27" i="14"/>
  <c r="N27" i="18" s="1"/>
  <c r="B27" i="14"/>
  <c r="N27" i="19" s="1"/>
  <c r="A27" i="14"/>
  <c r="L26" i="14"/>
  <c r="N26" i="21" s="1"/>
  <c r="K26" i="14"/>
  <c r="J26" i="14"/>
  <c r="I26" i="14"/>
  <c r="H26" i="14"/>
  <c r="G26" i="14"/>
  <c r="F26" i="14"/>
  <c r="E26" i="14"/>
  <c r="N26" i="1" s="1"/>
  <c r="D26" i="14"/>
  <c r="N26" i="20" s="1"/>
  <c r="C26" i="14"/>
  <c r="N26" i="18" s="1"/>
  <c r="B26" i="14"/>
  <c r="N26" i="19" s="1"/>
  <c r="A26" i="14"/>
  <c r="L25" i="14"/>
  <c r="N25" i="21" s="1"/>
  <c r="K25" i="14"/>
  <c r="J25" i="14"/>
  <c r="I25" i="14"/>
  <c r="H25" i="14"/>
  <c r="G25" i="14"/>
  <c r="F25" i="14"/>
  <c r="E25" i="14"/>
  <c r="N25" i="1" s="1"/>
  <c r="D25" i="14"/>
  <c r="N25" i="20" s="1"/>
  <c r="C25" i="14"/>
  <c r="N25" i="18" s="1"/>
  <c r="B25" i="14"/>
  <c r="N25" i="19" s="1"/>
  <c r="A25" i="14"/>
  <c r="L24" i="14"/>
  <c r="N24" i="21" s="1"/>
  <c r="K24" i="14"/>
  <c r="J24" i="14"/>
  <c r="I24" i="14"/>
  <c r="H24" i="14"/>
  <c r="G24" i="14"/>
  <c r="F24" i="14"/>
  <c r="E24" i="14"/>
  <c r="N24" i="1" s="1"/>
  <c r="D24" i="14"/>
  <c r="N24" i="20" s="1"/>
  <c r="C24" i="14"/>
  <c r="N24" i="18" s="1"/>
  <c r="B24" i="14"/>
  <c r="N24" i="19" s="1"/>
  <c r="A24" i="14"/>
  <c r="L23" i="14"/>
  <c r="N23" i="21" s="1"/>
  <c r="K23" i="14"/>
  <c r="J23" i="14"/>
  <c r="I23" i="14"/>
  <c r="H23" i="14"/>
  <c r="G23" i="14"/>
  <c r="F23" i="14"/>
  <c r="E23" i="14"/>
  <c r="N23" i="1" s="1"/>
  <c r="D23" i="14"/>
  <c r="N23" i="20" s="1"/>
  <c r="C23" i="14"/>
  <c r="N23" i="18" s="1"/>
  <c r="B23" i="14"/>
  <c r="N23" i="19" s="1"/>
  <c r="A23" i="14"/>
  <c r="L22" i="14"/>
  <c r="N22" i="21" s="1"/>
  <c r="K22" i="14"/>
  <c r="J22" i="14"/>
  <c r="I22" i="14"/>
  <c r="H22" i="14"/>
  <c r="G22" i="14"/>
  <c r="F22" i="14"/>
  <c r="E22" i="14"/>
  <c r="N22" i="1" s="1"/>
  <c r="D22" i="14"/>
  <c r="N22" i="20" s="1"/>
  <c r="C22" i="14"/>
  <c r="N22" i="18" s="1"/>
  <c r="B22" i="14"/>
  <c r="N22" i="19" s="1"/>
  <c r="A22" i="14"/>
  <c r="L21" i="14"/>
  <c r="N21" i="21" s="1"/>
  <c r="K21" i="14"/>
  <c r="J21" i="14"/>
  <c r="I21" i="14"/>
  <c r="H21" i="14"/>
  <c r="G21" i="14"/>
  <c r="F21" i="14"/>
  <c r="E21" i="14"/>
  <c r="N21" i="1" s="1"/>
  <c r="D21" i="14"/>
  <c r="N21" i="20" s="1"/>
  <c r="C21" i="14"/>
  <c r="N21" i="18" s="1"/>
  <c r="B21" i="14"/>
  <c r="N21" i="19" s="1"/>
  <c r="A21" i="14"/>
  <c r="L20" i="14"/>
  <c r="N20" i="21" s="1"/>
  <c r="K20" i="14"/>
  <c r="J20" i="14"/>
  <c r="I20" i="14"/>
  <c r="H20" i="14"/>
  <c r="G20" i="14"/>
  <c r="F20" i="14"/>
  <c r="E20" i="14"/>
  <c r="N20" i="1" s="1"/>
  <c r="D20" i="14"/>
  <c r="N20" i="20" s="1"/>
  <c r="C20" i="14"/>
  <c r="N20" i="18" s="1"/>
  <c r="B20" i="14"/>
  <c r="N20" i="19" s="1"/>
  <c r="A20" i="14"/>
  <c r="L19" i="14"/>
  <c r="N19" i="21" s="1"/>
  <c r="K19" i="14"/>
  <c r="J19" i="14"/>
  <c r="I19" i="14"/>
  <c r="H19" i="14"/>
  <c r="G19" i="14"/>
  <c r="F19" i="14"/>
  <c r="E19" i="14"/>
  <c r="N19" i="1" s="1"/>
  <c r="D19" i="14"/>
  <c r="N19" i="20" s="1"/>
  <c r="C19" i="14"/>
  <c r="N19" i="18" s="1"/>
  <c r="B19" i="14"/>
  <c r="N19" i="19" s="1"/>
  <c r="A19" i="14"/>
  <c r="L18" i="14"/>
  <c r="N18" i="21" s="1"/>
  <c r="K18" i="14"/>
  <c r="J18" i="14"/>
  <c r="I18" i="14"/>
  <c r="H18" i="14"/>
  <c r="G18" i="14"/>
  <c r="F18" i="14"/>
  <c r="E18" i="14"/>
  <c r="N18" i="1" s="1"/>
  <c r="D18" i="14"/>
  <c r="N18" i="20" s="1"/>
  <c r="C18" i="14"/>
  <c r="N18" i="18" s="1"/>
  <c r="B18" i="14"/>
  <c r="N18" i="19" s="1"/>
  <c r="A18" i="14"/>
  <c r="L17" i="14"/>
  <c r="N17" i="21" s="1"/>
  <c r="K17" i="14"/>
  <c r="J17" i="14"/>
  <c r="I17" i="14"/>
  <c r="H17" i="14"/>
  <c r="G17" i="14"/>
  <c r="F17" i="14"/>
  <c r="E17" i="14"/>
  <c r="N17" i="1" s="1"/>
  <c r="D17" i="14"/>
  <c r="N17" i="20" s="1"/>
  <c r="C17" i="14"/>
  <c r="N17" i="18" s="1"/>
  <c r="B17" i="14"/>
  <c r="N17" i="19" s="1"/>
  <c r="A17" i="14"/>
  <c r="L16" i="14"/>
  <c r="N16" i="21" s="1"/>
  <c r="K16" i="14"/>
  <c r="J16" i="14"/>
  <c r="I16" i="14"/>
  <c r="H16" i="14"/>
  <c r="G16" i="14"/>
  <c r="F16" i="14"/>
  <c r="E16" i="14"/>
  <c r="N16" i="1" s="1"/>
  <c r="D16" i="14"/>
  <c r="N16" i="20" s="1"/>
  <c r="C16" i="14"/>
  <c r="N16" i="18" s="1"/>
  <c r="B16" i="14"/>
  <c r="N16" i="19" s="1"/>
  <c r="A16" i="14"/>
  <c r="L15" i="14"/>
  <c r="N15" i="21" s="1"/>
  <c r="K15" i="14"/>
  <c r="J15" i="14"/>
  <c r="I15" i="14"/>
  <c r="H15" i="14"/>
  <c r="G15" i="14"/>
  <c r="F15" i="14"/>
  <c r="E15" i="14"/>
  <c r="N15" i="1" s="1"/>
  <c r="D15" i="14"/>
  <c r="N15" i="20" s="1"/>
  <c r="C15" i="14"/>
  <c r="N15" i="18" s="1"/>
  <c r="B15" i="14"/>
  <c r="N15" i="19" s="1"/>
  <c r="A15" i="14"/>
  <c r="L14" i="14"/>
  <c r="N14" i="21" s="1"/>
  <c r="K14" i="14"/>
  <c r="J14" i="14"/>
  <c r="I14" i="14"/>
  <c r="H14" i="14"/>
  <c r="G14" i="14"/>
  <c r="F14" i="14"/>
  <c r="E14" i="14"/>
  <c r="N14" i="1" s="1"/>
  <c r="D14" i="14"/>
  <c r="N14" i="20" s="1"/>
  <c r="C14" i="14"/>
  <c r="N14" i="18" s="1"/>
  <c r="B14" i="14"/>
  <c r="N14" i="19" s="1"/>
  <c r="A14" i="14"/>
  <c r="L13" i="14"/>
  <c r="N13" i="21" s="1"/>
  <c r="K13" i="14"/>
  <c r="J13" i="14"/>
  <c r="I13" i="14"/>
  <c r="H13" i="14"/>
  <c r="G13" i="14"/>
  <c r="F13" i="14"/>
  <c r="E13" i="14"/>
  <c r="N13" i="1" s="1"/>
  <c r="D13" i="14"/>
  <c r="N13" i="20" s="1"/>
  <c r="C13" i="14"/>
  <c r="N13" i="18" s="1"/>
  <c r="B13" i="14"/>
  <c r="N13" i="19" s="1"/>
  <c r="A13" i="14"/>
  <c r="L12" i="14"/>
  <c r="N12" i="21" s="1"/>
  <c r="K12" i="14"/>
  <c r="J12" i="14"/>
  <c r="I12" i="14"/>
  <c r="H12" i="14"/>
  <c r="G12" i="14"/>
  <c r="F12" i="14"/>
  <c r="E12" i="14"/>
  <c r="N12" i="1" s="1"/>
  <c r="D12" i="14"/>
  <c r="N12" i="20" s="1"/>
  <c r="C12" i="14"/>
  <c r="N12" i="18" s="1"/>
  <c r="B12" i="14"/>
  <c r="N12" i="19" s="1"/>
  <c r="A12" i="14"/>
  <c r="L11" i="14"/>
  <c r="N11" i="21" s="1"/>
  <c r="K11" i="14"/>
  <c r="J11" i="14"/>
  <c r="I11" i="14"/>
  <c r="H11" i="14"/>
  <c r="G11" i="14"/>
  <c r="F11" i="14"/>
  <c r="E11" i="14"/>
  <c r="N11" i="1" s="1"/>
  <c r="D11" i="14"/>
  <c r="N11" i="20" s="1"/>
  <c r="C11" i="14"/>
  <c r="N11" i="18" s="1"/>
  <c r="B11" i="14"/>
  <c r="N11" i="19" s="1"/>
  <c r="A11" i="14"/>
  <c r="L10" i="14"/>
  <c r="N10" i="21" s="1"/>
  <c r="K10" i="14"/>
  <c r="J10" i="14"/>
  <c r="I10" i="14"/>
  <c r="H10" i="14"/>
  <c r="G10" i="14"/>
  <c r="F10" i="14"/>
  <c r="E10" i="14"/>
  <c r="N10" i="1" s="1"/>
  <c r="D10" i="14"/>
  <c r="N10" i="20" s="1"/>
  <c r="C10" i="14"/>
  <c r="N10" i="18" s="1"/>
  <c r="B10" i="14"/>
  <c r="N10" i="19" s="1"/>
  <c r="A10" i="14"/>
  <c r="L9" i="14"/>
  <c r="N9" i="21" s="1"/>
  <c r="K9" i="14"/>
  <c r="J9" i="14"/>
  <c r="I9" i="14"/>
  <c r="H9" i="14"/>
  <c r="G9" i="14"/>
  <c r="F9" i="14"/>
  <c r="E9" i="14"/>
  <c r="N9" i="1" s="1"/>
  <c r="D9" i="14"/>
  <c r="N9" i="20" s="1"/>
  <c r="C9" i="14"/>
  <c r="N9" i="18" s="1"/>
  <c r="B9" i="14"/>
  <c r="N9" i="19" s="1"/>
  <c r="A9" i="14"/>
  <c r="L8" i="14"/>
  <c r="N8" i="21" s="1"/>
  <c r="K8" i="14"/>
  <c r="J8" i="14"/>
  <c r="I8" i="14"/>
  <c r="H8" i="14"/>
  <c r="G8" i="14"/>
  <c r="F8" i="14"/>
  <c r="E8" i="14"/>
  <c r="N8" i="1" s="1"/>
  <c r="D8" i="14"/>
  <c r="N8" i="20" s="1"/>
  <c r="C8" i="14"/>
  <c r="N8" i="18" s="1"/>
  <c r="B8" i="14"/>
  <c r="N8" i="19" s="1"/>
  <c r="A8" i="14"/>
  <c r="L7" i="14"/>
  <c r="N7" i="21" s="1"/>
  <c r="K7" i="14"/>
  <c r="J7" i="14"/>
  <c r="I7" i="14"/>
  <c r="H7" i="14"/>
  <c r="G7" i="14"/>
  <c r="F7" i="14"/>
  <c r="E7" i="14"/>
  <c r="N7" i="1" s="1"/>
  <c r="D7" i="14"/>
  <c r="N7" i="20" s="1"/>
  <c r="C7" i="14"/>
  <c r="N7" i="18" s="1"/>
  <c r="B7" i="14"/>
  <c r="N7" i="19" s="1"/>
  <c r="A7" i="14"/>
  <c r="L6" i="14"/>
  <c r="N6" i="21" s="1"/>
  <c r="K6" i="14"/>
  <c r="J6" i="14"/>
  <c r="I6" i="14"/>
  <c r="H6" i="14"/>
  <c r="G6" i="14"/>
  <c r="F6" i="14"/>
  <c r="E6" i="14"/>
  <c r="N6" i="1" s="1"/>
  <c r="D6" i="14"/>
  <c r="N6" i="20" s="1"/>
  <c r="C6" i="14"/>
  <c r="N6" i="18" s="1"/>
  <c r="B6" i="14"/>
  <c r="N6" i="19" s="1"/>
  <c r="A6" i="14"/>
  <c r="L5" i="14"/>
  <c r="N5" i="21" s="1"/>
  <c r="K5" i="14"/>
  <c r="J5" i="14"/>
  <c r="I5" i="14"/>
  <c r="H5" i="14"/>
  <c r="G5" i="14"/>
  <c r="F5" i="14"/>
  <c r="E5" i="14"/>
  <c r="N5" i="1" s="1"/>
  <c r="D5" i="14"/>
  <c r="N5" i="20" s="1"/>
  <c r="C5" i="14"/>
  <c r="N5" i="18" s="1"/>
  <c r="B5" i="14"/>
  <c r="N5" i="19" s="1"/>
  <c r="A5" i="14"/>
  <c r="L4" i="14"/>
  <c r="N4" i="21" s="1"/>
  <c r="K4" i="14"/>
  <c r="J4" i="14"/>
  <c r="I4" i="14"/>
  <c r="H4" i="14"/>
  <c r="G4" i="14"/>
  <c r="F4" i="14"/>
  <c r="E4" i="14"/>
  <c r="N4" i="1" s="1"/>
  <c r="D4" i="14"/>
  <c r="N4" i="20" s="1"/>
  <c r="C4" i="14"/>
  <c r="N4" i="18" s="1"/>
  <c r="B4" i="14"/>
  <c r="N4" i="19" s="1"/>
  <c r="A4" i="14"/>
  <c r="L3" i="14"/>
  <c r="N3" i="21" s="1"/>
  <c r="K3" i="14"/>
  <c r="J3" i="14"/>
  <c r="I3" i="14"/>
  <c r="H3" i="14"/>
  <c r="G3" i="14"/>
  <c r="F3" i="14"/>
  <c r="E3" i="14"/>
  <c r="N3" i="1" s="1"/>
  <c r="D3" i="14"/>
  <c r="N3" i="20" s="1"/>
  <c r="C3" i="14"/>
  <c r="N3" i="18" s="1"/>
  <c r="B3" i="14"/>
  <c r="N3" i="19" s="1"/>
  <c r="A3" i="14"/>
  <c r="L2" i="14"/>
  <c r="N2" i="21" s="1"/>
  <c r="K2" i="14"/>
  <c r="J2" i="14"/>
  <c r="I2" i="14"/>
  <c r="H2" i="14"/>
  <c r="G2" i="14"/>
  <c r="F2" i="14"/>
  <c r="E2" i="14"/>
  <c r="N2" i="1" s="1"/>
  <c r="D2" i="14"/>
  <c r="N2" i="20" s="1"/>
  <c r="C2" i="14"/>
  <c r="N2" i="18" s="1"/>
  <c r="B2" i="14"/>
  <c r="N2" i="19" s="1"/>
  <c r="A2" i="14"/>
  <c r="L27" i="13"/>
  <c r="M27" i="21" s="1"/>
  <c r="K27" i="13"/>
  <c r="J27" i="13"/>
  <c r="I27" i="13"/>
  <c r="H27" i="13"/>
  <c r="G27" i="13"/>
  <c r="F27" i="13"/>
  <c r="E27" i="13"/>
  <c r="M27" i="1" s="1"/>
  <c r="D27" i="13"/>
  <c r="M27" i="20" s="1"/>
  <c r="C27" i="13"/>
  <c r="M27" i="18" s="1"/>
  <c r="B27" i="13"/>
  <c r="M27" i="19" s="1"/>
  <c r="A27" i="13"/>
  <c r="L26" i="13"/>
  <c r="M26" i="21" s="1"/>
  <c r="K26" i="13"/>
  <c r="J26" i="13"/>
  <c r="I26" i="13"/>
  <c r="H26" i="13"/>
  <c r="G26" i="13"/>
  <c r="F26" i="13"/>
  <c r="E26" i="13"/>
  <c r="M26" i="1" s="1"/>
  <c r="D26" i="13"/>
  <c r="M26" i="20" s="1"/>
  <c r="C26" i="13"/>
  <c r="M26" i="18" s="1"/>
  <c r="B26" i="13"/>
  <c r="M26" i="19" s="1"/>
  <c r="A26" i="13"/>
  <c r="L25" i="13"/>
  <c r="M25" i="21" s="1"/>
  <c r="K25" i="13"/>
  <c r="J25" i="13"/>
  <c r="I25" i="13"/>
  <c r="H25" i="13"/>
  <c r="G25" i="13"/>
  <c r="F25" i="13"/>
  <c r="E25" i="13"/>
  <c r="M25" i="1" s="1"/>
  <c r="D25" i="13"/>
  <c r="M25" i="20" s="1"/>
  <c r="C25" i="13"/>
  <c r="M25" i="18" s="1"/>
  <c r="B25" i="13"/>
  <c r="M25" i="19" s="1"/>
  <c r="A25" i="13"/>
  <c r="L24" i="13"/>
  <c r="M24" i="21" s="1"/>
  <c r="K24" i="13"/>
  <c r="J24" i="13"/>
  <c r="I24" i="13"/>
  <c r="H24" i="13"/>
  <c r="G24" i="13"/>
  <c r="F24" i="13"/>
  <c r="E24" i="13"/>
  <c r="M24" i="1" s="1"/>
  <c r="D24" i="13"/>
  <c r="M24" i="20" s="1"/>
  <c r="C24" i="13"/>
  <c r="M24" i="18" s="1"/>
  <c r="B24" i="13"/>
  <c r="M24" i="19" s="1"/>
  <c r="A24" i="13"/>
  <c r="L23" i="13"/>
  <c r="M23" i="21" s="1"/>
  <c r="K23" i="13"/>
  <c r="J23" i="13"/>
  <c r="I23" i="13"/>
  <c r="H23" i="13"/>
  <c r="G23" i="13"/>
  <c r="F23" i="13"/>
  <c r="E23" i="13"/>
  <c r="M23" i="1" s="1"/>
  <c r="D23" i="13"/>
  <c r="M23" i="20" s="1"/>
  <c r="C23" i="13"/>
  <c r="M23" i="18" s="1"/>
  <c r="B23" i="13"/>
  <c r="M23" i="19" s="1"/>
  <c r="A23" i="13"/>
  <c r="L22" i="13"/>
  <c r="M22" i="21" s="1"/>
  <c r="K22" i="13"/>
  <c r="J22" i="13"/>
  <c r="I22" i="13"/>
  <c r="H22" i="13"/>
  <c r="G22" i="13"/>
  <c r="F22" i="13"/>
  <c r="E22" i="13"/>
  <c r="M22" i="1" s="1"/>
  <c r="D22" i="13"/>
  <c r="M22" i="20" s="1"/>
  <c r="C22" i="13"/>
  <c r="M22" i="18" s="1"/>
  <c r="B22" i="13"/>
  <c r="M22" i="19" s="1"/>
  <c r="A22" i="13"/>
  <c r="L21" i="13"/>
  <c r="M21" i="21" s="1"/>
  <c r="K21" i="13"/>
  <c r="J21" i="13"/>
  <c r="I21" i="13"/>
  <c r="H21" i="13"/>
  <c r="G21" i="13"/>
  <c r="F21" i="13"/>
  <c r="E21" i="13"/>
  <c r="M21" i="1" s="1"/>
  <c r="D21" i="13"/>
  <c r="M21" i="20" s="1"/>
  <c r="C21" i="13"/>
  <c r="M21" i="18" s="1"/>
  <c r="B21" i="13"/>
  <c r="M21" i="19" s="1"/>
  <c r="A21" i="13"/>
  <c r="L20" i="13"/>
  <c r="M20" i="21" s="1"/>
  <c r="K20" i="13"/>
  <c r="J20" i="13"/>
  <c r="I20" i="13"/>
  <c r="H20" i="13"/>
  <c r="G20" i="13"/>
  <c r="F20" i="13"/>
  <c r="E20" i="13"/>
  <c r="M20" i="1" s="1"/>
  <c r="D20" i="13"/>
  <c r="M20" i="20" s="1"/>
  <c r="C20" i="13"/>
  <c r="M20" i="18" s="1"/>
  <c r="B20" i="13"/>
  <c r="M20" i="19" s="1"/>
  <c r="A20" i="13"/>
  <c r="L19" i="13"/>
  <c r="M19" i="21" s="1"/>
  <c r="K19" i="13"/>
  <c r="J19" i="13"/>
  <c r="I19" i="13"/>
  <c r="H19" i="13"/>
  <c r="G19" i="13"/>
  <c r="F19" i="13"/>
  <c r="E19" i="13"/>
  <c r="M19" i="1" s="1"/>
  <c r="D19" i="13"/>
  <c r="M19" i="20" s="1"/>
  <c r="C19" i="13"/>
  <c r="M19" i="18" s="1"/>
  <c r="B19" i="13"/>
  <c r="M19" i="19" s="1"/>
  <c r="A19" i="13"/>
  <c r="L18" i="13"/>
  <c r="M18" i="21" s="1"/>
  <c r="K18" i="13"/>
  <c r="J18" i="13"/>
  <c r="I18" i="13"/>
  <c r="H18" i="13"/>
  <c r="G18" i="13"/>
  <c r="F18" i="13"/>
  <c r="E18" i="13"/>
  <c r="M18" i="1" s="1"/>
  <c r="D18" i="13"/>
  <c r="M18" i="20" s="1"/>
  <c r="C18" i="13"/>
  <c r="M18" i="18" s="1"/>
  <c r="B18" i="13"/>
  <c r="M18" i="19" s="1"/>
  <c r="A18" i="13"/>
  <c r="L17" i="13"/>
  <c r="M17" i="21" s="1"/>
  <c r="K17" i="13"/>
  <c r="J17" i="13"/>
  <c r="I17" i="13"/>
  <c r="H17" i="13"/>
  <c r="G17" i="13"/>
  <c r="F17" i="13"/>
  <c r="E17" i="13"/>
  <c r="M17" i="1" s="1"/>
  <c r="D17" i="13"/>
  <c r="M17" i="20" s="1"/>
  <c r="C17" i="13"/>
  <c r="M17" i="18" s="1"/>
  <c r="B17" i="13"/>
  <c r="M17" i="19" s="1"/>
  <c r="A17" i="13"/>
  <c r="L16" i="13"/>
  <c r="M16" i="21" s="1"/>
  <c r="K16" i="13"/>
  <c r="J16" i="13"/>
  <c r="I16" i="13"/>
  <c r="H16" i="13"/>
  <c r="G16" i="13"/>
  <c r="F16" i="13"/>
  <c r="E16" i="13"/>
  <c r="M16" i="1" s="1"/>
  <c r="D16" i="13"/>
  <c r="M16" i="20" s="1"/>
  <c r="C16" i="13"/>
  <c r="M16" i="18" s="1"/>
  <c r="B16" i="13"/>
  <c r="M16" i="19" s="1"/>
  <c r="A16" i="13"/>
  <c r="L15" i="13"/>
  <c r="M15" i="21" s="1"/>
  <c r="K15" i="13"/>
  <c r="J15" i="13"/>
  <c r="I15" i="13"/>
  <c r="H15" i="13"/>
  <c r="G15" i="13"/>
  <c r="F15" i="13"/>
  <c r="E15" i="13"/>
  <c r="M15" i="1" s="1"/>
  <c r="D15" i="13"/>
  <c r="M15" i="20" s="1"/>
  <c r="C15" i="13"/>
  <c r="M15" i="18" s="1"/>
  <c r="B15" i="13"/>
  <c r="M15" i="19" s="1"/>
  <c r="A15" i="13"/>
  <c r="L14" i="13"/>
  <c r="M14" i="21" s="1"/>
  <c r="K14" i="13"/>
  <c r="J14" i="13"/>
  <c r="I14" i="13"/>
  <c r="H14" i="13"/>
  <c r="G14" i="13"/>
  <c r="F14" i="13"/>
  <c r="E14" i="13"/>
  <c r="M14" i="1" s="1"/>
  <c r="D14" i="13"/>
  <c r="M14" i="20" s="1"/>
  <c r="C14" i="13"/>
  <c r="M14" i="18" s="1"/>
  <c r="B14" i="13"/>
  <c r="M14" i="19" s="1"/>
  <c r="A14" i="13"/>
  <c r="L13" i="13"/>
  <c r="M13" i="21" s="1"/>
  <c r="K13" i="13"/>
  <c r="J13" i="13"/>
  <c r="I13" i="13"/>
  <c r="H13" i="13"/>
  <c r="G13" i="13"/>
  <c r="F13" i="13"/>
  <c r="E13" i="13"/>
  <c r="M13" i="1" s="1"/>
  <c r="D13" i="13"/>
  <c r="M13" i="20" s="1"/>
  <c r="C13" i="13"/>
  <c r="M13" i="18" s="1"/>
  <c r="B13" i="13"/>
  <c r="M13" i="19" s="1"/>
  <c r="A13" i="13"/>
  <c r="L12" i="13"/>
  <c r="M12" i="21" s="1"/>
  <c r="K12" i="13"/>
  <c r="J12" i="13"/>
  <c r="I12" i="13"/>
  <c r="H12" i="13"/>
  <c r="G12" i="13"/>
  <c r="F12" i="13"/>
  <c r="E12" i="13"/>
  <c r="M12" i="1" s="1"/>
  <c r="D12" i="13"/>
  <c r="M12" i="20" s="1"/>
  <c r="C12" i="13"/>
  <c r="M12" i="18" s="1"/>
  <c r="B12" i="13"/>
  <c r="M12" i="19" s="1"/>
  <c r="A12" i="13"/>
  <c r="L11" i="13"/>
  <c r="M11" i="21" s="1"/>
  <c r="K11" i="13"/>
  <c r="J11" i="13"/>
  <c r="I11" i="13"/>
  <c r="H11" i="13"/>
  <c r="G11" i="13"/>
  <c r="F11" i="13"/>
  <c r="E11" i="13"/>
  <c r="M11" i="1" s="1"/>
  <c r="D11" i="13"/>
  <c r="M11" i="20" s="1"/>
  <c r="C11" i="13"/>
  <c r="M11" i="18" s="1"/>
  <c r="B11" i="13"/>
  <c r="M11" i="19" s="1"/>
  <c r="A11" i="13"/>
  <c r="L10" i="13"/>
  <c r="M10" i="21" s="1"/>
  <c r="K10" i="13"/>
  <c r="J10" i="13"/>
  <c r="I10" i="13"/>
  <c r="H10" i="13"/>
  <c r="G10" i="13"/>
  <c r="F10" i="13"/>
  <c r="E10" i="13"/>
  <c r="M10" i="1" s="1"/>
  <c r="D10" i="13"/>
  <c r="M10" i="20" s="1"/>
  <c r="C10" i="13"/>
  <c r="M10" i="18" s="1"/>
  <c r="B10" i="13"/>
  <c r="M10" i="19" s="1"/>
  <c r="A10" i="13"/>
  <c r="L9" i="13"/>
  <c r="M9" i="21" s="1"/>
  <c r="K9" i="13"/>
  <c r="J9" i="13"/>
  <c r="I9" i="13"/>
  <c r="H9" i="13"/>
  <c r="G9" i="13"/>
  <c r="F9" i="13"/>
  <c r="E9" i="13"/>
  <c r="M9" i="1" s="1"/>
  <c r="D9" i="13"/>
  <c r="M9" i="20" s="1"/>
  <c r="C9" i="13"/>
  <c r="M9" i="18" s="1"/>
  <c r="B9" i="13"/>
  <c r="M9" i="19" s="1"/>
  <c r="A9" i="13"/>
  <c r="L8" i="13"/>
  <c r="M8" i="21" s="1"/>
  <c r="K8" i="13"/>
  <c r="J8" i="13"/>
  <c r="I8" i="13"/>
  <c r="H8" i="13"/>
  <c r="G8" i="13"/>
  <c r="F8" i="13"/>
  <c r="E8" i="13"/>
  <c r="M8" i="1" s="1"/>
  <c r="D8" i="13"/>
  <c r="M8" i="20" s="1"/>
  <c r="C8" i="13"/>
  <c r="M8" i="18" s="1"/>
  <c r="B8" i="13"/>
  <c r="M8" i="19" s="1"/>
  <c r="A8" i="13"/>
  <c r="L7" i="13"/>
  <c r="M7" i="21" s="1"/>
  <c r="K7" i="13"/>
  <c r="J7" i="13"/>
  <c r="I7" i="13"/>
  <c r="H7" i="13"/>
  <c r="G7" i="13"/>
  <c r="F7" i="13"/>
  <c r="E7" i="13"/>
  <c r="M7" i="1" s="1"/>
  <c r="D7" i="13"/>
  <c r="M7" i="20" s="1"/>
  <c r="C7" i="13"/>
  <c r="M7" i="18" s="1"/>
  <c r="B7" i="13"/>
  <c r="M7" i="19" s="1"/>
  <c r="A7" i="13"/>
  <c r="L6" i="13"/>
  <c r="M6" i="21" s="1"/>
  <c r="K6" i="13"/>
  <c r="J6" i="13"/>
  <c r="I6" i="13"/>
  <c r="H6" i="13"/>
  <c r="G6" i="13"/>
  <c r="F6" i="13"/>
  <c r="E6" i="13"/>
  <c r="M6" i="1" s="1"/>
  <c r="D6" i="13"/>
  <c r="M6" i="20" s="1"/>
  <c r="C6" i="13"/>
  <c r="M6" i="18" s="1"/>
  <c r="B6" i="13"/>
  <c r="M6" i="19" s="1"/>
  <c r="A6" i="13"/>
  <c r="L5" i="13"/>
  <c r="M5" i="21" s="1"/>
  <c r="K5" i="13"/>
  <c r="J5" i="13"/>
  <c r="I5" i="13"/>
  <c r="H5" i="13"/>
  <c r="G5" i="13"/>
  <c r="F5" i="13"/>
  <c r="E5" i="13"/>
  <c r="M5" i="1" s="1"/>
  <c r="D5" i="13"/>
  <c r="M5" i="20" s="1"/>
  <c r="C5" i="13"/>
  <c r="M5" i="18" s="1"/>
  <c r="B5" i="13"/>
  <c r="M5" i="19" s="1"/>
  <c r="A5" i="13"/>
  <c r="L4" i="13"/>
  <c r="M4" i="21" s="1"/>
  <c r="K4" i="13"/>
  <c r="J4" i="13"/>
  <c r="I4" i="13"/>
  <c r="H4" i="13"/>
  <c r="G4" i="13"/>
  <c r="F4" i="13"/>
  <c r="E4" i="13"/>
  <c r="M4" i="1" s="1"/>
  <c r="D4" i="13"/>
  <c r="M4" i="20" s="1"/>
  <c r="C4" i="13"/>
  <c r="M4" i="18" s="1"/>
  <c r="B4" i="13"/>
  <c r="M4" i="19" s="1"/>
  <c r="A4" i="13"/>
  <c r="L3" i="13"/>
  <c r="M3" i="21" s="1"/>
  <c r="K3" i="13"/>
  <c r="J3" i="13"/>
  <c r="I3" i="13"/>
  <c r="H3" i="13"/>
  <c r="G3" i="13"/>
  <c r="F3" i="13"/>
  <c r="E3" i="13"/>
  <c r="M3" i="1" s="1"/>
  <c r="D3" i="13"/>
  <c r="M3" i="20" s="1"/>
  <c r="C3" i="13"/>
  <c r="M3" i="18" s="1"/>
  <c r="B3" i="13"/>
  <c r="M3" i="19" s="1"/>
  <c r="A3" i="13"/>
  <c r="L2" i="13"/>
  <c r="M2" i="21" s="1"/>
  <c r="K2" i="13"/>
  <c r="J2" i="13"/>
  <c r="I2" i="13"/>
  <c r="H2" i="13"/>
  <c r="G2" i="13"/>
  <c r="F2" i="13"/>
  <c r="E2" i="13"/>
  <c r="M2" i="1" s="1"/>
  <c r="D2" i="13"/>
  <c r="M2" i="20" s="1"/>
  <c r="C2" i="13"/>
  <c r="M2" i="18" s="1"/>
  <c r="B2" i="13"/>
  <c r="M2" i="19" s="1"/>
  <c r="A2" i="13"/>
  <c r="L27" i="12"/>
  <c r="L27" i="21" s="1"/>
  <c r="K27" i="12"/>
  <c r="J27" i="12"/>
  <c r="I27" i="12"/>
  <c r="H27" i="12"/>
  <c r="G27" i="12"/>
  <c r="F27" i="12"/>
  <c r="E27" i="12"/>
  <c r="L27" i="1" s="1"/>
  <c r="D27" i="12"/>
  <c r="L27" i="20" s="1"/>
  <c r="C27" i="12"/>
  <c r="L27" i="18" s="1"/>
  <c r="B27" i="12"/>
  <c r="L27" i="19" s="1"/>
  <c r="A27" i="12"/>
  <c r="L26" i="12"/>
  <c r="L26" i="21" s="1"/>
  <c r="K26" i="12"/>
  <c r="J26" i="12"/>
  <c r="I26" i="12"/>
  <c r="H26" i="12"/>
  <c r="G26" i="12"/>
  <c r="F26" i="12"/>
  <c r="E26" i="12"/>
  <c r="L26" i="1" s="1"/>
  <c r="D26" i="12"/>
  <c r="L26" i="20" s="1"/>
  <c r="C26" i="12"/>
  <c r="L26" i="18" s="1"/>
  <c r="B26" i="12"/>
  <c r="L26" i="19" s="1"/>
  <c r="A26" i="12"/>
  <c r="L25" i="12"/>
  <c r="L25" i="21" s="1"/>
  <c r="K25" i="12"/>
  <c r="J25" i="12"/>
  <c r="I25" i="12"/>
  <c r="H25" i="12"/>
  <c r="G25" i="12"/>
  <c r="F25" i="12"/>
  <c r="E25" i="12"/>
  <c r="L25" i="1" s="1"/>
  <c r="D25" i="12"/>
  <c r="L25" i="20" s="1"/>
  <c r="C25" i="12"/>
  <c r="L25" i="18" s="1"/>
  <c r="B25" i="12"/>
  <c r="L25" i="19" s="1"/>
  <c r="A25" i="12"/>
  <c r="L24" i="12"/>
  <c r="L24" i="21" s="1"/>
  <c r="K24" i="12"/>
  <c r="J24" i="12"/>
  <c r="I24" i="12"/>
  <c r="H24" i="12"/>
  <c r="G24" i="12"/>
  <c r="F24" i="12"/>
  <c r="E24" i="12"/>
  <c r="L24" i="1" s="1"/>
  <c r="D24" i="12"/>
  <c r="L24" i="20" s="1"/>
  <c r="C24" i="12"/>
  <c r="L24" i="18" s="1"/>
  <c r="B24" i="12"/>
  <c r="L24" i="19" s="1"/>
  <c r="A24" i="12"/>
  <c r="L23" i="12"/>
  <c r="L23" i="21" s="1"/>
  <c r="K23" i="12"/>
  <c r="J23" i="12"/>
  <c r="I23" i="12"/>
  <c r="H23" i="12"/>
  <c r="G23" i="12"/>
  <c r="F23" i="12"/>
  <c r="E23" i="12"/>
  <c r="L23" i="1" s="1"/>
  <c r="D23" i="12"/>
  <c r="L23" i="20" s="1"/>
  <c r="C23" i="12"/>
  <c r="L23" i="18" s="1"/>
  <c r="B23" i="12"/>
  <c r="L23" i="19" s="1"/>
  <c r="A23" i="12"/>
  <c r="L22" i="12"/>
  <c r="L22" i="21" s="1"/>
  <c r="K22" i="12"/>
  <c r="J22" i="12"/>
  <c r="I22" i="12"/>
  <c r="H22" i="12"/>
  <c r="G22" i="12"/>
  <c r="F22" i="12"/>
  <c r="E22" i="12"/>
  <c r="L22" i="1" s="1"/>
  <c r="D22" i="12"/>
  <c r="L22" i="20" s="1"/>
  <c r="C22" i="12"/>
  <c r="L22" i="18" s="1"/>
  <c r="B22" i="12"/>
  <c r="L22" i="19" s="1"/>
  <c r="A22" i="12"/>
  <c r="L21" i="12"/>
  <c r="L21" i="21" s="1"/>
  <c r="K21" i="12"/>
  <c r="J21" i="12"/>
  <c r="I21" i="12"/>
  <c r="H21" i="12"/>
  <c r="G21" i="12"/>
  <c r="F21" i="12"/>
  <c r="E21" i="12"/>
  <c r="L21" i="1" s="1"/>
  <c r="D21" i="12"/>
  <c r="L21" i="20" s="1"/>
  <c r="C21" i="12"/>
  <c r="L21" i="18" s="1"/>
  <c r="B21" i="12"/>
  <c r="L21" i="19" s="1"/>
  <c r="A21" i="12"/>
  <c r="L20" i="12"/>
  <c r="L20" i="21" s="1"/>
  <c r="K20" i="12"/>
  <c r="J20" i="12"/>
  <c r="I20" i="12"/>
  <c r="H20" i="12"/>
  <c r="G20" i="12"/>
  <c r="F20" i="12"/>
  <c r="E20" i="12"/>
  <c r="L20" i="1" s="1"/>
  <c r="D20" i="12"/>
  <c r="L20" i="20" s="1"/>
  <c r="C20" i="12"/>
  <c r="L20" i="18" s="1"/>
  <c r="B20" i="12"/>
  <c r="L20" i="19" s="1"/>
  <c r="A20" i="12"/>
  <c r="L19" i="12"/>
  <c r="L19" i="21" s="1"/>
  <c r="K19" i="12"/>
  <c r="J19" i="12"/>
  <c r="I19" i="12"/>
  <c r="H19" i="12"/>
  <c r="G19" i="12"/>
  <c r="F19" i="12"/>
  <c r="E19" i="12"/>
  <c r="L19" i="1" s="1"/>
  <c r="D19" i="12"/>
  <c r="L19" i="20" s="1"/>
  <c r="C19" i="12"/>
  <c r="L19" i="18" s="1"/>
  <c r="B19" i="12"/>
  <c r="L19" i="19" s="1"/>
  <c r="A19" i="12"/>
  <c r="L18" i="12"/>
  <c r="L18" i="21" s="1"/>
  <c r="K18" i="12"/>
  <c r="J18" i="12"/>
  <c r="I18" i="12"/>
  <c r="H18" i="12"/>
  <c r="G18" i="12"/>
  <c r="F18" i="12"/>
  <c r="E18" i="12"/>
  <c r="L18" i="1" s="1"/>
  <c r="D18" i="12"/>
  <c r="L18" i="20" s="1"/>
  <c r="C18" i="12"/>
  <c r="L18" i="18" s="1"/>
  <c r="B18" i="12"/>
  <c r="L18" i="19" s="1"/>
  <c r="A18" i="12"/>
  <c r="L17" i="12"/>
  <c r="L17" i="21" s="1"/>
  <c r="K17" i="12"/>
  <c r="J17" i="12"/>
  <c r="I17" i="12"/>
  <c r="H17" i="12"/>
  <c r="G17" i="12"/>
  <c r="F17" i="12"/>
  <c r="E17" i="12"/>
  <c r="L17" i="1" s="1"/>
  <c r="D17" i="12"/>
  <c r="L17" i="20" s="1"/>
  <c r="C17" i="12"/>
  <c r="L17" i="18" s="1"/>
  <c r="B17" i="12"/>
  <c r="L17" i="19" s="1"/>
  <c r="A17" i="12"/>
  <c r="L16" i="12"/>
  <c r="L16" i="21" s="1"/>
  <c r="K16" i="12"/>
  <c r="J16" i="12"/>
  <c r="I16" i="12"/>
  <c r="H16" i="12"/>
  <c r="G16" i="12"/>
  <c r="F16" i="12"/>
  <c r="E16" i="12"/>
  <c r="L16" i="1" s="1"/>
  <c r="D16" i="12"/>
  <c r="L16" i="20" s="1"/>
  <c r="C16" i="12"/>
  <c r="L16" i="18" s="1"/>
  <c r="B16" i="12"/>
  <c r="L16" i="19" s="1"/>
  <c r="A16" i="12"/>
  <c r="L15" i="12"/>
  <c r="L15" i="21" s="1"/>
  <c r="K15" i="12"/>
  <c r="J15" i="12"/>
  <c r="I15" i="12"/>
  <c r="H15" i="12"/>
  <c r="G15" i="12"/>
  <c r="F15" i="12"/>
  <c r="E15" i="12"/>
  <c r="L15" i="1" s="1"/>
  <c r="D15" i="12"/>
  <c r="L15" i="20" s="1"/>
  <c r="C15" i="12"/>
  <c r="L15" i="18" s="1"/>
  <c r="B15" i="12"/>
  <c r="L15" i="19" s="1"/>
  <c r="A15" i="12"/>
  <c r="L14" i="12"/>
  <c r="L14" i="21" s="1"/>
  <c r="K14" i="12"/>
  <c r="J14" i="12"/>
  <c r="I14" i="12"/>
  <c r="H14" i="12"/>
  <c r="G14" i="12"/>
  <c r="F14" i="12"/>
  <c r="E14" i="12"/>
  <c r="L14" i="1" s="1"/>
  <c r="D14" i="12"/>
  <c r="L14" i="20" s="1"/>
  <c r="C14" i="12"/>
  <c r="L14" i="18" s="1"/>
  <c r="B14" i="12"/>
  <c r="L14" i="19" s="1"/>
  <c r="A14" i="12"/>
  <c r="L13" i="12"/>
  <c r="L13" i="21" s="1"/>
  <c r="K13" i="12"/>
  <c r="J13" i="12"/>
  <c r="I13" i="12"/>
  <c r="H13" i="12"/>
  <c r="G13" i="12"/>
  <c r="F13" i="12"/>
  <c r="E13" i="12"/>
  <c r="L13" i="1" s="1"/>
  <c r="D13" i="12"/>
  <c r="L13" i="20" s="1"/>
  <c r="C13" i="12"/>
  <c r="L13" i="18" s="1"/>
  <c r="B13" i="12"/>
  <c r="L13" i="19" s="1"/>
  <c r="A13" i="12"/>
  <c r="L12" i="12"/>
  <c r="L12" i="21" s="1"/>
  <c r="K12" i="12"/>
  <c r="J12" i="12"/>
  <c r="I12" i="12"/>
  <c r="H12" i="12"/>
  <c r="G12" i="12"/>
  <c r="F12" i="12"/>
  <c r="E12" i="12"/>
  <c r="L12" i="1" s="1"/>
  <c r="D12" i="12"/>
  <c r="L12" i="20" s="1"/>
  <c r="C12" i="12"/>
  <c r="L12" i="18" s="1"/>
  <c r="B12" i="12"/>
  <c r="L12" i="19" s="1"/>
  <c r="A12" i="12"/>
  <c r="L11" i="12"/>
  <c r="L11" i="21" s="1"/>
  <c r="K11" i="12"/>
  <c r="J11" i="12"/>
  <c r="I11" i="12"/>
  <c r="H11" i="12"/>
  <c r="G11" i="12"/>
  <c r="F11" i="12"/>
  <c r="E11" i="12"/>
  <c r="L11" i="1" s="1"/>
  <c r="D11" i="12"/>
  <c r="L11" i="20" s="1"/>
  <c r="C11" i="12"/>
  <c r="L11" i="18" s="1"/>
  <c r="B11" i="12"/>
  <c r="L11" i="19" s="1"/>
  <c r="A11" i="12"/>
  <c r="L10" i="12"/>
  <c r="L10" i="21" s="1"/>
  <c r="K10" i="12"/>
  <c r="J10" i="12"/>
  <c r="I10" i="12"/>
  <c r="H10" i="12"/>
  <c r="G10" i="12"/>
  <c r="F10" i="12"/>
  <c r="E10" i="12"/>
  <c r="L10" i="1" s="1"/>
  <c r="D10" i="12"/>
  <c r="L10" i="20" s="1"/>
  <c r="C10" i="12"/>
  <c r="L10" i="18" s="1"/>
  <c r="B10" i="12"/>
  <c r="L10" i="19" s="1"/>
  <c r="A10" i="12"/>
  <c r="L9" i="12"/>
  <c r="L9" i="21" s="1"/>
  <c r="K9" i="12"/>
  <c r="J9" i="12"/>
  <c r="I9" i="12"/>
  <c r="H9" i="12"/>
  <c r="G9" i="12"/>
  <c r="F9" i="12"/>
  <c r="E9" i="12"/>
  <c r="L9" i="1" s="1"/>
  <c r="D9" i="12"/>
  <c r="L9" i="20" s="1"/>
  <c r="C9" i="12"/>
  <c r="L9" i="18" s="1"/>
  <c r="B9" i="12"/>
  <c r="L9" i="19" s="1"/>
  <c r="A9" i="12"/>
  <c r="L8" i="12"/>
  <c r="L8" i="21" s="1"/>
  <c r="K8" i="12"/>
  <c r="J8" i="12"/>
  <c r="I8" i="12"/>
  <c r="H8" i="12"/>
  <c r="G8" i="12"/>
  <c r="F8" i="12"/>
  <c r="E8" i="12"/>
  <c r="L8" i="1" s="1"/>
  <c r="D8" i="12"/>
  <c r="L8" i="20" s="1"/>
  <c r="C8" i="12"/>
  <c r="L8" i="18" s="1"/>
  <c r="B8" i="12"/>
  <c r="L8" i="19" s="1"/>
  <c r="A8" i="12"/>
  <c r="L7" i="12"/>
  <c r="L7" i="21" s="1"/>
  <c r="K7" i="12"/>
  <c r="J7" i="12"/>
  <c r="I7" i="12"/>
  <c r="H7" i="12"/>
  <c r="G7" i="12"/>
  <c r="F7" i="12"/>
  <c r="E7" i="12"/>
  <c r="L7" i="1" s="1"/>
  <c r="D7" i="12"/>
  <c r="L7" i="20" s="1"/>
  <c r="C7" i="12"/>
  <c r="L7" i="18" s="1"/>
  <c r="B7" i="12"/>
  <c r="L7" i="19" s="1"/>
  <c r="A7" i="12"/>
  <c r="L6" i="12"/>
  <c r="L6" i="21" s="1"/>
  <c r="K6" i="12"/>
  <c r="J6" i="12"/>
  <c r="I6" i="12"/>
  <c r="H6" i="12"/>
  <c r="G6" i="12"/>
  <c r="F6" i="12"/>
  <c r="E6" i="12"/>
  <c r="L6" i="1" s="1"/>
  <c r="D6" i="12"/>
  <c r="L6" i="20" s="1"/>
  <c r="C6" i="12"/>
  <c r="L6" i="18" s="1"/>
  <c r="B6" i="12"/>
  <c r="L6" i="19" s="1"/>
  <c r="A6" i="12"/>
  <c r="L5" i="12"/>
  <c r="L5" i="21" s="1"/>
  <c r="K5" i="12"/>
  <c r="J5" i="12"/>
  <c r="I5" i="12"/>
  <c r="H5" i="12"/>
  <c r="G5" i="12"/>
  <c r="F5" i="12"/>
  <c r="E5" i="12"/>
  <c r="L5" i="1" s="1"/>
  <c r="D5" i="12"/>
  <c r="L5" i="20" s="1"/>
  <c r="C5" i="12"/>
  <c r="L5" i="18" s="1"/>
  <c r="B5" i="12"/>
  <c r="L5" i="19" s="1"/>
  <c r="A5" i="12"/>
  <c r="L4" i="12"/>
  <c r="L4" i="21" s="1"/>
  <c r="K4" i="12"/>
  <c r="J4" i="12"/>
  <c r="I4" i="12"/>
  <c r="H4" i="12"/>
  <c r="G4" i="12"/>
  <c r="F4" i="12"/>
  <c r="E4" i="12"/>
  <c r="L4" i="1" s="1"/>
  <c r="D4" i="12"/>
  <c r="L4" i="20" s="1"/>
  <c r="C4" i="12"/>
  <c r="L4" i="18" s="1"/>
  <c r="B4" i="12"/>
  <c r="L4" i="19" s="1"/>
  <c r="A4" i="12"/>
  <c r="L3" i="12"/>
  <c r="L3" i="21" s="1"/>
  <c r="K3" i="12"/>
  <c r="J3" i="12"/>
  <c r="I3" i="12"/>
  <c r="H3" i="12"/>
  <c r="G3" i="12"/>
  <c r="F3" i="12"/>
  <c r="E3" i="12"/>
  <c r="L3" i="1" s="1"/>
  <c r="D3" i="12"/>
  <c r="L3" i="20" s="1"/>
  <c r="C3" i="12"/>
  <c r="L3" i="18" s="1"/>
  <c r="B3" i="12"/>
  <c r="L3" i="19" s="1"/>
  <c r="A3" i="12"/>
  <c r="L2" i="12"/>
  <c r="L2" i="21" s="1"/>
  <c r="K2" i="12"/>
  <c r="J2" i="12"/>
  <c r="I2" i="12"/>
  <c r="H2" i="12"/>
  <c r="G2" i="12"/>
  <c r="F2" i="12"/>
  <c r="E2" i="12"/>
  <c r="L2" i="1" s="1"/>
  <c r="D2" i="12"/>
  <c r="L2" i="20" s="1"/>
  <c r="C2" i="12"/>
  <c r="L2" i="18" s="1"/>
  <c r="B2" i="12"/>
  <c r="L2" i="19" s="1"/>
  <c r="A2" i="12"/>
  <c r="L27" i="11"/>
  <c r="K27" i="21" s="1"/>
  <c r="K27" i="11"/>
  <c r="J27" i="11"/>
  <c r="I27" i="11"/>
  <c r="H27" i="11"/>
  <c r="G27" i="11"/>
  <c r="F27" i="11"/>
  <c r="E27" i="11"/>
  <c r="K27" i="1" s="1"/>
  <c r="D27" i="11"/>
  <c r="K27" i="20" s="1"/>
  <c r="C27" i="11"/>
  <c r="K27" i="18" s="1"/>
  <c r="B27" i="11"/>
  <c r="K27" i="19" s="1"/>
  <c r="A27" i="11"/>
  <c r="L26" i="11"/>
  <c r="K26" i="21" s="1"/>
  <c r="K26" i="11"/>
  <c r="J26" i="11"/>
  <c r="I26" i="11"/>
  <c r="H26" i="11"/>
  <c r="G26" i="11"/>
  <c r="F26" i="11"/>
  <c r="E26" i="11"/>
  <c r="K26" i="1" s="1"/>
  <c r="D26" i="11"/>
  <c r="K26" i="20" s="1"/>
  <c r="C26" i="11"/>
  <c r="K26" i="18" s="1"/>
  <c r="B26" i="11"/>
  <c r="K26" i="19" s="1"/>
  <c r="A26" i="11"/>
  <c r="L25" i="11"/>
  <c r="K25" i="21" s="1"/>
  <c r="K25" i="11"/>
  <c r="J25" i="11"/>
  <c r="I25" i="11"/>
  <c r="H25" i="11"/>
  <c r="G25" i="11"/>
  <c r="F25" i="11"/>
  <c r="E25" i="11"/>
  <c r="K25" i="1" s="1"/>
  <c r="D25" i="11"/>
  <c r="K25" i="20" s="1"/>
  <c r="C25" i="11"/>
  <c r="K25" i="18" s="1"/>
  <c r="B25" i="11"/>
  <c r="K25" i="19" s="1"/>
  <c r="A25" i="11"/>
  <c r="L24" i="11"/>
  <c r="K24" i="21" s="1"/>
  <c r="K24" i="11"/>
  <c r="J24" i="11"/>
  <c r="I24" i="11"/>
  <c r="H24" i="11"/>
  <c r="G24" i="11"/>
  <c r="F24" i="11"/>
  <c r="E24" i="11"/>
  <c r="K24" i="1" s="1"/>
  <c r="D24" i="11"/>
  <c r="K24" i="20" s="1"/>
  <c r="C24" i="11"/>
  <c r="K24" i="18" s="1"/>
  <c r="B24" i="11"/>
  <c r="K24" i="19" s="1"/>
  <c r="A24" i="11"/>
  <c r="L23" i="11"/>
  <c r="K23" i="21" s="1"/>
  <c r="K23" i="11"/>
  <c r="J23" i="11"/>
  <c r="I23" i="11"/>
  <c r="H23" i="11"/>
  <c r="G23" i="11"/>
  <c r="F23" i="11"/>
  <c r="E23" i="11"/>
  <c r="K23" i="1" s="1"/>
  <c r="D23" i="11"/>
  <c r="K23" i="20" s="1"/>
  <c r="C23" i="11"/>
  <c r="K23" i="18" s="1"/>
  <c r="B23" i="11"/>
  <c r="K23" i="19" s="1"/>
  <c r="A23" i="11"/>
  <c r="L22" i="11"/>
  <c r="K22" i="21" s="1"/>
  <c r="K22" i="11"/>
  <c r="J22" i="11"/>
  <c r="I22" i="11"/>
  <c r="H22" i="11"/>
  <c r="G22" i="11"/>
  <c r="F22" i="11"/>
  <c r="E22" i="11"/>
  <c r="K22" i="1" s="1"/>
  <c r="D22" i="11"/>
  <c r="K22" i="20" s="1"/>
  <c r="C22" i="11"/>
  <c r="K22" i="18" s="1"/>
  <c r="B22" i="11"/>
  <c r="K22" i="19" s="1"/>
  <c r="A22" i="11"/>
  <c r="L21" i="11"/>
  <c r="K21" i="21" s="1"/>
  <c r="K21" i="11"/>
  <c r="J21" i="11"/>
  <c r="I21" i="11"/>
  <c r="H21" i="11"/>
  <c r="G21" i="11"/>
  <c r="F21" i="11"/>
  <c r="E21" i="11"/>
  <c r="K21" i="1" s="1"/>
  <c r="D21" i="11"/>
  <c r="K21" i="20" s="1"/>
  <c r="C21" i="11"/>
  <c r="K21" i="18" s="1"/>
  <c r="B21" i="11"/>
  <c r="K21" i="19" s="1"/>
  <c r="A21" i="11"/>
  <c r="L20" i="11"/>
  <c r="K20" i="21" s="1"/>
  <c r="K20" i="11"/>
  <c r="J20" i="11"/>
  <c r="I20" i="11"/>
  <c r="H20" i="11"/>
  <c r="G20" i="11"/>
  <c r="F20" i="11"/>
  <c r="E20" i="11"/>
  <c r="K20" i="1" s="1"/>
  <c r="D20" i="11"/>
  <c r="K20" i="20" s="1"/>
  <c r="C20" i="11"/>
  <c r="K20" i="18" s="1"/>
  <c r="B20" i="11"/>
  <c r="K20" i="19" s="1"/>
  <c r="A20" i="11"/>
  <c r="L19" i="11"/>
  <c r="K19" i="21" s="1"/>
  <c r="K19" i="11"/>
  <c r="J19" i="11"/>
  <c r="I19" i="11"/>
  <c r="H19" i="11"/>
  <c r="G19" i="11"/>
  <c r="F19" i="11"/>
  <c r="E19" i="11"/>
  <c r="K19" i="1" s="1"/>
  <c r="D19" i="11"/>
  <c r="K19" i="20" s="1"/>
  <c r="C19" i="11"/>
  <c r="K19" i="18" s="1"/>
  <c r="B19" i="11"/>
  <c r="K19" i="19" s="1"/>
  <c r="A19" i="11"/>
  <c r="L18" i="11"/>
  <c r="K18" i="21" s="1"/>
  <c r="K18" i="11"/>
  <c r="J18" i="11"/>
  <c r="I18" i="11"/>
  <c r="H18" i="11"/>
  <c r="G18" i="11"/>
  <c r="F18" i="11"/>
  <c r="E18" i="11"/>
  <c r="K18" i="1" s="1"/>
  <c r="D18" i="11"/>
  <c r="K18" i="20" s="1"/>
  <c r="C18" i="11"/>
  <c r="K18" i="18" s="1"/>
  <c r="B18" i="11"/>
  <c r="K18" i="19" s="1"/>
  <c r="A18" i="11"/>
  <c r="L17" i="11"/>
  <c r="K17" i="21" s="1"/>
  <c r="K17" i="11"/>
  <c r="J17" i="11"/>
  <c r="I17" i="11"/>
  <c r="H17" i="11"/>
  <c r="G17" i="11"/>
  <c r="F17" i="11"/>
  <c r="E17" i="11"/>
  <c r="K17" i="1" s="1"/>
  <c r="D17" i="11"/>
  <c r="K17" i="20" s="1"/>
  <c r="C17" i="11"/>
  <c r="K17" i="18" s="1"/>
  <c r="B17" i="11"/>
  <c r="K17" i="19" s="1"/>
  <c r="A17" i="11"/>
  <c r="L16" i="11"/>
  <c r="K16" i="21" s="1"/>
  <c r="K16" i="11"/>
  <c r="J16" i="11"/>
  <c r="I16" i="11"/>
  <c r="H16" i="11"/>
  <c r="G16" i="11"/>
  <c r="F16" i="11"/>
  <c r="E16" i="11"/>
  <c r="K16" i="1" s="1"/>
  <c r="D16" i="11"/>
  <c r="K16" i="20" s="1"/>
  <c r="C16" i="11"/>
  <c r="K16" i="18" s="1"/>
  <c r="B16" i="11"/>
  <c r="K16" i="19" s="1"/>
  <c r="A16" i="11"/>
  <c r="L15" i="11"/>
  <c r="K15" i="21" s="1"/>
  <c r="K15" i="11"/>
  <c r="J15" i="11"/>
  <c r="I15" i="11"/>
  <c r="H15" i="11"/>
  <c r="G15" i="11"/>
  <c r="F15" i="11"/>
  <c r="E15" i="11"/>
  <c r="K15" i="1" s="1"/>
  <c r="D15" i="11"/>
  <c r="K15" i="20" s="1"/>
  <c r="C15" i="11"/>
  <c r="K15" i="18" s="1"/>
  <c r="B15" i="11"/>
  <c r="K15" i="19" s="1"/>
  <c r="A15" i="11"/>
  <c r="L14" i="11"/>
  <c r="K14" i="21" s="1"/>
  <c r="K14" i="11"/>
  <c r="J14" i="11"/>
  <c r="I14" i="11"/>
  <c r="H14" i="11"/>
  <c r="G14" i="11"/>
  <c r="F14" i="11"/>
  <c r="E14" i="11"/>
  <c r="K14" i="1" s="1"/>
  <c r="D14" i="11"/>
  <c r="K14" i="20" s="1"/>
  <c r="C14" i="11"/>
  <c r="K14" i="18" s="1"/>
  <c r="B14" i="11"/>
  <c r="K14" i="19" s="1"/>
  <c r="A14" i="11"/>
  <c r="L13" i="11"/>
  <c r="K13" i="21" s="1"/>
  <c r="K13" i="11"/>
  <c r="J13" i="11"/>
  <c r="I13" i="11"/>
  <c r="H13" i="11"/>
  <c r="G13" i="11"/>
  <c r="F13" i="11"/>
  <c r="E13" i="11"/>
  <c r="K13" i="1" s="1"/>
  <c r="D13" i="11"/>
  <c r="K13" i="20" s="1"/>
  <c r="C13" i="11"/>
  <c r="K13" i="18" s="1"/>
  <c r="B13" i="11"/>
  <c r="K13" i="19" s="1"/>
  <c r="A13" i="11"/>
  <c r="L12" i="11"/>
  <c r="K12" i="21" s="1"/>
  <c r="K12" i="11"/>
  <c r="J12" i="11"/>
  <c r="I12" i="11"/>
  <c r="H12" i="11"/>
  <c r="G12" i="11"/>
  <c r="F12" i="11"/>
  <c r="E12" i="11"/>
  <c r="K12" i="1" s="1"/>
  <c r="D12" i="11"/>
  <c r="K12" i="20" s="1"/>
  <c r="C12" i="11"/>
  <c r="K12" i="18" s="1"/>
  <c r="B12" i="11"/>
  <c r="K12" i="19" s="1"/>
  <c r="A12" i="11"/>
  <c r="L11" i="11"/>
  <c r="K11" i="21" s="1"/>
  <c r="K11" i="11"/>
  <c r="J11" i="11"/>
  <c r="I11" i="11"/>
  <c r="H11" i="11"/>
  <c r="G11" i="11"/>
  <c r="F11" i="11"/>
  <c r="E11" i="11"/>
  <c r="K11" i="1" s="1"/>
  <c r="D11" i="11"/>
  <c r="K11" i="20" s="1"/>
  <c r="C11" i="11"/>
  <c r="K11" i="18" s="1"/>
  <c r="B11" i="11"/>
  <c r="K11" i="19" s="1"/>
  <c r="A11" i="11"/>
  <c r="L10" i="11"/>
  <c r="K10" i="21" s="1"/>
  <c r="K10" i="11"/>
  <c r="J10" i="11"/>
  <c r="I10" i="11"/>
  <c r="H10" i="11"/>
  <c r="G10" i="11"/>
  <c r="F10" i="11"/>
  <c r="E10" i="11"/>
  <c r="K10" i="1" s="1"/>
  <c r="D10" i="11"/>
  <c r="K10" i="20" s="1"/>
  <c r="C10" i="11"/>
  <c r="K10" i="18" s="1"/>
  <c r="B10" i="11"/>
  <c r="K10" i="19" s="1"/>
  <c r="A10" i="11"/>
  <c r="L9" i="11"/>
  <c r="K9" i="21" s="1"/>
  <c r="K9" i="11"/>
  <c r="J9" i="11"/>
  <c r="I9" i="11"/>
  <c r="H9" i="11"/>
  <c r="G9" i="11"/>
  <c r="F9" i="11"/>
  <c r="E9" i="11"/>
  <c r="K9" i="1" s="1"/>
  <c r="D9" i="11"/>
  <c r="K9" i="20" s="1"/>
  <c r="C9" i="11"/>
  <c r="K9" i="18" s="1"/>
  <c r="B9" i="11"/>
  <c r="K9" i="19" s="1"/>
  <c r="A9" i="11"/>
  <c r="L8" i="11"/>
  <c r="K8" i="21" s="1"/>
  <c r="K8" i="11"/>
  <c r="J8" i="11"/>
  <c r="I8" i="11"/>
  <c r="H8" i="11"/>
  <c r="G8" i="11"/>
  <c r="F8" i="11"/>
  <c r="E8" i="11"/>
  <c r="K8" i="1" s="1"/>
  <c r="D8" i="11"/>
  <c r="K8" i="20" s="1"/>
  <c r="C8" i="11"/>
  <c r="K8" i="18" s="1"/>
  <c r="B8" i="11"/>
  <c r="K8" i="19" s="1"/>
  <c r="A8" i="11"/>
  <c r="L7" i="11"/>
  <c r="K7" i="21" s="1"/>
  <c r="K7" i="11"/>
  <c r="J7" i="11"/>
  <c r="I7" i="11"/>
  <c r="H7" i="11"/>
  <c r="G7" i="11"/>
  <c r="F7" i="11"/>
  <c r="E7" i="11"/>
  <c r="K7" i="1" s="1"/>
  <c r="D7" i="11"/>
  <c r="K7" i="20" s="1"/>
  <c r="C7" i="11"/>
  <c r="K7" i="18" s="1"/>
  <c r="B7" i="11"/>
  <c r="K7" i="19" s="1"/>
  <c r="A7" i="11"/>
  <c r="L6" i="11"/>
  <c r="K6" i="21" s="1"/>
  <c r="K6" i="11"/>
  <c r="J6" i="11"/>
  <c r="I6" i="11"/>
  <c r="H6" i="11"/>
  <c r="G6" i="11"/>
  <c r="F6" i="11"/>
  <c r="E6" i="11"/>
  <c r="K6" i="1" s="1"/>
  <c r="D6" i="11"/>
  <c r="K6" i="20" s="1"/>
  <c r="C6" i="11"/>
  <c r="K6" i="18" s="1"/>
  <c r="B6" i="11"/>
  <c r="K6" i="19" s="1"/>
  <c r="A6" i="11"/>
  <c r="L5" i="11"/>
  <c r="K5" i="21" s="1"/>
  <c r="K5" i="11"/>
  <c r="J5" i="11"/>
  <c r="I5" i="11"/>
  <c r="H5" i="11"/>
  <c r="G5" i="11"/>
  <c r="F5" i="11"/>
  <c r="E5" i="11"/>
  <c r="K5" i="1" s="1"/>
  <c r="D5" i="11"/>
  <c r="K5" i="20" s="1"/>
  <c r="C5" i="11"/>
  <c r="K5" i="18" s="1"/>
  <c r="B5" i="11"/>
  <c r="K5" i="19" s="1"/>
  <c r="A5" i="11"/>
  <c r="L4" i="11"/>
  <c r="K4" i="21" s="1"/>
  <c r="K4" i="11"/>
  <c r="J4" i="11"/>
  <c r="I4" i="11"/>
  <c r="H4" i="11"/>
  <c r="G4" i="11"/>
  <c r="F4" i="11"/>
  <c r="E4" i="11"/>
  <c r="K4" i="1" s="1"/>
  <c r="D4" i="11"/>
  <c r="K4" i="20" s="1"/>
  <c r="C4" i="11"/>
  <c r="K4" i="18" s="1"/>
  <c r="B4" i="11"/>
  <c r="K4" i="19" s="1"/>
  <c r="A4" i="11"/>
  <c r="L3" i="11"/>
  <c r="K3" i="21" s="1"/>
  <c r="K3" i="11"/>
  <c r="J3" i="11"/>
  <c r="I3" i="11"/>
  <c r="H3" i="11"/>
  <c r="G3" i="11"/>
  <c r="F3" i="11"/>
  <c r="E3" i="11"/>
  <c r="K3" i="1" s="1"/>
  <c r="D3" i="11"/>
  <c r="K3" i="20" s="1"/>
  <c r="C3" i="11"/>
  <c r="K3" i="18" s="1"/>
  <c r="B3" i="11"/>
  <c r="K3" i="19" s="1"/>
  <c r="A3" i="11"/>
  <c r="L2" i="11"/>
  <c r="K2" i="21" s="1"/>
  <c r="K2" i="11"/>
  <c r="J2" i="11"/>
  <c r="I2" i="11"/>
  <c r="H2" i="11"/>
  <c r="G2" i="11"/>
  <c r="F2" i="11"/>
  <c r="E2" i="11"/>
  <c r="K2" i="1" s="1"/>
  <c r="D2" i="11"/>
  <c r="K2" i="20" s="1"/>
  <c r="C2" i="11"/>
  <c r="K2" i="18" s="1"/>
  <c r="B2" i="11"/>
  <c r="K2" i="19" s="1"/>
  <c r="A2" i="11"/>
  <c r="L27" i="10"/>
  <c r="J27" i="21" s="1"/>
  <c r="K27" i="10"/>
  <c r="J27" i="10"/>
  <c r="I27" i="10"/>
  <c r="H27" i="10"/>
  <c r="G27" i="10"/>
  <c r="F27" i="10"/>
  <c r="E27" i="10"/>
  <c r="J27" i="1" s="1"/>
  <c r="D27" i="10"/>
  <c r="J27" i="20" s="1"/>
  <c r="C27" i="10"/>
  <c r="J27" i="18" s="1"/>
  <c r="B27" i="10"/>
  <c r="J27" i="19" s="1"/>
  <c r="A27" i="10"/>
  <c r="L26" i="10"/>
  <c r="J26" i="21" s="1"/>
  <c r="K26" i="10"/>
  <c r="J26" i="10"/>
  <c r="I26" i="10"/>
  <c r="H26" i="10"/>
  <c r="G26" i="10"/>
  <c r="F26" i="10"/>
  <c r="E26" i="10"/>
  <c r="J26" i="1" s="1"/>
  <c r="D26" i="10"/>
  <c r="J26" i="20" s="1"/>
  <c r="C26" i="10"/>
  <c r="J26" i="18" s="1"/>
  <c r="B26" i="10"/>
  <c r="J26" i="19" s="1"/>
  <c r="A26" i="10"/>
  <c r="L25" i="10"/>
  <c r="J25" i="21" s="1"/>
  <c r="K25" i="10"/>
  <c r="J25" i="10"/>
  <c r="I25" i="10"/>
  <c r="H25" i="10"/>
  <c r="G25" i="10"/>
  <c r="F25" i="10"/>
  <c r="E25" i="10"/>
  <c r="J25" i="1" s="1"/>
  <c r="D25" i="10"/>
  <c r="J25" i="20" s="1"/>
  <c r="C25" i="10"/>
  <c r="J25" i="18" s="1"/>
  <c r="B25" i="10"/>
  <c r="J25" i="19" s="1"/>
  <c r="A25" i="10"/>
  <c r="L24" i="10"/>
  <c r="J24" i="21" s="1"/>
  <c r="K24" i="10"/>
  <c r="J24" i="10"/>
  <c r="I24" i="10"/>
  <c r="H24" i="10"/>
  <c r="G24" i="10"/>
  <c r="F24" i="10"/>
  <c r="E24" i="10"/>
  <c r="J24" i="1" s="1"/>
  <c r="D24" i="10"/>
  <c r="J24" i="20" s="1"/>
  <c r="C24" i="10"/>
  <c r="J24" i="18" s="1"/>
  <c r="B24" i="10"/>
  <c r="J24" i="19" s="1"/>
  <c r="A24" i="10"/>
  <c r="L23" i="10"/>
  <c r="J23" i="21" s="1"/>
  <c r="K23" i="10"/>
  <c r="J23" i="10"/>
  <c r="I23" i="10"/>
  <c r="H23" i="10"/>
  <c r="G23" i="10"/>
  <c r="F23" i="10"/>
  <c r="E23" i="10"/>
  <c r="J23" i="1" s="1"/>
  <c r="D23" i="10"/>
  <c r="J23" i="20" s="1"/>
  <c r="C23" i="10"/>
  <c r="J23" i="18" s="1"/>
  <c r="B23" i="10"/>
  <c r="J23" i="19" s="1"/>
  <c r="A23" i="10"/>
  <c r="L22" i="10"/>
  <c r="J22" i="21" s="1"/>
  <c r="K22" i="10"/>
  <c r="J22" i="10"/>
  <c r="I22" i="10"/>
  <c r="H22" i="10"/>
  <c r="G22" i="10"/>
  <c r="F22" i="10"/>
  <c r="E22" i="10"/>
  <c r="J22" i="1" s="1"/>
  <c r="D22" i="10"/>
  <c r="J22" i="20" s="1"/>
  <c r="C22" i="10"/>
  <c r="J22" i="18" s="1"/>
  <c r="B22" i="10"/>
  <c r="J22" i="19" s="1"/>
  <c r="A22" i="10"/>
  <c r="L21" i="10"/>
  <c r="J21" i="21" s="1"/>
  <c r="K21" i="10"/>
  <c r="J21" i="10"/>
  <c r="I21" i="10"/>
  <c r="H21" i="10"/>
  <c r="G21" i="10"/>
  <c r="F21" i="10"/>
  <c r="E21" i="10"/>
  <c r="J21" i="1" s="1"/>
  <c r="D21" i="10"/>
  <c r="J21" i="20" s="1"/>
  <c r="C21" i="10"/>
  <c r="J21" i="18" s="1"/>
  <c r="B21" i="10"/>
  <c r="J21" i="19" s="1"/>
  <c r="A21" i="10"/>
  <c r="L20" i="10"/>
  <c r="J20" i="21" s="1"/>
  <c r="K20" i="10"/>
  <c r="J20" i="10"/>
  <c r="I20" i="10"/>
  <c r="H20" i="10"/>
  <c r="G20" i="10"/>
  <c r="F20" i="10"/>
  <c r="E20" i="10"/>
  <c r="J20" i="1" s="1"/>
  <c r="D20" i="10"/>
  <c r="J20" i="20" s="1"/>
  <c r="C20" i="10"/>
  <c r="J20" i="18" s="1"/>
  <c r="B20" i="10"/>
  <c r="J20" i="19" s="1"/>
  <c r="A20" i="10"/>
  <c r="L19" i="10"/>
  <c r="J19" i="21" s="1"/>
  <c r="K19" i="10"/>
  <c r="J19" i="10"/>
  <c r="I19" i="10"/>
  <c r="H19" i="10"/>
  <c r="G19" i="10"/>
  <c r="F19" i="10"/>
  <c r="E19" i="10"/>
  <c r="J19" i="1" s="1"/>
  <c r="D19" i="10"/>
  <c r="J19" i="20" s="1"/>
  <c r="C19" i="10"/>
  <c r="J19" i="18" s="1"/>
  <c r="B19" i="10"/>
  <c r="J19" i="19" s="1"/>
  <c r="A19" i="10"/>
  <c r="L18" i="10"/>
  <c r="J18" i="21" s="1"/>
  <c r="K18" i="10"/>
  <c r="J18" i="10"/>
  <c r="I18" i="10"/>
  <c r="H18" i="10"/>
  <c r="G18" i="10"/>
  <c r="F18" i="10"/>
  <c r="E18" i="10"/>
  <c r="J18" i="1" s="1"/>
  <c r="D18" i="10"/>
  <c r="J18" i="20" s="1"/>
  <c r="C18" i="10"/>
  <c r="J18" i="18" s="1"/>
  <c r="B18" i="10"/>
  <c r="J18" i="19" s="1"/>
  <c r="A18" i="10"/>
  <c r="L17" i="10"/>
  <c r="J17" i="21" s="1"/>
  <c r="K17" i="10"/>
  <c r="J17" i="10"/>
  <c r="I17" i="10"/>
  <c r="H17" i="10"/>
  <c r="G17" i="10"/>
  <c r="F17" i="10"/>
  <c r="E17" i="10"/>
  <c r="J17" i="1" s="1"/>
  <c r="D17" i="10"/>
  <c r="J17" i="20" s="1"/>
  <c r="C17" i="10"/>
  <c r="J17" i="18" s="1"/>
  <c r="B17" i="10"/>
  <c r="J17" i="19" s="1"/>
  <c r="A17" i="10"/>
  <c r="L16" i="10"/>
  <c r="J16" i="21" s="1"/>
  <c r="K16" i="10"/>
  <c r="J16" i="10"/>
  <c r="I16" i="10"/>
  <c r="H16" i="10"/>
  <c r="G16" i="10"/>
  <c r="F16" i="10"/>
  <c r="E16" i="10"/>
  <c r="J16" i="1" s="1"/>
  <c r="D16" i="10"/>
  <c r="J16" i="20" s="1"/>
  <c r="C16" i="10"/>
  <c r="J16" i="18" s="1"/>
  <c r="B16" i="10"/>
  <c r="J16" i="19" s="1"/>
  <c r="A16" i="10"/>
  <c r="L15" i="10"/>
  <c r="J15" i="21" s="1"/>
  <c r="K15" i="10"/>
  <c r="J15" i="10"/>
  <c r="I15" i="10"/>
  <c r="H15" i="10"/>
  <c r="G15" i="10"/>
  <c r="F15" i="10"/>
  <c r="E15" i="10"/>
  <c r="J15" i="1" s="1"/>
  <c r="D15" i="10"/>
  <c r="J15" i="20" s="1"/>
  <c r="C15" i="10"/>
  <c r="J15" i="18" s="1"/>
  <c r="B15" i="10"/>
  <c r="J15" i="19" s="1"/>
  <c r="A15" i="10"/>
  <c r="L14" i="10"/>
  <c r="J14" i="21" s="1"/>
  <c r="K14" i="10"/>
  <c r="J14" i="10"/>
  <c r="I14" i="10"/>
  <c r="H14" i="10"/>
  <c r="G14" i="10"/>
  <c r="F14" i="10"/>
  <c r="E14" i="10"/>
  <c r="J14" i="1" s="1"/>
  <c r="D14" i="10"/>
  <c r="J14" i="20" s="1"/>
  <c r="C14" i="10"/>
  <c r="J14" i="18" s="1"/>
  <c r="B14" i="10"/>
  <c r="J14" i="19" s="1"/>
  <c r="A14" i="10"/>
  <c r="L13" i="10"/>
  <c r="J13" i="21" s="1"/>
  <c r="K13" i="10"/>
  <c r="J13" i="10"/>
  <c r="I13" i="10"/>
  <c r="H13" i="10"/>
  <c r="G13" i="10"/>
  <c r="F13" i="10"/>
  <c r="E13" i="10"/>
  <c r="J13" i="1" s="1"/>
  <c r="D13" i="10"/>
  <c r="J13" i="20" s="1"/>
  <c r="C13" i="10"/>
  <c r="J13" i="18" s="1"/>
  <c r="B13" i="10"/>
  <c r="J13" i="19" s="1"/>
  <c r="A13" i="10"/>
  <c r="L12" i="10"/>
  <c r="J12" i="21" s="1"/>
  <c r="K12" i="10"/>
  <c r="J12" i="10"/>
  <c r="I12" i="10"/>
  <c r="H12" i="10"/>
  <c r="G12" i="10"/>
  <c r="F12" i="10"/>
  <c r="E12" i="10"/>
  <c r="J12" i="1" s="1"/>
  <c r="D12" i="10"/>
  <c r="J12" i="20" s="1"/>
  <c r="C12" i="10"/>
  <c r="J12" i="18" s="1"/>
  <c r="B12" i="10"/>
  <c r="J12" i="19" s="1"/>
  <c r="A12" i="10"/>
  <c r="L11" i="10"/>
  <c r="J11" i="21" s="1"/>
  <c r="K11" i="10"/>
  <c r="J11" i="10"/>
  <c r="I11" i="10"/>
  <c r="H11" i="10"/>
  <c r="G11" i="10"/>
  <c r="F11" i="10"/>
  <c r="E11" i="10"/>
  <c r="J11" i="1" s="1"/>
  <c r="D11" i="10"/>
  <c r="J11" i="20" s="1"/>
  <c r="C11" i="10"/>
  <c r="J11" i="18" s="1"/>
  <c r="B11" i="10"/>
  <c r="J11" i="19" s="1"/>
  <c r="A11" i="10"/>
  <c r="L10" i="10"/>
  <c r="J10" i="21" s="1"/>
  <c r="K10" i="10"/>
  <c r="J10" i="10"/>
  <c r="I10" i="10"/>
  <c r="H10" i="10"/>
  <c r="G10" i="10"/>
  <c r="F10" i="10"/>
  <c r="E10" i="10"/>
  <c r="J10" i="1" s="1"/>
  <c r="D10" i="10"/>
  <c r="J10" i="20" s="1"/>
  <c r="C10" i="10"/>
  <c r="J10" i="18" s="1"/>
  <c r="B10" i="10"/>
  <c r="J10" i="19" s="1"/>
  <c r="A10" i="10"/>
  <c r="L9" i="10"/>
  <c r="J9" i="21" s="1"/>
  <c r="K9" i="10"/>
  <c r="J9" i="10"/>
  <c r="I9" i="10"/>
  <c r="H9" i="10"/>
  <c r="G9" i="10"/>
  <c r="F9" i="10"/>
  <c r="E9" i="10"/>
  <c r="J9" i="1" s="1"/>
  <c r="D9" i="10"/>
  <c r="J9" i="20" s="1"/>
  <c r="C9" i="10"/>
  <c r="J9" i="18" s="1"/>
  <c r="B9" i="10"/>
  <c r="J9" i="19" s="1"/>
  <c r="A9" i="10"/>
  <c r="L8" i="10"/>
  <c r="J8" i="21" s="1"/>
  <c r="K8" i="10"/>
  <c r="J8" i="10"/>
  <c r="I8" i="10"/>
  <c r="H8" i="10"/>
  <c r="G8" i="10"/>
  <c r="F8" i="10"/>
  <c r="E8" i="10"/>
  <c r="J8" i="1" s="1"/>
  <c r="D8" i="10"/>
  <c r="J8" i="20" s="1"/>
  <c r="C8" i="10"/>
  <c r="J8" i="18" s="1"/>
  <c r="B8" i="10"/>
  <c r="J8" i="19" s="1"/>
  <c r="A8" i="10"/>
  <c r="L7" i="10"/>
  <c r="J7" i="21" s="1"/>
  <c r="K7" i="10"/>
  <c r="J7" i="10"/>
  <c r="I7" i="10"/>
  <c r="H7" i="10"/>
  <c r="G7" i="10"/>
  <c r="F7" i="10"/>
  <c r="E7" i="10"/>
  <c r="J7" i="1" s="1"/>
  <c r="D7" i="10"/>
  <c r="J7" i="20" s="1"/>
  <c r="C7" i="10"/>
  <c r="J7" i="18" s="1"/>
  <c r="B7" i="10"/>
  <c r="J7" i="19" s="1"/>
  <c r="A7" i="10"/>
  <c r="L6" i="10"/>
  <c r="J6" i="21" s="1"/>
  <c r="K6" i="10"/>
  <c r="J6" i="10"/>
  <c r="I6" i="10"/>
  <c r="H6" i="10"/>
  <c r="G6" i="10"/>
  <c r="F6" i="10"/>
  <c r="E6" i="10"/>
  <c r="J6" i="1" s="1"/>
  <c r="D6" i="10"/>
  <c r="J6" i="20" s="1"/>
  <c r="C6" i="10"/>
  <c r="J6" i="18" s="1"/>
  <c r="B6" i="10"/>
  <c r="J6" i="19" s="1"/>
  <c r="A6" i="10"/>
  <c r="L5" i="10"/>
  <c r="J5" i="21" s="1"/>
  <c r="K5" i="10"/>
  <c r="J5" i="10"/>
  <c r="I5" i="10"/>
  <c r="H5" i="10"/>
  <c r="G5" i="10"/>
  <c r="F5" i="10"/>
  <c r="E5" i="10"/>
  <c r="J5" i="1" s="1"/>
  <c r="D5" i="10"/>
  <c r="J5" i="20" s="1"/>
  <c r="C5" i="10"/>
  <c r="J5" i="18" s="1"/>
  <c r="B5" i="10"/>
  <c r="J5" i="19" s="1"/>
  <c r="A5" i="10"/>
  <c r="L4" i="10"/>
  <c r="J4" i="21" s="1"/>
  <c r="K4" i="10"/>
  <c r="J4" i="10"/>
  <c r="I4" i="10"/>
  <c r="H4" i="10"/>
  <c r="G4" i="10"/>
  <c r="F4" i="10"/>
  <c r="E4" i="10"/>
  <c r="J4" i="1" s="1"/>
  <c r="D4" i="10"/>
  <c r="J4" i="20" s="1"/>
  <c r="C4" i="10"/>
  <c r="J4" i="18" s="1"/>
  <c r="B4" i="10"/>
  <c r="J4" i="19" s="1"/>
  <c r="A4" i="10"/>
  <c r="L3" i="10"/>
  <c r="J3" i="21" s="1"/>
  <c r="K3" i="10"/>
  <c r="J3" i="10"/>
  <c r="I3" i="10"/>
  <c r="H3" i="10"/>
  <c r="G3" i="10"/>
  <c r="F3" i="10"/>
  <c r="E3" i="10"/>
  <c r="J3" i="1" s="1"/>
  <c r="D3" i="10"/>
  <c r="J3" i="20" s="1"/>
  <c r="C3" i="10"/>
  <c r="J3" i="18" s="1"/>
  <c r="B3" i="10"/>
  <c r="J3" i="19" s="1"/>
  <c r="A3" i="10"/>
  <c r="L2" i="10"/>
  <c r="J2" i="21" s="1"/>
  <c r="K2" i="10"/>
  <c r="J2" i="10"/>
  <c r="I2" i="10"/>
  <c r="H2" i="10"/>
  <c r="G2" i="10"/>
  <c r="F2" i="10"/>
  <c r="E2" i="10"/>
  <c r="J2" i="1" s="1"/>
  <c r="D2" i="10"/>
  <c r="J2" i="20" s="1"/>
  <c r="C2" i="10"/>
  <c r="J2" i="18" s="1"/>
  <c r="B2" i="10"/>
  <c r="J2" i="19" s="1"/>
  <c r="A2" i="10"/>
  <c r="L27" i="9"/>
  <c r="I27" i="21" s="1"/>
  <c r="K27" i="9"/>
  <c r="J27" i="9"/>
  <c r="I27" i="9"/>
  <c r="H27" i="9"/>
  <c r="G27" i="9"/>
  <c r="F27" i="9"/>
  <c r="E27" i="9"/>
  <c r="I27" i="1" s="1"/>
  <c r="D27" i="9"/>
  <c r="I27" i="20" s="1"/>
  <c r="C27" i="9"/>
  <c r="I27" i="18" s="1"/>
  <c r="B27" i="9"/>
  <c r="I27" i="19" s="1"/>
  <c r="A27" i="9"/>
  <c r="L26" i="9"/>
  <c r="I26" i="21" s="1"/>
  <c r="K26" i="9"/>
  <c r="J26" i="9"/>
  <c r="I26" i="9"/>
  <c r="H26" i="9"/>
  <c r="G26" i="9"/>
  <c r="F26" i="9"/>
  <c r="E26" i="9"/>
  <c r="I26" i="1" s="1"/>
  <c r="D26" i="9"/>
  <c r="I26" i="20" s="1"/>
  <c r="C26" i="9"/>
  <c r="I26" i="18" s="1"/>
  <c r="B26" i="9"/>
  <c r="I26" i="19" s="1"/>
  <c r="A26" i="9"/>
  <c r="L25" i="9"/>
  <c r="I25" i="21" s="1"/>
  <c r="K25" i="9"/>
  <c r="J25" i="9"/>
  <c r="I25" i="9"/>
  <c r="H25" i="9"/>
  <c r="G25" i="9"/>
  <c r="F25" i="9"/>
  <c r="E25" i="9"/>
  <c r="I25" i="1" s="1"/>
  <c r="D25" i="9"/>
  <c r="I25" i="20" s="1"/>
  <c r="C25" i="9"/>
  <c r="I25" i="18" s="1"/>
  <c r="B25" i="9"/>
  <c r="I25" i="19" s="1"/>
  <c r="A25" i="9"/>
  <c r="L24" i="9"/>
  <c r="I24" i="21" s="1"/>
  <c r="K24" i="9"/>
  <c r="J24" i="9"/>
  <c r="I24" i="9"/>
  <c r="H24" i="9"/>
  <c r="G24" i="9"/>
  <c r="F24" i="9"/>
  <c r="E24" i="9"/>
  <c r="I24" i="1" s="1"/>
  <c r="D24" i="9"/>
  <c r="I24" i="20" s="1"/>
  <c r="C24" i="9"/>
  <c r="I24" i="18" s="1"/>
  <c r="B24" i="9"/>
  <c r="I24" i="19" s="1"/>
  <c r="A24" i="9"/>
  <c r="L23" i="9"/>
  <c r="I23" i="21" s="1"/>
  <c r="K23" i="9"/>
  <c r="J23" i="9"/>
  <c r="I23" i="9"/>
  <c r="H23" i="9"/>
  <c r="G23" i="9"/>
  <c r="F23" i="9"/>
  <c r="E23" i="9"/>
  <c r="I23" i="1" s="1"/>
  <c r="D23" i="9"/>
  <c r="I23" i="20" s="1"/>
  <c r="C23" i="9"/>
  <c r="I23" i="18" s="1"/>
  <c r="B23" i="9"/>
  <c r="I23" i="19" s="1"/>
  <c r="A23" i="9"/>
  <c r="L22" i="9"/>
  <c r="I22" i="21" s="1"/>
  <c r="K22" i="9"/>
  <c r="J22" i="9"/>
  <c r="I22" i="9"/>
  <c r="H22" i="9"/>
  <c r="G22" i="9"/>
  <c r="F22" i="9"/>
  <c r="E22" i="9"/>
  <c r="I22" i="1" s="1"/>
  <c r="D22" i="9"/>
  <c r="I22" i="20" s="1"/>
  <c r="C22" i="9"/>
  <c r="I22" i="18" s="1"/>
  <c r="B22" i="9"/>
  <c r="I22" i="19" s="1"/>
  <c r="A22" i="9"/>
  <c r="L21" i="9"/>
  <c r="I21" i="21" s="1"/>
  <c r="K21" i="9"/>
  <c r="J21" i="9"/>
  <c r="I21" i="9"/>
  <c r="H21" i="9"/>
  <c r="G21" i="9"/>
  <c r="F21" i="9"/>
  <c r="E21" i="9"/>
  <c r="I21" i="1" s="1"/>
  <c r="D21" i="9"/>
  <c r="I21" i="20" s="1"/>
  <c r="C21" i="9"/>
  <c r="I21" i="18" s="1"/>
  <c r="B21" i="9"/>
  <c r="I21" i="19" s="1"/>
  <c r="A21" i="9"/>
  <c r="L20" i="9"/>
  <c r="I20" i="21" s="1"/>
  <c r="K20" i="9"/>
  <c r="J20" i="9"/>
  <c r="I20" i="9"/>
  <c r="H20" i="9"/>
  <c r="G20" i="9"/>
  <c r="F20" i="9"/>
  <c r="E20" i="9"/>
  <c r="I20" i="1" s="1"/>
  <c r="D20" i="9"/>
  <c r="I20" i="20" s="1"/>
  <c r="C20" i="9"/>
  <c r="I20" i="18" s="1"/>
  <c r="B20" i="9"/>
  <c r="I20" i="19" s="1"/>
  <c r="A20" i="9"/>
  <c r="L19" i="9"/>
  <c r="I19" i="21" s="1"/>
  <c r="K19" i="9"/>
  <c r="J19" i="9"/>
  <c r="I19" i="9"/>
  <c r="H19" i="9"/>
  <c r="G19" i="9"/>
  <c r="F19" i="9"/>
  <c r="E19" i="9"/>
  <c r="I19" i="1" s="1"/>
  <c r="D19" i="9"/>
  <c r="I19" i="20" s="1"/>
  <c r="C19" i="9"/>
  <c r="I19" i="18" s="1"/>
  <c r="B19" i="9"/>
  <c r="I19" i="19" s="1"/>
  <c r="A19" i="9"/>
  <c r="L18" i="9"/>
  <c r="I18" i="21" s="1"/>
  <c r="K18" i="9"/>
  <c r="J18" i="9"/>
  <c r="I18" i="9"/>
  <c r="H18" i="9"/>
  <c r="G18" i="9"/>
  <c r="F18" i="9"/>
  <c r="E18" i="9"/>
  <c r="I18" i="1" s="1"/>
  <c r="D18" i="9"/>
  <c r="I18" i="20" s="1"/>
  <c r="C18" i="9"/>
  <c r="I18" i="18" s="1"/>
  <c r="B18" i="9"/>
  <c r="I18" i="19" s="1"/>
  <c r="A18" i="9"/>
  <c r="L17" i="9"/>
  <c r="I17" i="21" s="1"/>
  <c r="K17" i="9"/>
  <c r="J17" i="9"/>
  <c r="I17" i="9"/>
  <c r="H17" i="9"/>
  <c r="G17" i="9"/>
  <c r="F17" i="9"/>
  <c r="E17" i="9"/>
  <c r="I17" i="1" s="1"/>
  <c r="D17" i="9"/>
  <c r="I17" i="20" s="1"/>
  <c r="C17" i="9"/>
  <c r="I17" i="18" s="1"/>
  <c r="B17" i="9"/>
  <c r="I17" i="19" s="1"/>
  <c r="A17" i="9"/>
  <c r="L16" i="9"/>
  <c r="I16" i="21" s="1"/>
  <c r="K16" i="9"/>
  <c r="J16" i="9"/>
  <c r="I16" i="9"/>
  <c r="H16" i="9"/>
  <c r="G16" i="9"/>
  <c r="F16" i="9"/>
  <c r="E16" i="9"/>
  <c r="I16" i="1" s="1"/>
  <c r="D16" i="9"/>
  <c r="I16" i="20" s="1"/>
  <c r="C16" i="9"/>
  <c r="I16" i="18" s="1"/>
  <c r="B16" i="9"/>
  <c r="I16" i="19" s="1"/>
  <c r="A16" i="9"/>
  <c r="L15" i="9"/>
  <c r="I15" i="21" s="1"/>
  <c r="K15" i="9"/>
  <c r="J15" i="9"/>
  <c r="I15" i="9"/>
  <c r="H15" i="9"/>
  <c r="G15" i="9"/>
  <c r="F15" i="9"/>
  <c r="E15" i="9"/>
  <c r="I15" i="1" s="1"/>
  <c r="D15" i="9"/>
  <c r="I15" i="20" s="1"/>
  <c r="C15" i="9"/>
  <c r="I15" i="18" s="1"/>
  <c r="B15" i="9"/>
  <c r="I15" i="19" s="1"/>
  <c r="A15" i="9"/>
  <c r="L14" i="9"/>
  <c r="I14" i="21" s="1"/>
  <c r="K14" i="9"/>
  <c r="J14" i="9"/>
  <c r="I14" i="9"/>
  <c r="H14" i="9"/>
  <c r="G14" i="9"/>
  <c r="F14" i="9"/>
  <c r="E14" i="9"/>
  <c r="I14" i="1" s="1"/>
  <c r="D14" i="9"/>
  <c r="I14" i="20" s="1"/>
  <c r="C14" i="9"/>
  <c r="I14" i="18" s="1"/>
  <c r="B14" i="9"/>
  <c r="I14" i="19" s="1"/>
  <c r="A14" i="9"/>
  <c r="L13" i="9"/>
  <c r="I13" i="21" s="1"/>
  <c r="K13" i="9"/>
  <c r="J13" i="9"/>
  <c r="I13" i="9"/>
  <c r="H13" i="9"/>
  <c r="G13" i="9"/>
  <c r="F13" i="9"/>
  <c r="E13" i="9"/>
  <c r="I13" i="1" s="1"/>
  <c r="D13" i="9"/>
  <c r="I13" i="20" s="1"/>
  <c r="C13" i="9"/>
  <c r="I13" i="18" s="1"/>
  <c r="B13" i="9"/>
  <c r="I13" i="19" s="1"/>
  <c r="A13" i="9"/>
  <c r="L12" i="9"/>
  <c r="I12" i="21" s="1"/>
  <c r="K12" i="9"/>
  <c r="J12" i="9"/>
  <c r="I12" i="9"/>
  <c r="H12" i="9"/>
  <c r="G12" i="9"/>
  <c r="F12" i="9"/>
  <c r="E12" i="9"/>
  <c r="I12" i="1" s="1"/>
  <c r="D12" i="9"/>
  <c r="I12" i="20" s="1"/>
  <c r="C12" i="9"/>
  <c r="I12" i="18" s="1"/>
  <c r="B12" i="9"/>
  <c r="I12" i="19" s="1"/>
  <c r="A12" i="9"/>
  <c r="L11" i="9"/>
  <c r="I11" i="21" s="1"/>
  <c r="K11" i="9"/>
  <c r="J11" i="9"/>
  <c r="I11" i="9"/>
  <c r="H11" i="9"/>
  <c r="G11" i="9"/>
  <c r="F11" i="9"/>
  <c r="E11" i="9"/>
  <c r="I11" i="1" s="1"/>
  <c r="D11" i="9"/>
  <c r="I11" i="20" s="1"/>
  <c r="C11" i="9"/>
  <c r="I11" i="18" s="1"/>
  <c r="B11" i="9"/>
  <c r="I11" i="19" s="1"/>
  <c r="A11" i="9"/>
  <c r="L10" i="9"/>
  <c r="I10" i="21" s="1"/>
  <c r="K10" i="9"/>
  <c r="J10" i="9"/>
  <c r="I10" i="9"/>
  <c r="H10" i="9"/>
  <c r="G10" i="9"/>
  <c r="F10" i="9"/>
  <c r="E10" i="9"/>
  <c r="I10" i="1" s="1"/>
  <c r="D10" i="9"/>
  <c r="I10" i="20" s="1"/>
  <c r="C10" i="9"/>
  <c r="I10" i="18" s="1"/>
  <c r="B10" i="9"/>
  <c r="I10" i="19" s="1"/>
  <c r="A10" i="9"/>
  <c r="L9" i="9"/>
  <c r="I9" i="21" s="1"/>
  <c r="K9" i="9"/>
  <c r="J9" i="9"/>
  <c r="I9" i="9"/>
  <c r="H9" i="9"/>
  <c r="G9" i="9"/>
  <c r="F9" i="9"/>
  <c r="E9" i="9"/>
  <c r="I9" i="1" s="1"/>
  <c r="D9" i="9"/>
  <c r="I9" i="20" s="1"/>
  <c r="C9" i="9"/>
  <c r="I9" i="18" s="1"/>
  <c r="B9" i="9"/>
  <c r="I9" i="19" s="1"/>
  <c r="A9" i="9"/>
  <c r="L8" i="9"/>
  <c r="I8" i="21" s="1"/>
  <c r="K8" i="9"/>
  <c r="J8" i="9"/>
  <c r="I8" i="9"/>
  <c r="H8" i="9"/>
  <c r="G8" i="9"/>
  <c r="F8" i="9"/>
  <c r="E8" i="9"/>
  <c r="I8" i="1" s="1"/>
  <c r="D8" i="9"/>
  <c r="I8" i="20" s="1"/>
  <c r="C8" i="9"/>
  <c r="I8" i="18" s="1"/>
  <c r="B8" i="9"/>
  <c r="I8" i="19" s="1"/>
  <c r="A8" i="9"/>
  <c r="L7" i="9"/>
  <c r="I7" i="21" s="1"/>
  <c r="K7" i="9"/>
  <c r="J7" i="9"/>
  <c r="I7" i="9"/>
  <c r="H7" i="9"/>
  <c r="G7" i="9"/>
  <c r="F7" i="9"/>
  <c r="E7" i="9"/>
  <c r="I7" i="1" s="1"/>
  <c r="D7" i="9"/>
  <c r="I7" i="20" s="1"/>
  <c r="C7" i="9"/>
  <c r="I7" i="18" s="1"/>
  <c r="B7" i="9"/>
  <c r="I7" i="19" s="1"/>
  <c r="A7" i="9"/>
  <c r="L6" i="9"/>
  <c r="I6" i="21" s="1"/>
  <c r="K6" i="9"/>
  <c r="J6" i="9"/>
  <c r="I6" i="9"/>
  <c r="H6" i="9"/>
  <c r="G6" i="9"/>
  <c r="F6" i="9"/>
  <c r="E6" i="9"/>
  <c r="I6" i="1" s="1"/>
  <c r="D6" i="9"/>
  <c r="I6" i="20" s="1"/>
  <c r="C6" i="9"/>
  <c r="I6" i="18" s="1"/>
  <c r="B6" i="9"/>
  <c r="I6" i="19" s="1"/>
  <c r="A6" i="9"/>
  <c r="L5" i="9"/>
  <c r="I5" i="21" s="1"/>
  <c r="K5" i="9"/>
  <c r="J5" i="9"/>
  <c r="I5" i="9"/>
  <c r="H5" i="9"/>
  <c r="G5" i="9"/>
  <c r="F5" i="9"/>
  <c r="E5" i="9"/>
  <c r="I5" i="1" s="1"/>
  <c r="D5" i="9"/>
  <c r="I5" i="20" s="1"/>
  <c r="C5" i="9"/>
  <c r="I5" i="18" s="1"/>
  <c r="B5" i="9"/>
  <c r="I5" i="19" s="1"/>
  <c r="A5" i="9"/>
  <c r="L4" i="9"/>
  <c r="I4" i="21" s="1"/>
  <c r="K4" i="9"/>
  <c r="J4" i="9"/>
  <c r="I4" i="9"/>
  <c r="H4" i="9"/>
  <c r="G4" i="9"/>
  <c r="F4" i="9"/>
  <c r="E4" i="9"/>
  <c r="I4" i="1" s="1"/>
  <c r="D4" i="9"/>
  <c r="I4" i="20" s="1"/>
  <c r="C4" i="9"/>
  <c r="I4" i="18" s="1"/>
  <c r="B4" i="9"/>
  <c r="I4" i="19" s="1"/>
  <c r="A4" i="9"/>
  <c r="L3" i="9"/>
  <c r="I3" i="21" s="1"/>
  <c r="K3" i="9"/>
  <c r="J3" i="9"/>
  <c r="I3" i="9"/>
  <c r="H3" i="9"/>
  <c r="G3" i="9"/>
  <c r="F3" i="9"/>
  <c r="E3" i="9"/>
  <c r="I3" i="1" s="1"/>
  <c r="D3" i="9"/>
  <c r="I3" i="20" s="1"/>
  <c r="C3" i="9"/>
  <c r="I3" i="18" s="1"/>
  <c r="B3" i="9"/>
  <c r="I3" i="19" s="1"/>
  <c r="A3" i="9"/>
  <c r="L2" i="9"/>
  <c r="I2" i="21" s="1"/>
  <c r="K2" i="9"/>
  <c r="J2" i="9"/>
  <c r="I2" i="9"/>
  <c r="H2" i="9"/>
  <c r="G2" i="9"/>
  <c r="F2" i="9"/>
  <c r="E2" i="9"/>
  <c r="I2" i="1" s="1"/>
  <c r="D2" i="9"/>
  <c r="I2" i="20" s="1"/>
  <c r="C2" i="9"/>
  <c r="I2" i="18" s="1"/>
  <c r="B2" i="9"/>
  <c r="I2" i="19" s="1"/>
  <c r="A2" i="9"/>
  <c r="L27" i="8"/>
  <c r="H27" i="21" s="1"/>
  <c r="K27" i="8"/>
  <c r="J27" i="8"/>
  <c r="I27" i="8"/>
  <c r="H27" i="8"/>
  <c r="G27" i="8"/>
  <c r="F27" i="8"/>
  <c r="E27" i="8"/>
  <c r="H27" i="1" s="1"/>
  <c r="D27" i="8"/>
  <c r="H27" i="20" s="1"/>
  <c r="C27" i="8"/>
  <c r="H27" i="18" s="1"/>
  <c r="B27" i="8"/>
  <c r="H27" i="19" s="1"/>
  <c r="A27" i="8"/>
  <c r="L26" i="8"/>
  <c r="H26" i="21" s="1"/>
  <c r="K26" i="8"/>
  <c r="J26" i="8"/>
  <c r="I26" i="8"/>
  <c r="H26" i="8"/>
  <c r="G26" i="8"/>
  <c r="F26" i="8"/>
  <c r="E26" i="8"/>
  <c r="H26" i="1" s="1"/>
  <c r="D26" i="8"/>
  <c r="H26" i="20" s="1"/>
  <c r="C26" i="8"/>
  <c r="H26" i="18" s="1"/>
  <c r="B26" i="8"/>
  <c r="H26" i="19" s="1"/>
  <c r="A26" i="8"/>
  <c r="L25" i="8"/>
  <c r="H25" i="21" s="1"/>
  <c r="K25" i="8"/>
  <c r="J25" i="8"/>
  <c r="I25" i="8"/>
  <c r="H25" i="8"/>
  <c r="G25" i="8"/>
  <c r="F25" i="8"/>
  <c r="E25" i="8"/>
  <c r="H25" i="1" s="1"/>
  <c r="D25" i="8"/>
  <c r="H25" i="20" s="1"/>
  <c r="C25" i="8"/>
  <c r="H25" i="18" s="1"/>
  <c r="B25" i="8"/>
  <c r="H25" i="19" s="1"/>
  <c r="A25" i="8"/>
  <c r="L24" i="8"/>
  <c r="H24" i="21" s="1"/>
  <c r="K24" i="8"/>
  <c r="J24" i="8"/>
  <c r="I24" i="8"/>
  <c r="H24" i="8"/>
  <c r="G24" i="8"/>
  <c r="F24" i="8"/>
  <c r="E24" i="8"/>
  <c r="H24" i="1" s="1"/>
  <c r="D24" i="8"/>
  <c r="H24" i="20" s="1"/>
  <c r="C24" i="8"/>
  <c r="H24" i="18" s="1"/>
  <c r="B24" i="8"/>
  <c r="H24" i="19" s="1"/>
  <c r="A24" i="8"/>
  <c r="L23" i="8"/>
  <c r="H23" i="21" s="1"/>
  <c r="K23" i="8"/>
  <c r="J23" i="8"/>
  <c r="I23" i="8"/>
  <c r="H23" i="8"/>
  <c r="G23" i="8"/>
  <c r="F23" i="8"/>
  <c r="E23" i="8"/>
  <c r="H23" i="1" s="1"/>
  <c r="D23" i="8"/>
  <c r="H23" i="20" s="1"/>
  <c r="C23" i="8"/>
  <c r="H23" i="18" s="1"/>
  <c r="B23" i="8"/>
  <c r="H23" i="19" s="1"/>
  <c r="A23" i="8"/>
  <c r="L22" i="8"/>
  <c r="H22" i="21" s="1"/>
  <c r="K22" i="8"/>
  <c r="J22" i="8"/>
  <c r="I22" i="8"/>
  <c r="H22" i="8"/>
  <c r="G22" i="8"/>
  <c r="F22" i="8"/>
  <c r="E22" i="8"/>
  <c r="H22" i="1" s="1"/>
  <c r="D22" i="8"/>
  <c r="H22" i="20" s="1"/>
  <c r="C22" i="8"/>
  <c r="H22" i="18" s="1"/>
  <c r="B22" i="8"/>
  <c r="H22" i="19" s="1"/>
  <c r="A22" i="8"/>
  <c r="L21" i="8"/>
  <c r="H21" i="21" s="1"/>
  <c r="K21" i="8"/>
  <c r="J21" i="8"/>
  <c r="I21" i="8"/>
  <c r="H21" i="8"/>
  <c r="G21" i="8"/>
  <c r="F21" i="8"/>
  <c r="E21" i="8"/>
  <c r="H21" i="1" s="1"/>
  <c r="D21" i="8"/>
  <c r="H21" i="20" s="1"/>
  <c r="C21" i="8"/>
  <c r="H21" i="18" s="1"/>
  <c r="B21" i="8"/>
  <c r="H21" i="19" s="1"/>
  <c r="A21" i="8"/>
  <c r="L20" i="8"/>
  <c r="H20" i="21" s="1"/>
  <c r="K20" i="8"/>
  <c r="J20" i="8"/>
  <c r="I20" i="8"/>
  <c r="H20" i="8"/>
  <c r="G20" i="8"/>
  <c r="F20" i="8"/>
  <c r="E20" i="8"/>
  <c r="H20" i="1" s="1"/>
  <c r="D20" i="8"/>
  <c r="H20" i="20" s="1"/>
  <c r="C20" i="8"/>
  <c r="H20" i="18" s="1"/>
  <c r="B20" i="8"/>
  <c r="H20" i="19" s="1"/>
  <c r="A20" i="8"/>
  <c r="L19" i="8"/>
  <c r="H19" i="21" s="1"/>
  <c r="K19" i="8"/>
  <c r="J19" i="8"/>
  <c r="I19" i="8"/>
  <c r="H19" i="8"/>
  <c r="G19" i="8"/>
  <c r="F19" i="8"/>
  <c r="E19" i="8"/>
  <c r="H19" i="1" s="1"/>
  <c r="D19" i="8"/>
  <c r="H19" i="20" s="1"/>
  <c r="C19" i="8"/>
  <c r="H19" i="18" s="1"/>
  <c r="B19" i="8"/>
  <c r="H19" i="19" s="1"/>
  <c r="A19" i="8"/>
  <c r="L18" i="8"/>
  <c r="H18" i="21" s="1"/>
  <c r="K18" i="8"/>
  <c r="J18" i="8"/>
  <c r="I18" i="8"/>
  <c r="H18" i="8"/>
  <c r="G18" i="8"/>
  <c r="F18" i="8"/>
  <c r="E18" i="8"/>
  <c r="H18" i="1" s="1"/>
  <c r="D18" i="8"/>
  <c r="H18" i="20" s="1"/>
  <c r="C18" i="8"/>
  <c r="H18" i="18" s="1"/>
  <c r="B18" i="8"/>
  <c r="H18" i="19" s="1"/>
  <c r="A18" i="8"/>
  <c r="L17" i="8"/>
  <c r="H17" i="21" s="1"/>
  <c r="K17" i="8"/>
  <c r="J17" i="8"/>
  <c r="I17" i="8"/>
  <c r="H17" i="8"/>
  <c r="G17" i="8"/>
  <c r="F17" i="8"/>
  <c r="E17" i="8"/>
  <c r="H17" i="1" s="1"/>
  <c r="D17" i="8"/>
  <c r="H17" i="20" s="1"/>
  <c r="C17" i="8"/>
  <c r="H17" i="18" s="1"/>
  <c r="B17" i="8"/>
  <c r="H17" i="19" s="1"/>
  <c r="A17" i="8"/>
  <c r="L16" i="8"/>
  <c r="H16" i="21" s="1"/>
  <c r="K16" i="8"/>
  <c r="J16" i="8"/>
  <c r="I16" i="8"/>
  <c r="H16" i="8"/>
  <c r="G16" i="8"/>
  <c r="F16" i="8"/>
  <c r="E16" i="8"/>
  <c r="H16" i="1" s="1"/>
  <c r="D16" i="8"/>
  <c r="H16" i="20" s="1"/>
  <c r="C16" i="8"/>
  <c r="H16" i="18" s="1"/>
  <c r="B16" i="8"/>
  <c r="H16" i="19" s="1"/>
  <c r="A16" i="8"/>
  <c r="L15" i="8"/>
  <c r="H15" i="21" s="1"/>
  <c r="K15" i="8"/>
  <c r="J15" i="8"/>
  <c r="I15" i="8"/>
  <c r="H15" i="8"/>
  <c r="G15" i="8"/>
  <c r="F15" i="8"/>
  <c r="E15" i="8"/>
  <c r="H15" i="1" s="1"/>
  <c r="D15" i="8"/>
  <c r="H15" i="20" s="1"/>
  <c r="C15" i="8"/>
  <c r="H15" i="18" s="1"/>
  <c r="B15" i="8"/>
  <c r="H15" i="19" s="1"/>
  <c r="A15" i="8"/>
  <c r="L14" i="8"/>
  <c r="H14" i="21" s="1"/>
  <c r="K14" i="8"/>
  <c r="J14" i="8"/>
  <c r="I14" i="8"/>
  <c r="H14" i="8"/>
  <c r="G14" i="8"/>
  <c r="F14" i="8"/>
  <c r="E14" i="8"/>
  <c r="H14" i="1" s="1"/>
  <c r="D14" i="8"/>
  <c r="H14" i="20" s="1"/>
  <c r="C14" i="8"/>
  <c r="H14" i="18" s="1"/>
  <c r="B14" i="8"/>
  <c r="H14" i="19" s="1"/>
  <c r="A14" i="8"/>
  <c r="L13" i="8"/>
  <c r="H13" i="21" s="1"/>
  <c r="K13" i="8"/>
  <c r="J13" i="8"/>
  <c r="I13" i="8"/>
  <c r="H13" i="8"/>
  <c r="G13" i="8"/>
  <c r="F13" i="8"/>
  <c r="E13" i="8"/>
  <c r="H13" i="1" s="1"/>
  <c r="D13" i="8"/>
  <c r="H13" i="20" s="1"/>
  <c r="C13" i="8"/>
  <c r="H13" i="18" s="1"/>
  <c r="B13" i="8"/>
  <c r="H13" i="19" s="1"/>
  <c r="A13" i="8"/>
  <c r="L12" i="8"/>
  <c r="H12" i="21" s="1"/>
  <c r="K12" i="8"/>
  <c r="J12" i="8"/>
  <c r="I12" i="8"/>
  <c r="H12" i="8"/>
  <c r="G12" i="8"/>
  <c r="F12" i="8"/>
  <c r="E12" i="8"/>
  <c r="H12" i="1" s="1"/>
  <c r="D12" i="8"/>
  <c r="H12" i="20" s="1"/>
  <c r="C12" i="8"/>
  <c r="H12" i="18" s="1"/>
  <c r="B12" i="8"/>
  <c r="H12" i="19" s="1"/>
  <c r="A12" i="8"/>
  <c r="L11" i="8"/>
  <c r="H11" i="21" s="1"/>
  <c r="K11" i="8"/>
  <c r="J11" i="8"/>
  <c r="I11" i="8"/>
  <c r="H11" i="8"/>
  <c r="G11" i="8"/>
  <c r="F11" i="8"/>
  <c r="E11" i="8"/>
  <c r="H11" i="1" s="1"/>
  <c r="D11" i="8"/>
  <c r="H11" i="20" s="1"/>
  <c r="C11" i="8"/>
  <c r="H11" i="18" s="1"/>
  <c r="B11" i="8"/>
  <c r="H11" i="19" s="1"/>
  <c r="A11" i="8"/>
  <c r="L10" i="8"/>
  <c r="H10" i="21" s="1"/>
  <c r="K10" i="8"/>
  <c r="J10" i="8"/>
  <c r="I10" i="8"/>
  <c r="H10" i="8"/>
  <c r="G10" i="8"/>
  <c r="F10" i="8"/>
  <c r="E10" i="8"/>
  <c r="H10" i="1" s="1"/>
  <c r="D10" i="8"/>
  <c r="H10" i="20" s="1"/>
  <c r="C10" i="8"/>
  <c r="H10" i="18" s="1"/>
  <c r="B10" i="8"/>
  <c r="H10" i="19" s="1"/>
  <c r="A10" i="8"/>
  <c r="L9" i="8"/>
  <c r="H9" i="21" s="1"/>
  <c r="K9" i="8"/>
  <c r="J9" i="8"/>
  <c r="I9" i="8"/>
  <c r="H9" i="8"/>
  <c r="G9" i="8"/>
  <c r="F9" i="8"/>
  <c r="E9" i="8"/>
  <c r="H9" i="1" s="1"/>
  <c r="D9" i="8"/>
  <c r="H9" i="20" s="1"/>
  <c r="C9" i="8"/>
  <c r="H9" i="18" s="1"/>
  <c r="B9" i="8"/>
  <c r="H9" i="19" s="1"/>
  <c r="A9" i="8"/>
  <c r="L8" i="8"/>
  <c r="H8" i="21" s="1"/>
  <c r="K8" i="8"/>
  <c r="J8" i="8"/>
  <c r="I8" i="8"/>
  <c r="H8" i="8"/>
  <c r="G8" i="8"/>
  <c r="F8" i="8"/>
  <c r="E8" i="8"/>
  <c r="H8" i="1" s="1"/>
  <c r="D8" i="8"/>
  <c r="H8" i="20" s="1"/>
  <c r="C8" i="8"/>
  <c r="H8" i="18" s="1"/>
  <c r="B8" i="8"/>
  <c r="H8" i="19" s="1"/>
  <c r="A8" i="8"/>
  <c r="L7" i="8"/>
  <c r="H7" i="21" s="1"/>
  <c r="K7" i="8"/>
  <c r="J7" i="8"/>
  <c r="I7" i="8"/>
  <c r="H7" i="8"/>
  <c r="G7" i="8"/>
  <c r="F7" i="8"/>
  <c r="E7" i="8"/>
  <c r="H7" i="1" s="1"/>
  <c r="D7" i="8"/>
  <c r="H7" i="20" s="1"/>
  <c r="C7" i="8"/>
  <c r="H7" i="18" s="1"/>
  <c r="B7" i="8"/>
  <c r="H7" i="19" s="1"/>
  <c r="A7" i="8"/>
  <c r="L6" i="8"/>
  <c r="H6" i="21" s="1"/>
  <c r="K6" i="8"/>
  <c r="J6" i="8"/>
  <c r="I6" i="8"/>
  <c r="H6" i="8"/>
  <c r="G6" i="8"/>
  <c r="F6" i="8"/>
  <c r="E6" i="8"/>
  <c r="H6" i="1" s="1"/>
  <c r="D6" i="8"/>
  <c r="H6" i="20" s="1"/>
  <c r="C6" i="8"/>
  <c r="H6" i="18" s="1"/>
  <c r="B6" i="8"/>
  <c r="H6" i="19" s="1"/>
  <c r="A6" i="8"/>
  <c r="L5" i="8"/>
  <c r="H5" i="21" s="1"/>
  <c r="K5" i="8"/>
  <c r="J5" i="8"/>
  <c r="I5" i="8"/>
  <c r="H5" i="8"/>
  <c r="G5" i="8"/>
  <c r="F5" i="8"/>
  <c r="E5" i="8"/>
  <c r="H5" i="1" s="1"/>
  <c r="D5" i="8"/>
  <c r="H5" i="20" s="1"/>
  <c r="C5" i="8"/>
  <c r="H5" i="18" s="1"/>
  <c r="B5" i="8"/>
  <c r="H5" i="19" s="1"/>
  <c r="A5" i="8"/>
  <c r="L4" i="8"/>
  <c r="H4" i="21" s="1"/>
  <c r="K4" i="8"/>
  <c r="J4" i="8"/>
  <c r="I4" i="8"/>
  <c r="H4" i="8"/>
  <c r="G4" i="8"/>
  <c r="F4" i="8"/>
  <c r="E4" i="8"/>
  <c r="H4" i="1" s="1"/>
  <c r="D4" i="8"/>
  <c r="H4" i="20" s="1"/>
  <c r="C4" i="8"/>
  <c r="H4" i="18" s="1"/>
  <c r="B4" i="8"/>
  <c r="H4" i="19" s="1"/>
  <c r="A4" i="8"/>
  <c r="L3" i="8"/>
  <c r="H3" i="21" s="1"/>
  <c r="K3" i="8"/>
  <c r="J3" i="8"/>
  <c r="I3" i="8"/>
  <c r="H3" i="8"/>
  <c r="G3" i="8"/>
  <c r="F3" i="8"/>
  <c r="E3" i="8"/>
  <c r="H3" i="1" s="1"/>
  <c r="D3" i="8"/>
  <c r="H3" i="20" s="1"/>
  <c r="C3" i="8"/>
  <c r="H3" i="18" s="1"/>
  <c r="B3" i="8"/>
  <c r="H3" i="19" s="1"/>
  <c r="A3" i="8"/>
  <c r="L2" i="8"/>
  <c r="H2" i="21" s="1"/>
  <c r="K2" i="8"/>
  <c r="J2" i="8"/>
  <c r="I2" i="8"/>
  <c r="H2" i="8"/>
  <c r="G2" i="8"/>
  <c r="F2" i="8"/>
  <c r="E2" i="8"/>
  <c r="H2" i="1" s="1"/>
  <c r="D2" i="8"/>
  <c r="H2" i="20" s="1"/>
  <c r="C2" i="8"/>
  <c r="H2" i="18" s="1"/>
  <c r="B2" i="8"/>
  <c r="H2" i="19" s="1"/>
  <c r="A2" i="8"/>
  <c r="L27" i="7"/>
  <c r="G27" i="21" s="1"/>
  <c r="K27" i="7"/>
  <c r="J27" i="7"/>
  <c r="I27" i="7"/>
  <c r="H27" i="7"/>
  <c r="G27" i="7"/>
  <c r="F27" i="7"/>
  <c r="E27" i="7"/>
  <c r="G27" i="1" s="1"/>
  <c r="D27" i="7"/>
  <c r="G27" i="20" s="1"/>
  <c r="C27" i="7"/>
  <c r="G27" i="18" s="1"/>
  <c r="B27" i="7"/>
  <c r="G27" i="19" s="1"/>
  <c r="A27" i="7"/>
  <c r="L26" i="7"/>
  <c r="G26" i="21" s="1"/>
  <c r="K26" i="7"/>
  <c r="J26" i="7"/>
  <c r="I26" i="7"/>
  <c r="H26" i="7"/>
  <c r="G26" i="7"/>
  <c r="F26" i="7"/>
  <c r="E26" i="7"/>
  <c r="G26" i="1" s="1"/>
  <c r="D26" i="7"/>
  <c r="G26" i="20" s="1"/>
  <c r="C26" i="7"/>
  <c r="G26" i="18" s="1"/>
  <c r="B26" i="7"/>
  <c r="G26" i="19" s="1"/>
  <c r="A26" i="7"/>
  <c r="L25" i="7"/>
  <c r="G25" i="21" s="1"/>
  <c r="K25" i="7"/>
  <c r="J25" i="7"/>
  <c r="I25" i="7"/>
  <c r="H25" i="7"/>
  <c r="G25" i="7"/>
  <c r="F25" i="7"/>
  <c r="E25" i="7"/>
  <c r="G25" i="1" s="1"/>
  <c r="D25" i="7"/>
  <c r="G25" i="20" s="1"/>
  <c r="C25" i="7"/>
  <c r="G25" i="18" s="1"/>
  <c r="B25" i="7"/>
  <c r="G25" i="19" s="1"/>
  <c r="A25" i="7"/>
  <c r="L24" i="7"/>
  <c r="G24" i="21" s="1"/>
  <c r="K24" i="7"/>
  <c r="J24" i="7"/>
  <c r="I24" i="7"/>
  <c r="H24" i="7"/>
  <c r="G24" i="7"/>
  <c r="F24" i="7"/>
  <c r="E24" i="7"/>
  <c r="G24" i="1" s="1"/>
  <c r="D24" i="7"/>
  <c r="G24" i="20" s="1"/>
  <c r="C24" i="7"/>
  <c r="G24" i="18" s="1"/>
  <c r="B24" i="7"/>
  <c r="G24" i="19" s="1"/>
  <c r="A24" i="7"/>
  <c r="L23" i="7"/>
  <c r="G23" i="21" s="1"/>
  <c r="K23" i="7"/>
  <c r="J23" i="7"/>
  <c r="I23" i="7"/>
  <c r="H23" i="7"/>
  <c r="G23" i="7"/>
  <c r="F23" i="7"/>
  <c r="E23" i="7"/>
  <c r="G23" i="1" s="1"/>
  <c r="D23" i="7"/>
  <c r="G23" i="20" s="1"/>
  <c r="C23" i="7"/>
  <c r="G23" i="18" s="1"/>
  <c r="B23" i="7"/>
  <c r="G23" i="19" s="1"/>
  <c r="A23" i="7"/>
  <c r="L22" i="7"/>
  <c r="G22" i="21" s="1"/>
  <c r="K22" i="7"/>
  <c r="J22" i="7"/>
  <c r="I22" i="7"/>
  <c r="H22" i="7"/>
  <c r="G22" i="7"/>
  <c r="F22" i="7"/>
  <c r="E22" i="7"/>
  <c r="G22" i="1" s="1"/>
  <c r="D22" i="7"/>
  <c r="G22" i="20" s="1"/>
  <c r="C22" i="7"/>
  <c r="G22" i="18" s="1"/>
  <c r="B22" i="7"/>
  <c r="G22" i="19" s="1"/>
  <c r="A22" i="7"/>
  <c r="L21" i="7"/>
  <c r="G21" i="21" s="1"/>
  <c r="K21" i="7"/>
  <c r="J21" i="7"/>
  <c r="I21" i="7"/>
  <c r="H21" i="7"/>
  <c r="G21" i="7"/>
  <c r="F21" i="7"/>
  <c r="E21" i="7"/>
  <c r="G21" i="1" s="1"/>
  <c r="D21" i="7"/>
  <c r="G21" i="20" s="1"/>
  <c r="C21" i="7"/>
  <c r="G21" i="18" s="1"/>
  <c r="B21" i="7"/>
  <c r="G21" i="19" s="1"/>
  <c r="A21" i="7"/>
  <c r="L20" i="7"/>
  <c r="G20" i="21" s="1"/>
  <c r="K20" i="7"/>
  <c r="J20" i="7"/>
  <c r="I20" i="7"/>
  <c r="H20" i="7"/>
  <c r="G20" i="7"/>
  <c r="F20" i="7"/>
  <c r="E20" i="7"/>
  <c r="G20" i="1" s="1"/>
  <c r="D20" i="7"/>
  <c r="G20" i="20" s="1"/>
  <c r="C20" i="7"/>
  <c r="G20" i="18" s="1"/>
  <c r="B20" i="7"/>
  <c r="G20" i="19" s="1"/>
  <c r="A20" i="7"/>
  <c r="L19" i="7"/>
  <c r="G19" i="21" s="1"/>
  <c r="K19" i="7"/>
  <c r="J19" i="7"/>
  <c r="I19" i="7"/>
  <c r="H19" i="7"/>
  <c r="G19" i="7"/>
  <c r="F19" i="7"/>
  <c r="E19" i="7"/>
  <c r="G19" i="1" s="1"/>
  <c r="D19" i="7"/>
  <c r="G19" i="20" s="1"/>
  <c r="C19" i="7"/>
  <c r="G19" i="18" s="1"/>
  <c r="B19" i="7"/>
  <c r="G19" i="19" s="1"/>
  <c r="A19" i="7"/>
  <c r="L18" i="7"/>
  <c r="G18" i="21" s="1"/>
  <c r="K18" i="7"/>
  <c r="J18" i="7"/>
  <c r="I18" i="7"/>
  <c r="H18" i="7"/>
  <c r="G18" i="7"/>
  <c r="F18" i="7"/>
  <c r="E18" i="7"/>
  <c r="G18" i="1" s="1"/>
  <c r="D18" i="7"/>
  <c r="G18" i="20" s="1"/>
  <c r="C18" i="7"/>
  <c r="G18" i="18" s="1"/>
  <c r="B18" i="7"/>
  <c r="G18" i="19" s="1"/>
  <c r="A18" i="7"/>
  <c r="L17" i="7"/>
  <c r="G17" i="21" s="1"/>
  <c r="K17" i="7"/>
  <c r="J17" i="7"/>
  <c r="I17" i="7"/>
  <c r="H17" i="7"/>
  <c r="G17" i="7"/>
  <c r="F17" i="7"/>
  <c r="E17" i="7"/>
  <c r="G17" i="1" s="1"/>
  <c r="D17" i="7"/>
  <c r="G17" i="20" s="1"/>
  <c r="C17" i="7"/>
  <c r="G17" i="18" s="1"/>
  <c r="B17" i="7"/>
  <c r="G17" i="19" s="1"/>
  <c r="A17" i="7"/>
  <c r="L16" i="7"/>
  <c r="G16" i="21" s="1"/>
  <c r="K16" i="7"/>
  <c r="J16" i="7"/>
  <c r="I16" i="7"/>
  <c r="H16" i="7"/>
  <c r="G16" i="7"/>
  <c r="F16" i="7"/>
  <c r="E16" i="7"/>
  <c r="G16" i="1" s="1"/>
  <c r="D16" i="7"/>
  <c r="G16" i="20" s="1"/>
  <c r="C16" i="7"/>
  <c r="G16" i="18" s="1"/>
  <c r="B16" i="7"/>
  <c r="G16" i="19" s="1"/>
  <c r="A16" i="7"/>
  <c r="L15" i="7"/>
  <c r="G15" i="21" s="1"/>
  <c r="K15" i="7"/>
  <c r="J15" i="7"/>
  <c r="I15" i="7"/>
  <c r="H15" i="7"/>
  <c r="G15" i="7"/>
  <c r="F15" i="7"/>
  <c r="E15" i="7"/>
  <c r="G15" i="1" s="1"/>
  <c r="D15" i="7"/>
  <c r="G15" i="20" s="1"/>
  <c r="C15" i="7"/>
  <c r="G15" i="18" s="1"/>
  <c r="B15" i="7"/>
  <c r="G15" i="19" s="1"/>
  <c r="A15" i="7"/>
  <c r="L14" i="7"/>
  <c r="G14" i="21" s="1"/>
  <c r="K14" i="7"/>
  <c r="J14" i="7"/>
  <c r="I14" i="7"/>
  <c r="H14" i="7"/>
  <c r="G14" i="7"/>
  <c r="F14" i="7"/>
  <c r="E14" i="7"/>
  <c r="G14" i="1" s="1"/>
  <c r="D14" i="7"/>
  <c r="G14" i="20" s="1"/>
  <c r="C14" i="7"/>
  <c r="G14" i="18" s="1"/>
  <c r="B14" i="7"/>
  <c r="G14" i="19" s="1"/>
  <c r="A14" i="7"/>
  <c r="L13" i="7"/>
  <c r="G13" i="21" s="1"/>
  <c r="K13" i="7"/>
  <c r="J13" i="7"/>
  <c r="I13" i="7"/>
  <c r="H13" i="7"/>
  <c r="G13" i="7"/>
  <c r="F13" i="7"/>
  <c r="E13" i="7"/>
  <c r="G13" i="1" s="1"/>
  <c r="D13" i="7"/>
  <c r="G13" i="20" s="1"/>
  <c r="C13" i="7"/>
  <c r="G13" i="18" s="1"/>
  <c r="B13" i="7"/>
  <c r="G13" i="19" s="1"/>
  <c r="A13" i="7"/>
  <c r="L12" i="7"/>
  <c r="G12" i="21" s="1"/>
  <c r="K12" i="7"/>
  <c r="J12" i="7"/>
  <c r="I12" i="7"/>
  <c r="H12" i="7"/>
  <c r="G12" i="7"/>
  <c r="F12" i="7"/>
  <c r="E12" i="7"/>
  <c r="G12" i="1" s="1"/>
  <c r="D12" i="7"/>
  <c r="G12" i="20" s="1"/>
  <c r="C12" i="7"/>
  <c r="G12" i="18" s="1"/>
  <c r="B12" i="7"/>
  <c r="G12" i="19" s="1"/>
  <c r="A12" i="7"/>
  <c r="L11" i="7"/>
  <c r="G11" i="21" s="1"/>
  <c r="K11" i="7"/>
  <c r="J11" i="7"/>
  <c r="I11" i="7"/>
  <c r="H11" i="7"/>
  <c r="G11" i="7"/>
  <c r="F11" i="7"/>
  <c r="E11" i="7"/>
  <c r="G11" i="1" s="1"/>
  <c r="D11" i="7"/>
  <c r="G11" i="20" s="1"/>
  <c r="C11" i="7"/>
  <c r="G11" i="18" s="1"/>
  <c r="B11" i="7"/>
  <c r="G11" i="19" s="1"/>
  <c r="A11" i="7"/>
  <c r="L10" i="7"/>
  <c r="G10" i="21" s="1"/>
  <c r="K10" i="7"/>
  <c r="J10" i="7"/>
  <c r="I10" i="7"/>
  <c r="H10" i="7"/>
  <c r="G10" i="7"/>
  <c r="F10" i="7"/>
  <c r="E10" i="7"/>
  <c r="G10" i="1" s="1"/>
  <c r="D10" i="7"/>
  <c r="G10" i="20" s="1"/>
  <c r="C10" i="7"/>
  <c r="G10" i="18" s="1"/>
  <c r="B10" i="7"/>
  <c r="G10" i="19" s="1"/>
  <c r="A10" i="7"/>
  <c r="L9" i="7"/>
  <c r="G9" i="21" s="1"/>
  <c r="K9" i="7"/>
  <c r="J9" i="7"/>
  <c r="I9" i="7"/>
  <c r="H9" i="7"/>
  <c r="G9" i="7"/>
  <c r="F9" i="7"/>
  <c r="E9" i="7"/>
  <c r="G9" i="1" s="1"/>
  <c r="D9" i="7"/>
  <c r="G9" i="20" s="1"/>
  <c r="C9" i="7"/>
  <c r="G9" i="18" s="1"/>
  <c r="B9" i="7"/>
  <c r="G9" i="19" s="1"/>
  <c r="A9" i="7"/>
  <c r="L8" i="7"/>
  <c r="G8" i="21" s="1"/>
  <c r="K8" i="7"/>
  <c r="J8" i="7"/>
  <c r="I8" i="7"/>
  <c r="H8" i="7"/>
  <c r="G8" i="7"/>
  <c r="F8" i="7"/>
  <c r="E8" i="7"/>
  <c r="G8" i="1" s="1"/>
  <c r="D8" i="7"/>
  <c r="G8" i="20" s="1"/>
  <c r="C8" i="7"/>
  <c r="G8" i="18" s="1"/>
  <c r="B8" i="7"/>
  <c r="G8" i="19" s="1"/>
  <c r="A8" i="7"/>
  <c r="L7" i="7"/>
  <c r="G7" i="21" s="1"/>
  <c r="K7" i="7"/>
  <c r="J7" i="7"/>
  <c r="I7" i="7"/>
  <c r="H7" i="7"/>
  <c r="G7" i="7"/>
  <c r="F7" i="7"/>
  <c r="E7" i="7"/>
  <c r="G7" i="1" s="1"/>
  <c r="D7" i="7"/>
  <c r="G7" i="20" s="1"/>
  <c r="C7" i="7"/>
  <c r="G7" i="18" s="1"/>
  <c r="B7" i="7"/>
  <c r="G7" i="19" s="1"/>
  <c r="A7" i="7"/>
  <c r="L6" i="7"/>
  <c r="G6" i="21" s="1"/>
  <c r="K6" i="7"/>
  <c r="J6" i="7"/>
  <c r="I6" i="7"/>
  <c r="H6" i="7"/>
  <c r="G6" i="7"/>
  <c r="F6" i="7"/>
  <c r="E6" i="7"/>
  <c r="G6" i="1" s="1"/>
  <c r="D6" i="7"/>
  <c r="G6" i="20" s="1"/>
  <c r="C6" i="7"/>
  <c r="G6" i="18" s="1"/>
  <c r="B6" i="7"/>
  <c r="G6" i="19" s="1"/>
  <c r="A6" i="7"/>
  <c r="L5" i="7"/>
  <c r="G5" i="21" s="1"/>
  <c r="K5" i="7"/>
  <c r="J5" i="7"/>
  <c r="I5" i="7"/>
  <c r="H5" i="7"/>
  <c r="G5" i="7"/>
  <c r="F5" i="7"/>
  <c r="E5" i="7"/>
  <c r="G5" i="1" s="1"/>
  <c r="D5" i="7"/>
  <c r="G5" i="20" s="1"/>
  <c r="C5" i="7"/>
  <c r="G5" i="18" s="1"/>
  <c r="B5" i="7"/>
  <c r="G5" i="19" s="1"/>
  <c r="A5" i="7"/>
  <c r="L4" i="7"/>
  <c r="G4" i="21" s="1"/>
  <c r="K4" i="7"/>
  <c r="J4" i="7"/>
  <c r="I4" i="7"/>
  <c r="H4" i="7"/>
  <c r="G4" i="7"/>
  <c r="F4" i="7"/>
  <c r="E4" i="7"/>
  <c r="G4" i="1" s="1"/>
  <c r="D4" i="7"/>
  <c r="G4" i="20" s="1"/>
  <c r="C4" i="7"/>
  <c r="G4" i="18" s="1"/>
  <c r="B4" i="7"/>
  <c r="G4" i="19" s="1"/>
  <c r="A4" i="7"/>
  <c r="L3" i="7"/>
  <c r="G3" i="21" s="1"/>
  <c r="K3" i="7"/>
  <c r="J3" i="7"/>
  <c r="I3" i="7"/>
  <c r="H3" i="7"/>
  <c r="G3" i="7"/>
  <c r="F3" i="7"/>
  <c r="E3" i="7"/>
  <c r="G3" i="1" s="1"/>
  <c r="D3" i="7"/>
  <c r="G3" i="20" s="1"/>
  <c r="C3" i="7"/>
  <c r="G3" i="18" s="1"/>
  <c r="B3" i="7"/>
  <c r="G3" i="19" s="1"/>
  <c r="A3" i="7"/>
  <c r="L2" i="7"/>
  <c r="G2" i="21" s="1"/>
  <c r="K2" i="7"/>
  <c r="J2" i="7"/>
  <c r="I2" i="7"/>
  <c r="H2" i="7"/>
  <c r="G2" i="7"/>
  <c r="F2" i="7"/>
  <c r="E2" i="7"/>
  <c r="G2" i="1" s="1"/>
  <c r="D2" i="7"/>
  <c r="G2" i="20" s="1"/>
  <c r="C2" i="7"/>
  <c r="G2" i="18" s="1"/>
  <c r="B2" i="7"/>
  <c r="G2" i="19" s="1"/>
  <c r="A2" i="7"/>
  <c r="L27" i="6"/>
  <c r="F27" i="21" s="1"/>
  <c r="K27" i="6"/>
  <c r="J27" i="6"/>
  <c r="I27" i="6"/>
  <c r="H27" i="6"/>
  <c r="G27" i="6"/>
  <c r="F27" i="6"/>
  <c r="E27" i="6"/>
  <c r="F27" i="1" s="1"/>
  <c r="D27" i="6"/>
  <c r="F27" i="20" s="1"/>
  <c r="C27" i="6"/>
  <c r="F27" i="18" s="1"/>
  <c r="B27" i="6"/>
  <c r="F27" i="19" s="1"/>
  <c r="A27" i="6"/>
  <c r="L26" i="6"/>
  <c r="F26" i="21" s="1"/>
  <c r="K26" i="6"/>
  <c r="J26" i="6"/>
  <c r="I26" i="6"/>
  <c r="H26" i="6"/>
  <c r="G26" i="6"/>
  <c r="F26" i="6"/>
  <c r="E26" i="6"/>
  <c r="F26" i="1" s="1"/>
  <c r="D26" i="6"/>
  <c r="F26" i="20" s="1"/>
  <c r="C26" i="6"/>
  <c r="F26" i="18" s="1"/>
  <c r="B26" i="6"/>
  <c r="F26" i="19" s="1"/>
  <c r="A26" i="6"/>
  <c r="L25" i="6"/>
  <c r="F25" i="21" s="1"/>
  <c r="K25" i="6"/>
  <c r="J25" i="6"/>
  <c r="I25" i="6"/>
  <c r="H25" i="6"/>
  <c r="G25" i="6"/>
  <c r="F25" i="6"/>
  <c r="E25" i="6"/>
  <c r="F25" i="1" s="1"/>
  <c r="D25" i="6"/>
  <c r="F25" i="20" s="1"/>
  <c r="C25" i="6"/>
  <c r="F25" i="18" s="1"/>
  <c r="B25" i="6"/>
  <c r="F25" i="19" s="1"/>
  <c r="A25" i="6"/>
  <c r="L24" i="6"/>
  <c r="F24" i="21" s="1"/>
  <c r="K24" i="6"/>
  <c r="J24" i="6"/>
  <c r="I24" i="6"/>
  <c r="H24" i="6"/>
  <c r="G24" i="6"/>
  <c r="F24" i="6"/>
  <c r="E24" i="6"/>
  <c r="F24" i="1" s="1"/>
  <c r="D24" i="6"/>
  <c r="F24" i="20" s="1"/>
  <c r="C24" i="6"/>
  <c r="F24" i="18" s="1"/>
  <c r="B24" i="6"/>
  <c r="F24" i="19" s="1"/>
  <c r="A24" i="6"/>
  <c r="L23" i="6"/>
  <c r="F23" i="21" s="1"/>
  <c r="K23" i="6"/>
  <c r="J23" i="6"/>
  <c r="I23" i="6"/>
  <c r="H23" i="6"/>
  <c r="G23" i="6"/>
  <c r="F23" i="6"/>
  <c r="E23" i="6"/>
  <c r="F23" i="1" s="1"/>
  <c r="D23" i="6"/>
  <c r="F23" i="20" s="1"/>
  <c r="C23" i="6"/>
  <c r="F23" i="18" s="1"/>
  <c r="B23" i="6"/>
  <c r="F23" i="19" s="1"/>
  <c r="A23" i="6"/>
  <c r="L22" i="6"/>
  <c r="F22" i="21" s="1"/>
  <c r="K22" i="6"/>
  <c r="J22" i="6"/>
  <c r="I22" i="6"/>
  <c r="H22" i="6"/>
  <c r="G22" i="6"/>
  <c r="F22" i="6"/>
  <c r="E22" i="6"/>
  <c r="F22" i="1" s="1"/>
  <c r="D22" i="6"/>
  <c r="F22" i="20" s="1"/>
  <c r="C22" i="6"/>
  <c r="F22" i="18" s="1"/>
  <c r="B22" i="6"/>
  <c r="F22" i="19" s="1"/>
  <c r="A22" i="6"/>
  <c r="L21" i="6"/>
  <c r="F21" i="21" s="1"/>
  <c r="K21" i="6"/>
  <c r="J21" i="6"/>
  <c r="I21" i="6"/>
  <c r="H21" i="6"/>
  <c r="G21" i="6"/>
  <c r="F21" i="6"/>
  <c r="E21" i="6"/>
  <c r="F21" i="1" s="1"/>
  <c r="D21" i="6"/>
  <c r="F21" i="20" s="1"/>
  <c r="C21" i="6"/>
  <c r="F21" i="18" s="1"/>
  <c r="B21" i="6"/>
  <c r="F21" i="19" s="1"/>
  <c r="A21" i="6"/>
  <c r="L20" i="6"/>
  <c r="F20" i="21" s="1"/>
  <c r="K20" i="6"/>
  <c r="J20" i="6"/>
  <c r="I20" i="6"/>
  <c r="H20" i="6"/>
  <c r="G20" i="6"/>
  <c r="F20" i="6"/>
  <c r="E20" i="6"/>
  <c r="F20" i="1" s="1"/>
  <c r="D20" i="6"/>
  <c r="F20" i="20" s="1"/>
  <c r="C20" i="6"/>
  <c r="F20" i="18" s="1"/>
  <c r="B20" i="6"/>
  <c r="F20" i="19" s="1"/>
  <c r="A20" i="6"/>
  <c r="L19" i="6"/>
  <c r="F19" i="21" s="1"/>
  <c r="K19" i="6"/>
  <c r="J19" i="6"/>
  <c r="I19" i="6"/>
  <c r="H19" i="6"/>
  <c r="G19" i="6"/>
  <c r="F19" i="6"/>
  <c r="E19" i="6"/>
  <c r="F19" i="1" s="1"/>
  <c r="D19" i="6"/>
  <c r="F19" i="20" s="1"/>
  <c r="C19" i="6"/>
  <c r="F19" i="18" s="1"/>
  <c r="B19" i="6"/>
  <c r="F19" i="19" s="1"/>
  <c r="A19" i="6"/>
  <c r="L18" i="6"/>
  <c r="F18" i="21" s="1"/>
  <c r="K18" i="6"/>
  <c r="J18" i="6"/>
  <c r="I18" i="6"/>
  <c r="H18" i="6"/>
  <c r="G18" i="6"/>
  <c r="F18" i="6"/>
  <c r="E18" i="6"/>
  <c r="F18" i="1" s="1"/>
  <c r="D18" i="6"/>
  <c r="F18" i="20" s="1"/>
  <c r="C18" i="6"/>
  <c r="F18" i="18" s="1"/>
  <c r="B18" i="6"/>
  <c r="F18" i="19" s="1"/>
  <c r="A18" i="6"/>
  <c r="L17" i="6"/>
  <c r="F17" i="21" s="1"/>
  <c r="K17" i="6"/>
  <c r="J17" i="6"/>
  <c r="I17" i="6"/>
  <c r="H17" i="6"/>
  <c r="G17" i="6"/>
  <c r="F17" i="6"/>
  <c r="E17" i="6"/>
  <c r="F17" i="1" s="1"/>
  <c r="D17" i="6"/>
  <c r="F17" i="20" s="1"/>
  <c r="C17" i="6"/>
  <c r="F17" i="18" s="1"/>
  <c r="B17" i="6"/>
  <c r="F17" i="19" s="1"/>
  <c r="A17" i="6"/>
  <c r="L16" i="6"/>
  <c r="F16" i="21" s="1"/>
  <c r="K16" i="6"/>
  <c r="J16" i="6"/>
  <c r="I16" i="6"/>
  <c r="H16" i="6"/>
  <c r="G16" i="6"/>
  <c r="F16" i="6"/>
  <c r="E16" i="6"/>
  <c r="F16" i="1" s="1"/>
  <c r="D16" i="6"/>
  <c r="F16" i="20" s="1"/>
  <c r="C16" i="6"/>
  <c r="F16" i="18" s="1"/>
  <c r="B16" i="6"/>
  <c r="F16" i="19" s="1"/>
  <c r="A16" i="6"/>
  <c r="L15" i="6"/>
  <c r="F15" i="21" s="1"/>
  <c r="K15" i="6"/>
  <c r="J15" i="6"/>
  <c r="I15" i="6"/>
  <c r="H15" i="6"/>
  <c r="G15" i="6"/>
  <c r="F15" i="6"/>
  <c r="E15" i="6"/>
  <c r="F15" i="1" s="1"/>
  <c r="D15" i="6"/>
  <c r="F15" i="20" s="1"/>
  <c r="C15" i="6"/>
  <c r="F15" i="18" s="1"/>
  <c r="B15" i="6"/>
  <c r="F15" i="19" s="1"/>
  <c r="A15" i="6"/>
  <c r="L14" i="6"/>
  <c r="F14" i="21" s="1"/>
  <c r="K14" i="6"/>
  <c r="J14" i="6"/>
  <c r="I14" i="6"/>
  <c r="H14" i="6"/>
  <c r="G14" i="6"/>
  <c r="F14" i="6"/>
  <c r="E14" i="6"/>
  <c r="F14" i="1" s="1"/>
  <c r="D14" i="6"/>
  <c r="F14" i="20" s="1"/>
  <c r="C14" i="6"/>
  <c r="F14" i="18" s="1"/>
  <c r="B14" i="6"/>
  <c r="F14" i="19" s="1"/>
  <c r="A14" i="6"/>
  <c r="L13" i="6"/>
  <c r="F13" i="21" s="1"/>
  <c r="K13" i="6"/>
  <c r="J13" i="6"/>
  <c r="I13" i="6"/>
  <c r="H13" i="6"/>
  <c r="G13" i="6"/>
  <c r="F13" i="6"/>
  <c r="E13" i="6"/>
  <c r="F13" i="1" s="1"/>
  <c r="D13" i="6"/>
  <c r="F13" i="20" s="1"/>
  <c r="C13" i="6"/>
  <c r="F13" i="18" s="1"/>
  <c r="B13" i="6"/>
  <c r="F13" i="19" s="1"/>
  <c r="A13" i="6"/>
  <c r="L12" i="6"/>
  <c r="F12" i="21" s="1"/>
  <c r="K12" i="6"/>
  <c r="J12" i="6"/>
  <c r="I12" i="6"/>
  <c r="H12" i="6"/>
  <c r="G12" i="6"/>
  <c r="F12" i="6"/>
  <c r="E12" i="6"/>
  <c r="F12" i="1" s="1"/>
  <c r="D12" i="6"/>
  <c r="F12" i="20" s="1"/>
  <c r="C12" i="6"/>
  <c r="F12" i="18" s="1"/>
  <c r="B12" i="6"/>
  <c r="F12" i="19" s="1"/>
  <c r="A12" i="6"/>
  <c r="L11" i="6"/>
  <c r="F11" i="21" s="1"/>
  <c r="K11" i="6"/>
  <c r="J11" i="6"/>
  <c r="I11" i="6"/>
  <c r="H11" i="6"/>
  <c r="G11" i="6"/>
  <c r="F11" i="6"/>
  <c r="E11" i="6"/>
  <c r="F11" i="1" s="1"/>
  <c r="D11" i="6"/>
  <c r="F11" i="20" s="1"/>
  <c r="C11" i="6"/>
  <c r="F11" i="18" s="1"/>
  <c r="B11" i="6"/>
  <c r="F11" i="19" s="1"/>
  <c r="A11" i="6"/>
  <c r="L10" i="6"/>
  <c r="F10" i="21" s="1"/>
  <c r="K10" i="6"/>
  <c r="J10" i="6"/>
  <c r="I10" i="6"/>
  <c r="H10" i="6"/>
  <c r="G10" i="6"/>
  <c r="F10" i="6"/>
  <c r="E10" i="6"/>
  <c r="F10" i="1" s="1"/>
  <c r="D10" i="6"/>
  <c r="F10" i="20" s="1"/>
  <c r="C10" i="6"/>
  <c r="F10" i="18" s="1"/>
  <c r="B10" i="6"/>
  <c r="F10" i="19" s="1"/>
  <c r="A10" i="6"/>
  <c r="L9" i="6"/>
  <c r="F9" i="21" s="1"/>
  <c r="K9" i="6"/>
  <c r="J9" i="6"/>
  <c r="I9" i="6"/>
  <c r="H9" i="6"/>
  <c r="G9" i="6"/>
  <c r="F9" i="6"/>
  <c r="E9" i="6"/>
  <c r="F9" i="1" s="1"/>
  <c r="D9" i="6"/>
  <c r="F9" i="20" s="1"/>
  <c r="C9" i="6"/>
  <c r="F9" i="18" s="1"/>
  <c r="B9" i="6"/>
  <c r="F9" i="19" s="1"/>
  <c r="A9" i="6"/>
  <c r="L8" i="6"/>
  <c r="F8" i="21" s="1"/>
  <c r="K8" i="6"/>
  <c r="J8" i="6"/>
  <c r="I8" i="6"/>
  <c r="H8" i="6"/>
  <c r="G8" i="6"/>
  <c r="F8" i="6"/>
  <c r="E8" i="6"/>
  <c r="F8" i="1" s="1"/>
  <c r="D8" i="6"/>
  <c r="F8" i="20" s="1"/>
  <c r="C8" i="6"/>
  <c r="F8" i="18" s="1"/>
  <c r="B8" i="6"/>
  <c r="F8" i="19" s="1"/>
  <c r="A8" i="6"/>
  <c r="L7" i="6"/>
  <c r="F7" i="21" s="1"/>
  <c r="K7" i="6"/>
  <c r="J7" i="6"/>
  <c r="I7" i="6"/>
  <c r="H7" i="6"/>
  <c r="G7" i="6"/>
  <c r="F7" i="6"/>
  <c r="E7" i="6"/>
  <c r="F7" i="1" s="1"/>
  <c r="D7" i="6"/>
  <c r="F7" i="20" s="1"/>
  <c r="C7" i="6"/>
  <c r="F7" i="18" s="1"/>
  <c r="B7" i="6"/>
  <c r="F7" i="19" s="1"/>
  <c r="A7" i="6"/>
  <c r="L6" i="6"/>
  <c r="F6" i="21" s="1"/>
  <c r="K6" i="6"/>
  <c r="J6" i="6"/>
  <c r="I6" i="6"/>
  <c r="H6" i="6"/>
  <c r="G6" i="6"/>
  <c r="F6" i="6"/>
  <c r="E6" i="6"/>
  <c r="F6" i="1" s="1"/>
  <c r="D6" i="6"/>
  <c r="F6" i="20" s="1"/>
  <c r="C6" i="6"/>
  <c r="F6" i="18" s="1"/>
  <c r="B6" i="6"/>
  <c r="F6" i="19" s="1"/>
  <c r="A6" i="6"/>
  <c r="L5" i="6"/>
  <c r="F5" i="21" s="1"/>
  <c r="K5" i="6"/>
  <c r="J5" i="6"/>
  <c r="I5" i="6"/>
  <c r="H5" i="6"/>
  <c r="G5" i="6"/>
  <c r="F5" i="6"/>
  <c r="E5" i="6"/>
  <c r="F5" i="1" s="1"/>
  <c r="D5" i="6"/>
  <c r="F5" i="20" s="1"/>
  <c r="C5" i="6"/>
  <c r="F5" i="18" s="1"/>
  <c r="B5" i="6"/>
  <c r="F5" i="19" s="1"/>
  <c r="A5" i="6"/>
  <c r="L4" i="6"/>
  <c r="F4" i="21" s="1"/>
  <c r="K4" i="6"/>
  <c r="J4" i="6"/>
  <c r="I4" i="6"/>
  <c r="H4" i="6"/>
  <c r="G4" i="6"/>
  <c r="F4" i="6"/>
  <c r="E4" i="6"/>
  <c r="F4" i="1" s="1"/>
  <c r="D4" i="6"/>
  <c r="F4" i="20" s="1"/>
  <c r="C4" i="6"/>
  <c r="F4" i="18" s="1"/>
  <c r="B4" i="6"/>
  <c r="F4" i="19" s="1"/>
  <c r="A4" i="6"/>
  <c r="L3" i="6"/>
  <c r="F3" i="21" s="1"/>
  <c r="K3" i="6"/>
  <c r="J3" i="6"/>
  <c r="I3" i="6"/>
  <c r="H3" i="6"/>
  <c r="G3" i="6"/>
  <c r="F3" i="6"/>
  <c r="E3" i="6"/>
  <c r="F3" i="1" s="1"/>
  <c r="D3" i="6"/>
  <c r="F3" i="20" s="1"/>
  <c r="C3" i="6"/>
  <c r="F3" i="18" s="1"/>
  <c r="B3" i="6"/>
  <c r="F3" i="19" s="1"/>
  <c r="A3" i="6"/>
  <c r="L2" i="6"/>
  <c r="F2" i="21" s="1"/>
  <c r="K2" i="6"/>
  <c r="J2" i="6"/>
  <c r="I2" i="6"/>
  <c r="H2" i="6"/>
  <c r="G2" i="6"/>
  <c r="F2" i="6"/>
  <c r="E2" i="6"/>
  <c r="F2" i="1" s="1"/>
  <c r="D2" i="6"/>
  <c r="F2" i="20" s="1"/>
  <c r="C2" i="6"/>
  <c r="F2" i="18" s="1"/>
  <c r="B2" i="6"/>
  <c r="F2" i="19" s="1"/>
  <c r="A2" i="6"/>
  <c r="L27" i="5"/>
  <c r="E27" i="21" s="1"/>
  <c r="K27" i="5"/>
  <c r="J27" i="5"/>
  <c r="I27" i="5"/>
  <c r="H27" i="5"/>
  <c r="G27" i="5"/>
  <c r="F27" i="5"/>
  <c r="E27" i="5"/>
  <c r="E27" i="1" s="1"/>
  <c r="D27" i="5"/>
  <c r="E27" i="20" s="1"/>
  <c r="C27" i="5"/>
  <c r="E27" i="18" s="1"/>
  <c r="B27" i="5"/>
  <c r="E27" i="19" s="1"/>
  <c r="A27" i="5"/>
  <c r="L26" i="5"/>
  <c r="E26" i="21" s="1"/>
  <c r="K26" i="5"/>
  <c r="J26" i="5"/>
  <c r="I26" i="5"/>
  <c r="H26" i="5"/>
  <c r="G26" i="5"/>
  <c r="F26" i="5"/>
  <c r="E26" i="5"/>
  <c r="E26" i="1" s="1"/>
  <c r="D26" i="5"/>
  <c r="E26" i="20" s="1"/>
  <c r="C26" i="5"/>
  <c r="E26" i="18" s="1"/>
  <c r="B26" i="5"/>
  <c r="E26" i="19" s="1"/>
  <c r="A26" i="5"/>
  <c r="L25" i="5"/>
  <c r="E25" i="21" s="1"/>
  <c r="K25" i="5"/>
  <c r="J25" i="5"/>
  <c r="I25" i="5"/>
  <c r="H25" i="5"/>
  <c r="G25" i="5"/>
  <c r="F25" i="5"/>
  <c r="E25" i="5"/>
  <c r="E25" i="1" s="1"/>
  <c r="D25" i="5"/>
  <c r="E25" i="20" s="1"/>
  <c r="C25" i="5"/>
  <c r="E25" i="18" s="1"/>
  <c r="B25" i="5"/>
  <c r="E25" i="19" s="1"/>
  <c r="A25" i="5"/>
  <c r="L24" i="5"/>
  <c r="E24" i="21" s="1"/>
  <c r="K24" i="5"/>
  <c r="J24" i="5"/>
  <c r="I24" i="5"/>
  <c r="H24" i="5"/>
  <c r="G24" i="5"/>
  <c r="F24" i="5"/>
  <c r="E24" i="5"/>
  <c r="E24" i="1" s="1"/>
  <c r="D24" i="5"/>
  <c r="E24" i="20" s="1"/>
  <c r="C24" i="5"/>
  <c r="E24" i="18" s="1"/>
  <c r="B24" i="5"/>
  <c r="E24" i="19" s="1"/>
  <c r="A24" i="5"/>
  <c r="L23" i="5"/>
  <c r="E23" i="21" s="1"/>
  <c r="K23" i="5"/>
  <c r="J23" i="5"/>
  <c r="I23" i="5"/>
  <c r="H23" i="5"/>
  <c r="G23" i="5"/>
  <c r="F23" i="5"/>
  <c r="E23" i="5"/>
  <c r="E23" i="1" s="1"/>
  <c r="D23" i="5"/>
  <c r="E23" i="20" s="1"/>
  <c r="C23" i="5"/>
  <c r="E23" i="18" s="1"/>
  <c r="B23" i="5"/>
  <c r="E23" i="19" s="1"/>
  <c r="A23" i="5"/>
  <c r="L22" i="5"/>
  <c r="E22" i="21" s="1"/>
  <c r="K22" i="5"/>
  <c r="J22" i="5"/>
  <c r="I22" i="5"/>
  <c r="H22" i="5"/>
  <c r="G22" i="5"/>
  <c r="F22" i="5"/>
  <c r="E22" i="5"/>
  <c r="E22" i="1" s="1"/>
  <c r="D22" i="5"/>
  <c r="E22" i="20" s="1"/>
  <c r="C22" i="5"/>
  <c r="E22" i="18" s="1"/>
  <c r="B22" i="5"/>
  <c r="E22" i="19" s="1"/>
  <c r="A22" i="5"/>
  <c r="L21" i="5"/>
  <c r="E21" i="21" s="1"/>
  <c r="K21" i="5"/>
  <c r="J21" i="5"/>
  <c r="I21" i="5"/>
  <c r="H21" i="5"/>
  <c r="G21" i="5"/>
  <c r="F21" i="5"/>
  <c r="E21" i="5"/>
  <c r="E21" i="1" s="1"/>
  <c r="D21" i="5"/>
  <c r="E21" i="20" s="1"/>
  <c r="C21" i="5"/>
  <c r="E21" i="18" s="1"/>
  <c r="B21" i="5"/>
  <c r="E21" i="19" s="1"/>
  <c r="A21" i="5"/>
  <c r="L20" i="5"/>
  <c r="E20" i="21" s="1"/>
  <c r="K20" i="5"/>
  <c r="J20" i="5"/>
  <c r="I20" i="5"/>
  <c r="H20" i="5"/>
  <c r="G20" i="5"/>
  <c r="F20" i="5"/>
  <c r="E20" i="5"/>
  <c r="E20" i="1" s="1"/>
  <c r="D20" i="5"/>
  <c r="E20" i="20" s="1"/>
  <c r="C20" i="5"/>
  <c r="E20" i="18" s="1"/>
  <c r="B20" i="5"/>
  <c r="E20" i="19" s="1"/>
  <c r="A20" i="5"/>
  <c r="L19" i="5"/>
  <c r="E19" i="21" s="1"/>
  <c r="K19" i="5"/>
  <c r="J19" i="5"/>
  <c r="I19" i="5"/>
  <c r="H19" i="5"/>
  <c r="G19" i="5"/>
  <c r="F19" i="5"/>
  <c r="E19" i="5"/>
  <c r="E19" i="1" s="1"/>
  <c r="D19" i="5"/>
  <c r="E19" i="20" s="1"/>
  <c r="C19" i="5"/>
  <c r="E19" i="18" s="1"/>
  <c r="B19" i="5"/>
  <c r="E19" i="19" s="1"/>
  <c r="A19" i="5"/>
  <c r="L18" i="5"/>
  <c r="E18" i="21" s="1"/>
  <c r="K18" i="5"/>
  <c r="J18" i="5"/>
  <c r="I18" i="5"/>
  <c r="H18" i="5"/>
  <c r="G18" i="5"/>
  <c r="F18" i="5"/>
  <c r="E18" i="5"/>
  <c r="E18" i="1" s="1"/>
  <c r="D18" i="5"/>
  <c r="E18" i="20" s="1"/>
  <c r="C18" i="5"/>
  <c r="E18" i="18" s="1"/>
  <c r="B18" i="5"/>
  <c r="E18" i="19" s="1"/>
  <c r="A18" i="5"/>
  <c r="L17" i="5"/>
  <c r="E17" i="21" s="1"/>
  <c r="K17" i="5"/>
  <c r="J17" i="5"/>
  <c r="I17" i="5"/>
  <c r="H17" i="5"/>
  <c r="G17" i="5"/>
  <c r="F17" i="5"/>
  <c r="E17" i="5"/>
  <c r="E17" i="1" s="1"/>
  <c r="D17" i="5"/>
  <c r="E17" i="20" s="1"/>
  <c r="C17" i="5"/>
  <c r="E17" i="18" s="1"/>
  <c r="B17" i="5"/>
  <c r="E17" i="19" s="1"/>
  <c r="A17" i="5"/>
  <c r="L16" i="5"/>
  <c r="E16" i="21" s="1"/>
  <c r="K16" i="5"/>
  <c r="J16" i="5"/>
  <c r="I16" i="5"/>
  <c r="H16" i="5"/>
  <c r="G16" i="5"/>
  <c r="F16" i="5"/>
  <c r="E16" i="5"/>
  <c r="E16" i="1" s="1"/>
  <c r="D16" i="5"/>
  <c r="E16" i="20" s="1"/>
  <c r="C16" i="5"/>
  <c r="E16" i="18" s="1"/>
  <c r="B16" i="5"/>
  <c r="E16" i="19" s="1"/>
  <c r="A16" i="5"/>
  <c r="L15" i="5"/>
  <c r="E15" i="21" s="1"/>
  <c r="K15" i="5"/>
  <c r="J15" i="5"/>
  <c r="I15" i="5"/>
  <c r="H15" i="5"/>
  <c r="G15" i="5"/>
  <c r="F15" i="5"/>
  <c r="E15" i="5"/>
  <c r="E15" i="1" s="1"/>
  <c r="D15" i="5"/>
  <c r="E15" i="20" s="1"/>
  <c r="C15" i="5"/>
  <c r="E15" i="18" s="1"/>
  <c r="B15" i="5"/>
  <c r="E15" i="19" s="1"/>
  <c r="A15" i="5"/>
  <c r="L14" i="5"/>
  <c r="E14" i="21" s="1"/>
  <c r="K14" i="5"/>
  <c r="J14" i="5"/>
  <c r="I14" i="5"/>
  <c r="H14" i="5"/>
  <c r="G14" i="5"/>
  <c r="F14" i="5"/>
  <c r="E14" i="5"/>
  <c r="E14" i="1" s="1"/>
  <c r="D14" i="5"/>
  <c r="E14" i="20" s="1"/>
  <c r="C14" i="5"/>
  <c r="E14" i="18" s="1"/>
  <c r="B14" i="5"/>
  <c r="E14" i="19" s="1"/>
  <c r="A14" i="5"/>
  <c r="L13" i="5"/>
  <c r="E13" i="21" s="1"/>
  <c r="K13" i="5"/>
  <c r="J13" i="5"/>
  <c r="I13" i="5"/>
  <c r="H13" i="5"/>
  <c r="G13" i="5"/>
  <c r="F13" i="5"/>
  <c r="E13" i="5"/>
  <c r="E13" i="1" s="1"/>
  <c r="D13" i="5"/>
  <c r="E13" i="20" s="1"/>
  <c r="C13" i="5"/>
  <c r="E13" i="18" s="1"/>
  <c r="B13" i="5"/>
  <c r="E13" i="19" s="1"/>
  <c r="A13" i="5"/>
  <c r="L12" i="5"/>
  <c r="E12" i="21" s="1"/>
  <c r="K12" i="5"/>
  <c r="J12" i="5"/>
  <c r="I12" i="5"/>
  <c r="H12" i="5"/>
  <c r="G12" i="5"/>
  <c r="F12" i="5"/>
  <c r="E12" i="5"/>
  <c r="E12" i="1" s="1"/>
  <c r="D12" i="5"/>
  <c r="E12" i="20" s="1"/>
  <c r="C12" i="5"/>
  <c r="E12" i="18" s="1"/>
  <c r="B12" i="5"/>
  <c r="E12" i="19" s="1"/>
  <c r="A12" i="5"/>
  <c r="L11" i="5"/>
  <c r="E11" i="21" s="1"/>
  <c r="K11" i="5"/>
  <c r="J11" i="5"/>
  <c r="I11" i="5"/>
  <c r="H11" i="5"/>
  <c r="G11" i="5"/>
  <c r="F11" i="5"/>
  <c r="E11" i="5"/>
  <c r="E11" i="1" s="1"/>
  <c r="D11" i="5"/>
  <c r="E11" i="20" s="1"/>
  <c r="C11" i="5"/>
  <c r="E11" i="18" s="1"/>
  <c r="B11" i="5"/>
  <c r="E11" i="19" s="1"/>
  <c r="A11" i="5"/>
  <c r="L10" i="5"/>
  <c r="E10" i="21" s="1"/>
  <c r="K10" i="5"/>
  <c r="J10" i="5"/>
  <c r="I10" i="5"/>
  <c r="H10" i="5"/>
  <c r="G10" i="5"/>
  <c r="F10" i="5"/>
  <c r="E10" i="5"/>
  <c r="E10" i="1" s="1"/>
  <c r="D10" i="5"/>
  <c r="E10" i="20" s="1"/>
  <c r="C10" i="5"/>
  <c r="E10" i="18" s="1"/>
  <c r="B10" i="5"/>
  <c r="E10" i="19" s="1"/>
  <c r="A10" i="5"/>
  <c r="L9" i="5"/>
  <c r="E9" i="21" s="1"/>
  <c r="K9" i="5"/>
  <c r="J9" i="5"/>
  <c r="I9" i="5"/>
  <c r="H9" i="5"/>
  <c r="G9" i="5"/>
  <c r="F9" i="5"/>
  <c r="E9" i="5"/>
  <c r="E9" i="1" s="1"/>
  <c r="D9" i="5"/>
  <c r="E9" i="20" s="1"/>
  <c r="C9" i="5"/>
  <c r="E9" i="18" s="1"/>
  <c r="B9" i="5"/>
  <c r="E9" i="19" s="1"/>
  <c r="A9" i="5"/>
  <c r="L8" i="5"/>
  <c r="E8" i="21" s="1"/>
  <c r="K8" i="5"/>
  <c r="J8" i="5"/>
  <c r="I8" i="5"/>
  <c r="H8" i="5"/>
  <c r="G8" i="5"/>
  <c r="F8" i="5"/>
  <c r="E8" i="5"/>
  <c r="E8" i="1" s="1"/>
  <c r="D8" i="5"/>
  <c r="E8" i="20" s="1"/>
  <c r="C8" i="5"/>
  <c r="E8" i="18" s="1"/>
  <c r="B8" i="5"/>
  <c r="E8" i="19" s="1"/>
  <c r="A8" i="5"/>
  <c r="L7" i="5"/>
  <c r="E7" i="21" s="1"/>
  <c r="K7" i="5"/>
  <c r="J7" i="5"/>
  <c r="I7" i="5"/>
  <c r="H7" i="5"/>
  <c r="G7" i="5"/>
  <c r="F7" i="5"/>
  <c r="E7" i="5"/>
  <c r="E7" i="1" s="1"/>
  <c r="D7" i="5"/>
  <c r="E7" i="20" s="1"/>
  <c r="C7" i="5"/>
  <c r="E7" i="18" s="1"/>
  <c r="B7" i="5"/>
  <c r="E7" i="19" s="1"/>
  <c r="A7" i="5"/>
  <c r="L6" i="5"/>
  <c r="E6" i="21" s="1"/>
  <c r="K6" i="5"/>
  <c r="J6" i="5"/>
  <c r="I6" i="5"/>
  <c r="H6" i="5"/>
  <c r="G6" i="5"/>
  <c r="F6" i="5"/>
  <c r="E6" i="5"/>
  <c r="E6" i="1" s="1"/>
  <c r="D6" i="5"/>
  <c r="E6" i="20" s="1"/>
  <c r="C6" i="5"/>
  <c r="E6" i="18" s="1"/>
  <c r="B6" i="5"/>
  <c r="E6" i="19" s="1"/>
  <c r="A6" i="5"/>
  <c r="L5" i="5"/>
  <c r="E5" i="21" s="1"/>
  <c r="K5" i="5"/>
  <c r="J5" i="5"/>
  <c r="I5" i="5"/>
  <c r="H5" i="5"/>
  <c r="G5" i="5"/>
  <c r="F5" i="5"/>
  <c r="E5" i="5"/>
  <c r="E5" i="1" s="1"/>
  <c r="D5" i="5"/>
  <c r="E5" i="20" s="1"/>
  <c r="C5" i="5"/>
  <c r="E5" i="18" s="1"/>
  <c r="B5" i="5"/>
  <c r="E5" i="19" s="1"/>
  <c r="A5" i="5"/>
  <c r="L4" i="5"/>
  <c r="E4" i="21" s="1"/>
  <c r="K4" i="5"/>
  <c r="J4" i="5"/>
  <c r="I4" i="5"/>
  <c r="H4" i="5"/>
  <c r="G4" i="5"/>
  <c r="F4" i="5"/>
  <c r="E4" i="5"/>
  <c r="E4" i="1" s="1"/>
  <c r="D4" i="5"/>
  <c r="E4" i="20" s="1"/>
  <c r="C4" i="5"/>
  <c r="E4" i="18" s="1"/>
  <c r="B4" i="5"/>
  <c r="E4" i="19" s="1"/>
  <c r="A4" i="5"/>
  <c r="L3" i="5"/>
  <c r="E3" i="21" s="1"/>
  <c r="K3" i="5"/>
  <c r="J3" i="5"/>
  <c r="I3" i="5"/>
  <c r="H3" i="5"/>
  <c r="G3" i="5"/>
  <c r="F3" i="5"/>
  <c r="E3" i="5"/>
  <c r="E3" i="1" s="1"/>
  <c r="D3" i="5"/>
  <c r="E3" i="20" s="1"/>
  <c r="C3" i="5"/>
  <c r="E3" i="18" s="1"/>
  <c r="B3" i="5"/>
  <c r="E3" i="19" s="1"/>
  <c r="A3" i="5"/>
  <c r="L2" i="5"/>
  <c r="E2" i="21" s="1"/>
  <c r="K2" i="5"/>
  <c r="J2" i="5"/>
  <c r="I2" i="5"/>
  <c r="H2" i="5"/>
  <c r="G2" i="5"/>
  <c r="F2" i="5"/>
  <c r="E2" i="5"/>
  <c r="E2" i="1" s="1"/>
  <c r="D2" i="5"/>
  <c r="E2" i="20" s="1"/>
  <c r="C2" i="5"/>
  <c r="E2" i="18" s="1"/>
  <c r="B2" i="5"/>
  <c r="E2" i="19" s="1"/>
  <c r="A2" i="5"/>
  <c r="L27" i="4"/>
  <c r="D27" i="21" s="1"/>
  <c r="K27" i="4"/>
  <c r="J27" i="4"/>
  <c r="I27" i="4"/>
  <c r="H27" i="4"/>
  <c r="G27" i="4"/>
  <c r="F27" i="4"/>
  <c r="E27" i="4"/>
  <c r="D27" i="1" s="1"/>
  <c r="D27" i="4"/>
  <c r="D27" i="20" s="1"/>
  <c r="C27" i="4"/>
  <c r="D27" i="18" s="1"/>
  <c r="B27" i="4"/>
  <c r="D27" i="19" s="1"/>
  <c r="A27" i="4"/>
  <c r="L26" i="4"/>
  <c r="D26" i="21" s="1"/>
  <c r="K26" i="4"/>
  <c r="J26" i="4"/>
  <c r="I26" i="4"/>
  <c r="H26" i="4"/>
  <c r="G26" i="4"/>
  <c r="F26" i="4"/>
  <c r="E26" i="4"/>
  <c r="D26" i="1" s="1"/>
  <c r="D26" i="4"/>
  <c r="D26" i="20" s="1"/>
  <c r="C26" i="4"/>
  <c r="D26" i="18" s="1"/>
  <c r="B26" i="4"/>
  <c r="D26" i="19" s="1"/>
  <c r="A26" i="4"/>
  <c r="L25" i="4"/>
  <c r="D25" i="21" s="1"/>
  <c r="K25" i="4"/>
  <c r="J25" i="4"/>
  <c r="I25" i="4"/>
  <c r="H25" i="4"/>
  <c r="G25" i="4"/>
  <c r="F25" i="4"/>
  <c r="E25" i="4"/>
  <c r="D25" i="1" s="1"/>
  <c r="D25" i="4"/>
  <c r="D25" i="20" s="1"/>
  <c r="C25" i="4"/>
  <c r="D25" i="18" s="1"/>
  <c r="B25" i="4"/>
  <c r="D25" i="19" s="1"/>
  <c r="A25" i="4"/>
  <c r="L24" i="4"/>
  <c r="D24" i="21" s="1"/>
  <c r="K24" i="4"/>
  <c r="J24" i="4"/>
  <c r="I24" i="4"/>
  <c r="H24" i="4"/>
  <c r="G24" i="4"/>
  <c r="F24" i="4"/>
  <c r="E24" i="4"/>
  <c r="D24" i="1" s="1"/>
  <c r="D24" i="4"/>
  <c r="D24" i="20" s="1"/>
  <c r="C24" i="4"/>
  <c r="D24" i="18" s="1"/>
  <c r="B24" i="4"/>
  <c r="D24" i="19" s="1"/>
  <c r="A24" i="4"/>
  <c r="L23" i="4"/>
  <c r="D23" i="21" s="1"/>
  <c r="K23" i="4"/>
  <c r="J23" i="4"/>
  <c r="I23" i="4"/>
  <c r="H23" i="4"/>
  <c r="G23" i="4"/>
  <c r="F23" i="4"/>
  <c r="E23" i="4"/>
  <c r="D23" i="1" s="1"/>
  <c r="D23" i="4"/>
  <c r="D23" i="20" s="1"/>
  <c r="C23" i="4"/>
  <c r="D23" i="18" s="1"/>
  <c r="B23" i="4"/>
  <c r="D23" i="19" s="1"/>
  <c r="A23" i="4"/>
  <c r="L22" i="4"/>
  <c r="D22" i="21" s="1"/>
  <c r="K22" i="4"/>
  <c r="J22" i="4"/>
  <c r="I22" i="4"/>
  <c r="H22" i="4"/>
  <c r="G22" i="4"/>
  <c r="F22" i="4"/>
  <c r="E22" i="4"/>
  <c r="D22" i="1" s="1"/>
  <c r="D22" i="4"/>
  <c r="D22" i="20" s="1"/>
  <c r="C22" i="4"/>
  <c r="D22" i="18" s="1"/>
  <c r="B22" i="4"/>
  <c r="D22" i="19" s="1"/>
  <c r="A22" i="4"/>
  <c r="L21" i="4"/>
  <c r="D21" i="21" s="1"/>
  <c r="K21" i="4"/>
  <c r="J21" i="4"/>
  <c r="I21" i="4"/>
  <c r="H21" i="4"/>
  <c r="G21" i="4"/>
  <c r="F21" i="4"/>
  <c r="E21" i="4"/>
  <c r="D21" i="1" s="1"/>
  <c r="D21" i="4"/>
  <c r="D21" i="20" s="1"/>
  <c r="C21" i="4"/>
  <c r="D21" i="18" s="1"/>
  <c r="B21" i="4"/>
  <c r="D21" i="19" s="1"/>
  <c r="A21" i="4"/>
  <c r="L20" i="4"/>
  <c r="D20" i="21" s="1"/>
  <c r="K20" i="4"/>
  <c r="J20" i="4"/>
  <c r="I20" i="4"/>
  <c r="H20" i="4"/>
  <c r="G20" i="4"/>
  <c r="F20" i="4"/>
  <c r="E20" i="4"/>
  <c r="D20" i="1" s="1"/>
  <c r="D20" i="4"/>
  <c r="D20" i="20" s="1"/>
  <c r="C20" i="4"/>
  <c r="D20" i="18" s="1"/>
  <c r="B20" i="4"/>
  <c r="D20" i="19" s="1"/>
  <c r="A20" i="4"/>
  <c r="L19" i="4"/>
  <c r="D19" i="21" s="1"/>
  <c r="K19" i="4"/>
  <c r="J19" i="4"/>
  <c r="I19" i="4"/>
  <c r="H19" i="4"/>
  <c r="G19" i="4"/>
  <c r="F19" i="4"/>
  <c r="E19" i="4"/>
  <c r="D19" i="1" s="1"/>
  <c r="D19" i="4"/>
  <c r="D19" i="20" s="1"/>
  <c r="C19" i="4"/>
  <c r="D19" i="18" s="1"/>
  <c r="B19" i="4"/>
  <c r="D19" i="19" s="1"/>
  <c r="A19" i="4"/>
  <c r="L18" i="4"/>
  <c r="D18" i="21" s="1"/>
  <c r="K18" i="4"/>
  <c r="J18" i="4"/>
  <c r="I18" i="4"/>
  <c r="H18" i="4"/>
  <c r="G18" i="4"/>
  <c r="F18" i="4"/>
  <c r="E18" i="4"/>
  <c r="D18" i="1" s="1"/>
  <c r="D18" i="4"/>
  <c r="D18" i="20" s="1"/>
  <c r="C18" i="4"/>
  <c r="D18" i="18" s="1"/>
  <c r="B18" i="4"/>
  <c r="D18" i="19" s="1"/>
  <c r="A18" i="4"/>
  <c r="L17" i="4"/>
  <c r="D17" i="21" s="1"/>
  <c r="K17" i="4"/>
  <c r="J17" i="4"/>
  <c r="I17" i="4"/>
  <c r="H17" i="4"/>
  <c r="G17" i="4"/>
  <c r="F17" i="4"/>
  <c r="E17" i="4"/>
  <c r="D17" i="1" s="1"/>
  <c r="D17" i="4"/>
  <c r="D17" i="20" s="1"/>
  <c r="C17" i="4"/>
  <c r="D17" i="18" s="1"/>
  <c r="B17" i="4"/>
  <c r="D17" i="19" s="1"/>
  <c r="A17" i="4"/>
  <c r="L16" i="4"/>
  <c r="D16" i="21" s="1"/>
  <c r="K16" i="4"/>
  <c r="J16" i="4"/>
  <c r="I16" i="4"/>
  <c r="H16" i="4"/>
  <c r="G16" i="4"/>
  <c r="F16" i="4"/>
  <c r="E16" i="4"/>
  <c r="D16" i="1" s="1"/>
  <c r="D16" i="4"/>
  <c r="D16" i="20" s="1"/>
  <c r="C16" i="4"/>
  <c r="D16" i="18" s="1"/>
  <c r="B16" i="4"/>
  <c r="D16" i="19" s="1"/>
  <c r="A16" i="4"/>
  <c r="L15" i="4"/>
  <c r="D15" i="21" s="1"/>
  <c r="K15" i="4"/>
  <c r="J15" i="4"/>
  <c r="I15" i="4"/>
  <c r="H15" i="4"/>
  <c r="G15" i="4"/>
  <c r="F15" i="4"/>
  <c r="E15" i="4"/>
  <c r="D15" i="1" s="1"/>
  <c r="D15" i="4"/>
  <c r="D15" i="20" s="1"/>
  <c r="C15" i="4"/>
  <c r="D15" i="18" s="1"/>
  <c r="B15" i="4"/>
  <c r="D15" i="19" s="1"/>
  <c r="A15" i="4"/>
  <c r="L14" i="4"/>
  <c r="D14" i="21" s="1"/>
  <c r="K14" i="4"/>
  <c r="J14" i="4"/>
  <c r="I14" i="4"/>
  <c r="H14" i="4"/>
  <c r="G14" i="4"/>
  <c r="F14" i="4"/>
  <c r="E14" i="4"/>
  <c r="D14" i="1" s="1"/>
  <c r="D14" i="4"/>
  <c r="D14" i="20" s="1"/>
  <c r="C14" i="4"/>
  <c r="D14" i="18" s="1"/>
  <c r="B14" i="4"/>
  <c r="D14" i="19" s="1"/>
  <c r="A14" i="4"/>
  <c r="L13" i="4"/>
  <c r="D13" i="21" s="1"/>
  <c r="K13" i="4"/>
  <c r="J13" i="4"/>
  <c r="I13" i="4"/>
  <c r="H13" i="4"/>
  <c r="G13" i="4"/>
  <c r="F13" i="4"/>
  <c r="E13" i="4"/>
  <c r="D13" i="1" s="1"/>
  <c r="D13" i="4"/>
  <c r="D13" i="20" s="1"/>
  <c r="C13" i="4"/>
  <c r="D13" i="18" s="1"/>
  <c r="B13" i="4"/>
  <c r="D13" i="19" s="1"/>
  <c r="A13" i="4"/>
  <c r="L12" i="4"/>
  <c r="D12" i="21" s="1"/>
  <c r="K12" i="4"/>
  <c r="J12" i="4"/>
  <c r="I12" i="4"/>
  <c r="H12" i="4"/>
  <c r="G12" i="4"/>
  <c r="F12" i="4"/>
  <c r="E12" i="4"/>
  <c r="D12" i="1" s="1"/>
  <c r="D12" i="4"/>
  <c r="D12" i="20" s="1"/>
  <c r="C12" i="4"/>
  <c r="D12" i="18" s="1"/>
  <c r="B12" i="4"/>
  <c r="D12" i="19" s="1"/>
  <c r="A12" i="4"/>
  <c r="L11" i="4"/>
  <c r="D11" i="21" s="1"/>
  <c r="K11" i="4"/>
  <c r="J11" i="4"/>
  <c r="I11" i="4"/>
  <c r="H11" i="4"/>
  <c r="G11" i="4"/>
  <c r="F11" i="4"/>
  <c r="E11" i="4"/>
  <c r="D11" i="1" s="1"/>
  <c r="D11" i="4"/>
  <c r="D11" i="20" s="1"/>
  <c r="C11" i="4"/>
  <c r="D11" i="18" s="1"/>
  <c r="B11" i="4"/>
  <c r="D11" i="19" s="1"/>
  <c r="A11" i="4"/>
  <c r="L10" i="4"/>
  <c r="D10" i="21" s="1"/>
  <c r="K10" i="4"/>
  <c r="J10" i="4"/>
  <c r="I10" i="4"/>
  <c r="H10" i="4"/>
  <c r="G10" i="4"/>
  <c r="F10" i="4"/>
  <c r="E10" i="4"/>
  <c r="D10" i="1" s="1"/>
  <c r="D10" i="4"/>
  <c r="D10" i="20" s="1"/>
  <c r="C10" i="4"/>
  <c r="D10" i="18" s="1"/>
  <c r="B10" i="4"/>
  <c r="D10" i="19" s="1"/>
  <c r="A10" i="4"/>
  <c r="L9" i="4"/>
  <c r="D9" i="21" s="1"/>
  <c r="K9" i="4"/>
  <c r="J9" i="4"/>
  <c r="I9" i="4"/>
  <c r="H9" i="4"/>
  <c r="G9" i="4"/>
  <c r="F9" i="4"/>
  <c r="E9" i="4"/>
  <c r="D9" i="1" s="1"/>
  <c r="D9" i="4"/>
  <c r="D9" i="20" s="1"/>
  <c r="C9" i="4"/>
  <c r="D9" i="18" s="1"/>
  <c r="B9" i="4"/>
  <c r="D9" i="19" s="1"/>
  <c r="A9" i="4"/>
  <c r="L8" i="4"/>
  <c r="D8" i="21" s="1"/>
  <c r="K8" i="4"/>
  <c r="J8" i="4"/>
  <c r="I8" i="4"/>
  <c r="H8" i="4"/>
  <c r="G8" i="4"/>
  <c r="F8" i="4"/>
  <c r="E8" i="4"/>
  <c r="D8" i="1" s="1"/>
  <c r="D8" i="4"/>
  <c r="D8" i="20" s="1"/>
  <c r="C8" i="4"/>
  <c r="D8" i="18" s="1"/>
  <c r="B8" i="4"/>
  <c r="D8" i="19" s="1"/>
  <c r="A8" i="4"/>
  <c r="L7" i="4"/>
  <c r="D7" i="21" s="1"/>
  <c r="K7" i="4"/>
  <c r="J7" i="4"/>
  <c r="I7" i="4"/>
  <c r="H7" i="4"/>
  <c r="G7" i="4"/>
  <c r="F7" i="4"/>
  <c r="E7" i="4"/>
  <c r="D7" i="1" s="1"/>
  <c r="D7" i="4"/>
  <c r="D7" i="20" s="1"/>
  <c r="C7" i="4"/>
  <c r="D7" i="18" s="1"/>
  <c r="B7" i="4"/>
  <c r="D7" i="19" s="1"/>
  <c r="A7" i="4"/>
  <c r="L6" i="4"/>
  <c r="D6" i="21" s="1"/>
  <c r="K6" i="4"/>
  <c r="J6" i="4"/>
  <c r="I6" i="4"/>
  <c r="H6" i="4"/>
  <c r="G6" i="4"/>
  <c r="F6" i="4"/>
  <c r="E6" i="4"/>
  <c r="D6" i="1" s="1"/>
  <c r="D6" i="4"/>
  <c r="D6" i="20" s="1"/>
  <c r="C6" i="4"/>
  <c r="D6" i="18" s="1"/>
  <c r="B6" i="4"/>
  <c r="D6" i="19" s="1"/>
  <c r="A6" i="4"/>
  <c r="L5" i="4"/>
  <c r="D5" i="21" s="1"/>
  <c r="K5" i="4"/>
  <c r="J5" i="4"/>
  <c r="I5" i="4"/>
  <c r="H5" i="4"/>
  <c r="G5" i="4"/>
  <c r="F5" i="4"/>
  <c r="E5" i="4"/>
  <c r="D5" i="1" s="1"/>
  <c r="D5" i="4"/>
  <c r="D5" i="20" s="1"/>
  <c r="C5" i="4"/>
  <c r="D5" i="18" s="1"/>
  <c r="B5" i="4"/>
  <c r="D5" i="19" s="1"/>
  <c r="A5" i="4"/>
  <c r="L4" i="4"/>
  <c r="D4" i="21" s="1"/>
  <c r="K4" i="4"/>
  <c r="J4" i="4"/>
  <c r="I4" i="4"/>
  <c r="H4" i="4"/>
  <c r="G4" i="4"/>
  <c r="F4" i="4"/>
  <c r="E4" i="4"/>
  <c r="D4" i="1" s="1"/>
  <c r="D4" i="4"/>
  <c r="D4" i="20" s="1"/>
  <c r="C4" i="4"/>
  <c r="D4" i="18" s="1"/>
  <c r="B4" i="4"/>
  <c r="D4" i="19" s="1"/>
  <c r="A4" i="4"/>
  <c r="L3" i="4"/>
  <c r="D3" i="21" s="1"/>
  <c r="K3" i="4"/>
  <c r="J3" i="4"/>
  <c r="I3" i="4"/>
  <c r="H3" i="4"/>
  <c r="G3" i="4"/>
  <c r="F3" i="4"/>
  <c r="E3" i="4"/>
  <c r="D3" i="1" s="1"/>
  <c r="D3" i="4"/>
  <c r="D3" i="20" s="1"/>
  <c r="C3" i="4"/>
  <c r="D3" i="18" s="1"/>
  <c r="B3" i="4"/>
  <c r="D3" i="19" s="1"/>
  <c r="A3" i="4"/>
  <c r="L2" i="4"/>
  <c r="D2" i="21" s="1"/>
  <c r="K2" i="4"/>
  <c r="J2" i="4"/>
  <c r="I2" i="4"/>
  <c r="H2" i="4"/>
  <c r="G2" i="4"/>
  <c r="F2" i="4"/>
  <c r="E2" i="4"/>
  <c r="D2" i="1" s="1"/>
  <c r="D2" i="4"/>
  <c r="D2" i="20" s="1"/>
  <c r="C2" i="4"/>
  <c r="D2" i="18" s="1"/>
  <c r="B2" i="4"/>
  <c r="D2" i="19" s="1"/>
  <c r="A2" i="4"/>
  <c r="L27" i="3"/>
  <c r="C27" i="21" s="1"/>
  <c r="K27" i="3"/>
  <c r="J27" i="3"/>
  <c r="I27" i="3"/>
  <c r="H27" i="3"/>
  <c r="G27" i="3"/>
  <c r="F27" i="3"/>
  <c r="E27" i="3"/>
  <c r="C27" i="1" s="1"/>
  <c r="D27" i="3"/>
  <c r="C27" i="20" s="1"/>
  <c r="C27" i="3"/>
  <c r="C27" i="18" s="1"/>
  <c r="B27" i="3"/>
  <c r="C27" i="19" s="1"/>
  <c r="A27" i="3"/>
  <c r="L26" i="3"/>
  <c r="C26" i="21" s="1"/>
  <c r="K26" i="3"/>
  <c r="J26" i="3"/>
  <c r="I26" i="3"/>
  <c r="H26" i="3"/>
  <c r="G26" i="3"/>
  <c r="F26" i="3"/>
  <c r="E26" i="3"/>
  <c r="C26" i="1" s="1"/>
  <c r="D26" i="3"/>
  <c r="C26" i="20" s="1"/>
  <c r="C26" i="3"/>
  <c r="C26" i="18" s="1"/>
  <c r="B26" i="3"/>
  <c r="C26" i="19" s="1"/>
  <c r="A26" i="3"/>
  <c r="L25" i="3"/>
  <c r="C25" i="21" s="1"/>
  <c r="K25" i="3"/>
  <c r="J25" i="3"/>
  <c r="I25" i="3"/>
  <c r="H25" i="3"/>
  <c r="G25" i="3"/>
  <c r="F25" i="3"/>
  <c r="E25" i="3"/>
  <c r="C25" i="1" s="1"/>
  <c r="D25" i="3"/>
  <c r="C25" i="20" s="1"/>
  <c r="C25" i="3"/>
  <c r="C25" i="18" s="1"/>
  <c r="B25" i="3"/>
  <c r="C25" i="19" s="1"/>
  <c r="A25" i="3"/>
  <c r="L24" i="3"/>
  <c r="C24" i="21" s="1"/>
  <c r="K24" i="3"/>
  <c r="J24" i="3"/>
  <c r="I24" i="3"/>
  <c r="H24" i="3"/>
  <c r="G24" i="3"/>
  <c r="F24" i="3"/>
  <c r="E24" i="3"/>
  <c r="C24" i="1" s="1"/>
  <c r="D24" i="3"/>
  <c r="C24" i="20" s="1"/>
  <c r="C24" i="3"/>
  <c r="C24" i="18" s="1"/>
  <c r="B24" i="3"/>
  <c r="C24" i="19" s="1"/>
  <c r="A24" i="3"/>
  <c r="L23" i="3"/>
  <c r="C23" i="21" s="1"/>
  <c r="K23" i="3"/>
  <c r="J23" i="3"/>
  <c r="I23" i="3"/>
  <c r="H23" i="3"/>
  <c r="G23" i="3"/>
  <c r="F23" i="3"/>
  <c r="E23" i="3"/>
  <c r="C23" i="1" s="1"/>
  <c r="D23" i="3"/>
  <c r="C23" i="20" s="1"/>
  <c r="C23" i="3"/>
  <c r="C23" i="18" s="1"/>
  <c r="B23" i="3"/>
  <c r="C23" i="19" s="1"/>
  <c r="A23" i="3"/>
  <c r="L22" i="3"/>
  <c r="C22" i="21" s="1"/>
  <c r="K22" i="3"/>
  <c r="J22" i="3"/>
  <c r="I22" i="3"/>
  <c r="H22" i="3"/>
  <c r="G22" i="3"/>
  <c r="F22" i="3"/>
  <c r="E22" i="3"/>
  <c r="C22" i="1" s="1"/>
  <c r="D22" i="3"/>
  <c r="C22" i="20" s="1"/>
  <c r="C22" i="3"/>
  <c r="C22" i="18" s="1"/>
  <c r="B22" i="3"/>
  <c r="C22" i="19" s="1"/>
  <c r="A22" i="3"/>
  <c r="L21" i="3"/>
  <c r="C21" i="21" s="1"/>
  <c r="K21" i="3"/>
  <c r="J21" i="3"/>
  <c r="I21" i="3"/>
  <c r="H21" i="3"/>
  <c r="G21" i="3"/>
  <c r="F21" i="3"/>
  <c r="E21" i="3"/>
  <c r="C21" i="1" s="1"/>
  <c r="D21" i="3"/>
  <c r="C21" i="20" s="1"/>
  <c r="C21" i="3"/>
  <c r="C21" i="18" s="1"/>
  <c r="B21" i="3"/>
  <c r="C21" i="19" s="1"/>
  <c r="A21" i="3"/>
  <c r="L20" i="3"/>
  <c r="C20" i="21" s="1"/>
  <c r="K20" i="3"/>
  <c r="J20" i="3"/>
  <c r="I20" i="3"/>
  <c r="H20" i="3"/>
  <c r="G20" i="3"/>
  <c r="F20" i="3"/>
  <c r="E20" i="3"/>
  <c r="C20" i="1" s="1"/>
  <c r="D20" i="3"/>
  <c r="C20" i="20" s="1"/>
  <c r="C20" i="3"/>
  <c r="C20" i="18" s="1"/>
  <c r="B20" i="3"/>
  <c r="C20" i="19" s="1"/>
  <c r="A20" i="3"/>
  <c r="L19" i="3"/>
  <c r="C19" i="21" s="1"/>
  <c r="K19" i="3"/>
  <c r="J19" i="3"/>
  <c r="I19" i="3"/>
  <c r="H19" i="3"/>
  <c r="G19" i="3"/>
  <c r="F19" i="3"/>
  <c r="E19" i="3"/>
  <c r="C19" i="1" s="1"/>
  <c r="D19" i="3"/>
  <c r="C19" i="20" s="1"/>
  <c r="C19" i="3"/>
  <c r="C19" i="18" s="1"/>
  <c r="B19" i="3"/>
  <c r="C19" i="19" s="1"/>
  <c r="A19" i="3"/>
  <c r="L18" i="3"/>
  <c r="C18" i="21" s="1"/>
  <c r="K18" i="3"/>
  <c r="J18" i="3"/>
  <c r="I18" i="3"/>
  <c r="H18" i="3"/>
  <c r="G18" i="3"/>
  <c r="F18" i="3"/>
  <c r="E18" i="3"/>
  <c r="C18" i="1" s="1"/>
  <c r="D18" i="3"/>
  <c r="C18" i="20" s="1"/>
  <c r="C18" i="3"/>
  <c r="C18" i="18" s="1"/>
  <c r="B18" i="3"/>
  <c r="C18" i="19" s="1"/>
  <c r="A18" i="3"/>
  <c r="L17" i="3"/>
  <c r="C17" i="21" s="1"/>
  <c r="K17" i="3"/>
  <c r="J17" i="3"/>
  <c r="I17" i="3"/>
  <c r="H17" i="3"/>
  <c r="G17" i="3"/>
  <c r="F17" i="3"/>
  <c r="E17" i="3"/>
  <c r="C17" i="1" s="1"/>
  <c r="D17" i="3"/>
  <c r="C17" i="20" s="1"/>
  <c r="C17" i="3"/>
  <c r="C17" i="18" s="1"/>
  <c r="B17" i="3"/>
  <c r="C17" i="19" s="1"/>
  <c r="A17" i="3"/>
  <c r="L16" i="3"/>
  <c r="C16" i="21" s="1"/>
  <c r="K16" i="3"/>
  <c r="J16" i="3"/>
  <c r="I16" i="3"/>
  <c r="H16" i="3"/>
  <c r="G16" i="3"/>
  <c r="F16" i="3"/>
  <c r="E16" i="3"/>
  <c r="C16" i="1" s="1"/>
  <c r="D16" i="3"/>
  <c r="C16" i="20" s="1"/>
  <c r="C16" i="3"/>
  <c r="C16" i="18" s="1"/>
  <c r="B16" i="3"/>
  <c r="C16" i="19" s="1"/>
  <c r="A16" i="3"/>
  <c r="L15" i="3"/>
  <c r="C15" i="21" s="1"/>
  <c r="K15" i="3"/>
  <c r="J15" i="3"/>
  <c r="I15" i="3"/>
  <c r="H15" i="3"/>
  <c r="G15" i="3"/>
  <c r="F15" i="3"/>
  <c r="E15" i="3"/>
  <c r="C15" i="1" s="1"/>
  <c r="D15" i="3"/>
  <c r="C15" i="20" s="1"/>
  <c r="C15" i="3"/>
  <c r="C15" i="18" s="1"/>
  <c r="B15" i="3"/>
  <c r="C15" i="19" s="1"/>
  <c r="A15" i="3"/>
  <c r="L14" i="3"/>
  <c r="C14" i="21" s="1"/>
  <c r="K14" i="3"/>
  <c r="J14" i="3"/>
  <c r="I14" i="3"/>
  <c r="H14" i="3"/>
  <c r="G14" i="3"/>
  <c r="F14" i="3"/>
  <c r="E14" i="3"/>
  <c r="C14" i="1" s="1"/>
  <c r="D14" i="3"/>
  <c r="C14" i="20" s="1"/>
  <c r="C14" i="3"/>
  <c r="C14" i="18" s="1"/>
  <c r="B14" i="3"/>
  <c r="C14" i="19" s="1"/>
  <c r="A14" i="3"/>
  <c r="L13" i="3"/>
  <c r="C13" i="21" s="1"/>
  <c r="K13" i="3"/>
  <c r="J13" i="3"/>
  <c r="I13" i="3"/>
  <c r="H13" i="3"/>
  <c r="G13" i="3"/>
  <c r="F13" i="3"/>
  <c r="E13" i="3"/>
  <c r="C13" i="1" s="1"/>
  <c r="D13" i="3"/>
  <c r="C13" i="20" s="1"/>
  <c r="C13" i="3"/>
  <c r="C13" i="18" s="1"/>
  <c r="B13" i="3"/>
  <c r="C13" i="19" s="1"/>
  <c r="A13" i="3"/>
  <c r="L12" i="3"/>
  <c r="C12" i="21" s="1"/>
  <c r="K12" i="3"/>
  <c r="J12" i="3"/>
  <c r="I12" i="3"/>
  <c r="H12" i="3"/>
  <c r="G12" i="3"/>
  <c r="F12" i="3"/>
  <c r="E12" i="3"/>
  <c r="C12" i="1" s="1"/>
  <c r="D12" i="3"/>
  <c r="C12" i="20" s="1"/>
  <c r="C12" i="3"/>
  <c r="C12" i="18" s="1"/>
  <c r="B12" i="3"/>
  <c r="C12" i="19" s="1"/>
  <c r="A12" i="3"/>
  <c r="L11" i="3"/>
  <c r="C11" i="21" s="1"/>
  <c r="K11" i="3"/>
  <c r="J11" i="3"/>
  <c r="I11" i="3"/>
  <c r="H11" i="3"/>
  <c r="G11" i="3"/>
  <c r="F11" i="3"/>
  <c r="E11" i="3"/>
  <c r="C11" i="1" s="1"/>
  <c r="D11" i="3"/>
  <c r="C11" i="20" s="1"/>
  <c r="C11" i="3"/>
  <c r="C11" i="18" s="1"/>
  <c r="B11" i="3"/>
  <c r="C11" i="19" s="1"/>
  <c r="A11" i="3"/>
  <c r="L10" i="3"/>
  <c r="C10" i="21" s="1"/>
  <c r="K10" i="3"/>
  <c r="J10" i="3"/>
  <c r="I10" i="3"/>
  <c r="H10" i="3"/>
  <c r="G10" i="3"/>
  <c r="F10" i="3"/>
  <c r="E10" i="3"/>
  <c r="C10" i="1" s="1"/>
  <c r="D10" i="3"/>
  <c r="C10" i="20" s="1"/>
  <c r="C10" i="3"/>
  <c r="C10" i="18" s="1"/>
  <c r="B10" i="3"/>
  <c r="C10" i="19" s="1"/>
  <c r="A10" i="3"/>
  <c r="L9" i="3"/>
  <c r="C9" i="21" s="1"/>
  <c r="K9" i="3"/>
  <c r="J9" i="3"/>
  <c r="I9" i="3"/>
  <c r="H9" i="3"/>
  <c r="G9" i="3"/>
  <c r="F9" i="3"/>
  <c r="E9" i="3"/>
  <c r="C9" i="1" s="1"/>
  <c r="D9" i="3"/>
  <c r="C9" i="20" s="1"/>
  <c r="C9" i="3"/>
  <c r="C9" i="18" s="1"/>
  <c r="B9" i="3"/>
  <c r="C9" i="19" s="1"/>
  <c r="A9" i="3"/>
  <c r="L8" i="3"/>
  <c r="C8" i="21" s="1"/>
  <c r="K8" i="3"/>
  <c r="J8" i="3"/>
  <c r="I8" i="3"/>
  <c r="H8" i="3"/>
  <c r="G8" i="3"/>
  <c r="F8" i="3"/>
  <c r="E8" i="3"/>
  <c r="C8" i="1" s="1"/>
  <c r="D8" i="3"/>
  <c r="C8" i="20" s="1"/>
  <c r="C8" i="3"/>
  <c r="C8" i="18" s="1"/>
  <c r="B8" i="3"/>
  <c r="C8" i="19" s="1"/>
  <c r="A8" i="3"/>
  <c r="L7" i="3"/>
  <c r="C7" i="21" s="1"/>
  <c r="K7" i="3"/>
  <c r="J7" i="3"/>
  <c r="I7" i="3"/>
  <c r="H7" i="3"/>
  <c r="G7" i="3"/>
  <c r="F7" i="3"/>
  <c r="E7" i="3"/>
  <c r="C7" i="1" s="1"/>
  <c r="D7" i="3"/>
  <c r="C7" i="20" s="1"/>
  <c r="C7" i="3"/>
  <c r="C7" i="18" s="1"/>
  <c r="B7" i="3"/>
  <c r="C7" i="19" s="1"/>
  <c r="A7" i="3"/>
  <c r="L6" i="3"/>
  <c r="C6" i="21" s="1"/>
  <c r="K6" i="3"/>
  <c r="J6" i="3"/>
  <c r="I6" i="3"/>
  <c r="H6" i="3"/>
  <c r="G6" i="3"/>
  <c r="F6" i="3"/>
  <c r="E6" i="3"/>
  <c r="C6" i="1" s="1"/>
  <c r="D6" i="3"/>
  <c r="C6" i="20" s="1"/>
  <c r="C6" i="3"/>
  <c r="C6" i="18" s="1"/>
  <c r="B6" i="3"/>
  <c r="C6" i="19" s="1"/>
  <c r="A6" i="3"/>
  <c r="L5" i="3"/>
  <c r="C5" i="21" s="1"/>
  <c r="K5" i="3"/>
  <c r="J5" i="3"/>
  <c r="I5" i="3"/>
  <c r="H5" i="3"/>
  <c r="G5" i="3"/>
  <c r="F5" i="3"/>
  <c r="E5" i="3"/>
  <c r="C5" i="1" s="1"/>
  <c r="D5" i="3"/>
  <c r="C5" i="20" s="1"/>
  <c r="C5" i="3"/>
  <c r="C5" i="18" s="1"/>
  <c r="B5" i="3"/>
  <c r="C5" i="19" s="1"/>
  <c r="A5" i="3"/>
  <c r="L4" i="3"/>
  <c r="C4" i="21" s="1"/>
  <c r="K4" i="3"/>
  <c r="J4" i="3"/>
  <c r="I4" i="3"/>
  <c r="H4" i="3"/>
  <c r="G4" i="3"/>
  <c r="F4" i="3"/>
  <c r="E4" i="3"/>
  <c r="C4" i="1" s="1"/>
  <c r="D4" i="3"/>
  <c r="C4" i="20" s="1"/>
  <c r="C4" i="3"/>
  <c r="C4" i="18" s="1"/>
  <c r="B4" i="3"/>
  <c r="C4" i="19" s="1"/>
  <c r="A4" i="3"/>
  <c r="L3" i="3"/>
  <c r="C3" i="21" s="1"/>
  <c r="K3" i="3"/>
  <c r="J3" i="3"/>
  <c r="I3" i="3"/>
  <c r="H3" i="3"/>
  <c r="G3" i="3"/>
  <c r="F3" i="3"/>
  <c r="E3" i="3"/>
  <c r="C3" i="1" s="1"/>
  <c r="D3" i="3"/>
  <c r="C3" i="20" s="1"/>
  <c r="C3" i="3"/>
  <c r="C3" i="18" s="1"/>
  <c r="B3" i="3"/>
  <c r="C3" i="19" s="1"/>
  <c r="A3" i="3"/>
  <c r="L2" i="3"/>
  <c r="C2" i="21" s="1"/>
  <c r="K2" i="3"/>
  <c r="J2" i="3"/>
  <c r="I2" i="3"/>
  <c r="H2" i="3"/>
  <c r="G2" i="3"/>
  <c r="F2" i="3"/>
  <c r="E2" i="3"/>
  <c r="C2" i="1" s="1"/>
  <c r="D2" i="3"/>
  <c r="C2" i="20" s="1"/>
  <c r="C2" i="3"/>
  <c r="C2" i="18" s="1"/>
  <c r="B2" i="3"/>
  <c r="C2" i="19" s="1"/>
  <c r="A2" i="3"/>
  <c r="L27" i="2"/>
  <c r="B27" i="21" s="1"/>
  <c r="K27" i="2"/>
  <c r="J27" i="2"/>
  <c r="I27" i="2"/>
  <c r="H27" i="2"/>
  <c r="G27" i="2"/>
  <c r="F27" i="2"/>
  <c r="E27" i="2"/>
  <c r="B27" i="1" s="1"/>
  <c r="D27" i="2"/>
  <c r="B27" i="20" s="1"/>
  <c r="C27" i="2"/>
  <c r="B27" i="18" s="1"/>
  <c r="B27" i="2"/>
  <c r="B27" i="19" s="1"/>
  <c r="A27" i="2"/>
  <c r="L26" i="2"/>
  <c r="B26" i="21" s="1"/>
  <c r="K26" i="2"/>
  <c r="J26" i="2"/>
  <c r="I26" i="2"/>
  <c r="H26" i="2"/>
  <c r="G26" i="2"/>
  <c r="F26" i="2"/>
  <c r="E26" i="2"/>
  <c r="B26" i="1" s="1"/>
  <c r="D26" i="2"/>
  <c r="B26" i="20" s="1"/>
  <c r="C26" i="2"/>
  <c r="B26" i="18" s="1"/>
  <c r="B26" i="2"/>
  <c r="B26" i="19" s="1"/>
  <c r="A26" i="2"/>
  <c r="L25" i="2"/>
  <c r="B25" i="21" s="1"/>
  <c r="K25" i="2"/>
  <c r="J25" i="2"/>
  <c r="I25" i="2"/>
  <c r="H25" i="2"/>
  <c r="G25" i="2"/>
  <c r="F25" i="2"/>
  <c r="E25" i="2"/>
  <c r="B25" i="1" s="1"/>
  <c r="D25" i="2"/>
  <c r="B25" i="20" s="1"/>
  <c r="C25" i="2"/>
  <c r="B25" i="18" s="1"/>
  <c r="B25" i="2"/>
  <c r="B25" i="19" s="1"/>
  <c r="A25" i="2"/>
  <c r="L24" i="2"/>
  <c r="B24" i="21" s="1"/>
  <c r="K24" i="2"/>
  <c r="J24" i="2"/>
  <c r="I24" i="2"/>
  <c r="H24" i="2"/>
  <c r="G24" i="2"/>
  <c r="F24" i="2"/>
  <c r="E24" i="2"/>
  <c r="B24" i="1" s="1"/>
  <c r="D24" i="2"/>
  <c r="B24" i="20" s="1"/>
  <c r="C24" i="2"/>
  <c r="B24" i="18" s="1"/>
  <c r="B24" i="2"/>
  <c r="B24" i="19" s="1"/>
  <c r="A24" i="2"/>
  <c r="L23" i="2"/>
  <c r="B23" i="21" s="1"/>
  <c r="K23" i="2"/>
  <c r="J23" i="2"/>
  <c r="I23" i="2"/>
  <c r="H23" i="2"/>
  <c r="G23" i="2"/>
  <c r="F23" i="2"/>
  <c r="E23" i="2"/>
  <c r="B23" i="1" s="1"/>
  <c r="D23" i="2"/>
  <c r="B23" i="20" s="1"/>
  <c r="C23" i="2"/>
  <c r="B23" i="18" s="1"/>
  <c r="B23" i="2"/>
  <c r="B23" i="19" s="1"/>
  <c r="A23" i="2"/>
  <c r="L22" i="2"/>
  <c r="B22" i="21" s="1"/>
  <c r="K22" i="2"/>
  <c r="J22" i="2"/>
  <c r="I22" i="2"/>
  <c r="H22" i="2"/>
  <c r="G22" i="2"/>
  <c r="F22" i="2"/>
  <c r="E22" i="2"/>
  <c r="B22" i="1" s="1"/>
  <c r="D22" i="2"/>
  <c r="B22" i="20" s="1"/>
  <c r="C22" i="2"/>
  <c r="B22" i="18" s="1"/>
  <c r="B22" i="2"/>
  <c r="B22" i="19" s="1"/>
  <c r="A22" i="2"/>
  <c r="L21" i="2"/>
  <c r="B21" i="21" s="1"/>
  <c r="K21" i="2"/>
  <c r="J21" i="2"/>
  <c r="I21" i="2"/>
  <c r="H21" i="2"/>
  <c r="G21" i="2"/>
  <c r="F21" i="2"/>
  <c r="E21" i="2"/>
  <c r="B21" i="1" s="1"/>
  <c r="D21" i="2"/>
  <c r="B21" i="20" s="1"/>
  <c r="C21" i="2"/>
  <c r="B21" i="18" s="1"/>
  <c r="B21" i="2"/>
  <c r="B21" i="19" s="1"/>
  <c r="A21" i="2"/>
  <c r="L20" i="2"/>
  <c r="B20" i="21" s="1"/>
  <c r="K20" i="2"/>
  <c r="J20" i="2"/>
  <c r="I20" i="2"/>
  <c r="H20" i="2"/>
  <c r="G20" i="2"/>
  <c r="F20" i="2"/>
  <c r="E20" i="2"/>
  <c r="B20" i="1" s="1"/>
  <c r="D20" i="2"/>
  <c r="B20" i="20" s="1"/>
  <c r="C20" i="2"/>
  <c r="B20" i="18" s="1"/>
  <c r="B20" i="2"/>
  <c r="B20" i="19" s="1"/>
  <c r="A20" i="2"/>
  <c r="L19" i="2"/>
  <c r="B19" i="21" s="1"/>
  <c r="K19" i="2"/>
  <c r="J19" i="2"/>
  <c r="I19" i="2"/>
  <c r="H19" i="2"/>
  <c r="G19" i="2"/>
  <c r="F19" i="2"/>
  <c r="E19" i="2"/>
  <c r="B19" i="1" s="1"/>
  <c r="D19" i="2"/>
  <c r="B19" i="20" s="1"/>
  <c r="C19" i="2"/>
  <c r="B19" i="18" s="1"/>
  <c r="B19" i="2"/>
  <c r="B19" i="19" s="1"/>
  <c r="A19" i="2"/>
  <c r="L18" i="2"/>
  <c r="B18" i="21" s="1"/>
  <c r="K18" i="2"/>
  <c r="J18" i="2"/>
  <c r="I18" i="2"/>
  <c r="H18" i="2"/>
  <c r="G18" i="2"/>
  <c r="F18" i="2"/>
  <c r="E18" i="2"/>
  <c r="B18" i="1" s="1"/>
  <c r="D18" i="2"/>
  <c r="B18" i="20" s="1"/>
  <c r="C18" i="2"/>
  <c r="B18" i="18" s="1"/>
  <c r="B18" i="2"/>
  <c r="B18" i="19" s="1"/>
  <c r="A18" i="2"/>
  <c r="L17" i="2"/>
  <c r="B17" i="21" s="1"/>
  <c r="K17" i="2"/>
  <c r="J17" i="2"/>
  <c r="I17" i="2"/>
  <c r="H17" i="2"/>
  <c r="G17" i="2"/>
  <c r="F17" i="2"/>
  <c r="E17" i="2"/>
  <c r="B17" i="1" s="1"/>
  <c r="D17" i="2"/>
  <c r="B17" i="20" s="1"/>
  <c r="C17" i="2"/>
  <c r="B17" i="18" s="1"/>
  <c r="B17" i="2"/>
  <c r="B17" i="19" s="1"/>
  <c r="A17" i="2"/>
  <c r="L16" i="2"/>
  <c r="B16" i="21" s="1"/>
  <c r="K16" i="2"/>
  <c r="J16" i="2"/>
  <c r="I16" i="2"/>
  <c r="H16" i="2"/>
  <c r="G16" i="2"/>
  <c r="F16" i="2"/>
  <c r="E16" i="2"/>
  <c r="B16" i="1" s="1"/>
  <c r="D16" i="2"/>
  <c r="B16" i="20" s="1"/>
  <c r="C16" i="2"/>
  <c r="B16" i="18" s="1"/>
  <c r="B16" i="2"/>
  <c r="B16" i="19" s="1"/>
  <c r="A16" i="2"/>
  <c r="L15" i="2"/>
  <c r="B15" i="21" s="1"/>
  <c r="K15" i="2"/>
  <c r="J15" i="2"/>
  <c r="I15" i="2"/>
  <c r="H15" i="2"/>
  <c r="G15" i="2"/>
  <c r="F15" i="2"/>
  <c r="E15" i="2"/>
  <c r="B15" i="1" s="1"/>
  <c r="D15" i="2"/>
  <c r="B15" i="20" s="1"/>
  <c r="C15" i="2"/>
  <c r="B15" i="18" s="1"/>
  <c r="B15" i="2"/>
  <c r="B15" i="19" s="1"/>
  <c r="A15" i="2"/>
  <c r="L14" i="2"/>
  <c r="B14" i="21" s="1"/>
  <c r="K14" i="2"/>
  <c r="J14" i="2"/>
  <c r="I14" i="2"/>
  <c r="H14" i="2"/>
  <c r="G14" i="2"/>
  <c r="F14" i="2"/>
  <c r="E14" i="2"/>
  <c r="B14" i="1" s="1"/>
  <c r="D14" i="2"/>
  <c r="B14" i="20" s="1"/>
  <c r="C14" i="2"/>
  <c r="B14" i="18" s="1"/>
  <c r="B14" i="2"/>
  <c r="B14" i="19" s="1"/>
  <c r="A14" i="2"/>
  <c r="L13" i="2"/>
  <c r="B13" i="21" s="1"/>
  <c r="K13" i="2"/>
  <c r="J13" i="2"/>
  <c r="I13" i="2"/>
  <c r="H13" i="2"/>
  <c r="G13" i="2"/>
  <c r="F13" i="2"/>
  <c r="E13" i="2"/>
  <c r="B13" i="1" s="1"/>
  <c r="D13" i="2"/>
  <c r="B13" i="20" s="1"/>
  <c r="C13" i="2"/>
  <c r="B13" i="18" s="1"/>
  <c r="B13" i="2"/>
  <c r="B13" i="19" s="1"/>
  <c r="A13" i="2"/>
  <c r="L12" i="2"/>
  <c r="B12" i="21" s="1"/>
  <c r="K12" i="2"/>
  <c r="J12" i="2"/>
  <c r="I12" i="2"/>
  <c r="H12" i="2"/>
  <c r="G12" i="2"/>
  <c r="F12" i="2"/>
  <c r="E12" i="2"/>
  <c r="B12" i="1" s="1"/>
  <c r="D12" i="2"/>
  <c r="B12" i="20" s="1"/>
  <c r="C12" i="2"/>
  <c r="B12" i="18" s="1"/>
  <c r="B12" i="2"/>
  <c r="B12" i="19" s="1"/>
  <c r="A12" i="2"/>
  <c r="L11" i="2"/>
  <c r="B11" i="21" s="1"/>
  <c r="K11" i="2"/>
  <c r="J11" i="2"/>
  <c r="I11" i="2"/>
  <c r="H11" i="2"/>
  <c r="G11" i="2"/>
  <c r="F11" i="2"/>
  <c r="E11" i="2"/>
  <c r="B11" i="1" s="1"/>
  <c r="D11" i="2"/>
  <c r="B11" i="20" s="1"/>
  <c r="C11" i="2"/>
  <c r="B11" i="18" s="1"/>
  <c r="B11" i="2"/>
  <c r="B11" i="19" s="1"/>
  <c r="A11" i="2"/>
  <c r="L10" i="2"/>
  <c r="B10" i="21" s="1"/>
  <c r="K10" i="2"/>
  <c r="J10" i="2"/>
  <c r="I10" i="2"/>
  <c r="H10" i="2"/>
  <c r="G10" i="2"/>
  <c r="F10" i="2"/>
  <c r="E10" i="2"/>
  <c r="B10" i="1" s="1"/>
  <c r="D10" i="2"/>
  <c r="B10" i="20" s="1"/>
  <c r="C10" i="2"/>
  <c r="B10" i="18" s="1"/>
  <c r="B10" i="2"/>
  <c r="B10" i="19" s="1"/>
  <c r="A10" i="2"/>
  <c r="L9" i="2"/>
  <c r="B9" i="21" s="1"/>
  <c r="K9" i="2"/>
  <c r="J9" i="2"/>
  <c r="I9" i="2"/>
  <c r="H9" i="2"/>
  <c r="G9" i="2"/>
  <c r="F9" i="2"/>
  <c r="E9" i="2"/>
  <c r="B9" i="1" s="1"/>
  <c r="D9" i="2"/>
  <c r="B9" i="20" s="1"/>
  <c r="C9" i="2"/>
  <c r="B9" i="18" s="1"/>
  <c r="B9" i="2"/>
  <c r="B9" i="19" s="1"/>
  <c r="A9" i="2"/>
  <c r="L8" i="2"/>
  <c r="B8" i="21" s="1"/>
  <c r="K8" i="2"/>
  <c r="J8" i="2"/>
  <c r="I8" i="2"/>
  <c r="H8" i="2"/>
  <c r="G8" i="2"/>
  <c r="F8" i="2"/>
  <c r="E8" i="2"/>
  <c r="B8" i="1" s="1"/>
  <c r="D8" i="2"/>
  <c r="B8" i="20" s="1"/>
  <c r="C8" i="2"/>
  <c r="B8" i="18" s="1"/>
  <c r="B8" i="2"/>
  <c r="B8" i="19" s="1"/>
  <c r="A8" i="2"/>
  <c r="L7" i="2"/>
  <c r="B7" i="21" s="1"/>
  <c r="K7" i="2"/>
  <c r="J7" i="2"/>
  <c r="I7" i="2"/>
  <c r="H7" i="2"/>
  <c r="G7" i="2"/>
  <c r="F7" i="2"/>
  <c r="E7" i="2"/>
  <c r="B7" i="1" s="1"/>
  <c r="D7" i="2"/>
  <c r="B7" i="20" s="1"/>
  <c r="C7" i="2"/>
  <c r="B7" i="18" s="1"/>
  <c r="B7" i="2"/>
  <c r="B7" i="19" s="1"/>
  <c r="A7" i="2"/>
  <c r="L6" i="2"/>
  <c r="B6" i="21" s="1"/>
  <c r="K6" i="2"/>
  <c r="J6" i="2"/>
  <c r="I6" i="2"/>
  <c r="H6" i="2"/>
  <c r="G6" i="2"/>
  <c r="F6" i="2"/>
  <c r="E6" i="2"/>
  <c r="B6" i="1" s="1"/>
  <c r="D6" i="2"/>
  <c r="B6" i="20" s="1"/>
  <c r="C6" i="2"/>
  <c r="B6" i="18" s="1"/>
  <c r="B6" i="2"/>
  <c r="B6" i="19" s="1"/>
  <c r="A6" i="2"/>
  <c r="L5" i="2"/>
  <c r="B5" i="21" s="1"/>
  <c r="K5" i="2"/>
  <c r="J5" i="2"/>
  <c r="I5" i="2"/>
  <c r="H5" i="2"/>
  <c r="G5" i="2"/>
  <c r="F5" i="2"/>
  <c r="E5" i="2"/>
  <c r="B5" i="1" s="1"/>
  <c r="D5" i="2"/>
  <c r="B5" i="20" s="1"/>
  <c r="C5" i="2"/>
  <c r="B5" i="18" s="1"/>
  <c r="B5" i="2"/>
  <c r="B5" i="19" s="1"/>
  <c r="A5" i="2"/>
  <c r="L4" i="2"/>
  <c r="B4" i="21" s="1"/>
  <c r="K4" i="2"/>
  <c r="J4" i="2"/>
  <c r="I4" i="2"/>
  <c r="H4" i="2"/>
  <c r="G4" i="2"/>
  <c r="F4" i="2"/>
  <c r="E4" i="2"/>
  <c r="B4" i="1" s="1"/>
  <c r="D4" i="2"/>
  <c r="B4" i="20" s="1"/>
  <c r="C4" i="2"/>
  <c r="B4" i="18" s="1"/>
  <c r="B4" i="2"/>
  <c r="B4" i="19" s="1"/>
  <c r="A4" i="2"/>
  <c r="L3" i="2"/>
  <c r="B3" i="21" s="1"/>
  <c r="K3" i="2"/>
  <c r="J3" i="2"/>
  <c r="I3" i="2"/>
  <c r="H3" i="2"/>
  <c r="G3" i="2"/>
  <c r="F3" i="2"/>
  <c r="E3" i="2"/>
  <c r="B3" i="1" s="1"/>
  <c r="D3" i="2"/>
  <c r="B3" i="20" s="1"/>
  <c r="C3" i="2"/>
  <c r="B3" i="18" s="1"/>
  <c r="B3" i="2"/>
  <c r="B3" i="19" s="1"/>
  <c r="A3" i="2"/>
  <c r="L2" i="2"/>
  <c r="B2" i="21" s="1"/>
  <c r="K2" i="2"/>
  <c r="J2" i="2"/>
  <c r="I2" i="2"/>
  <c r="H2" i="2"/>
  <c r="G2" i="2"/>
  <c r="F2" i="2"/>
  <c r="E2" i="2"/>
  <c r="B2" i="1" s="1"/>
  <c r="D2" i="2"/>
  <c r="B2" i="20" s="1"/>
  <c r="C2" i="2"/>
  <c r="B2" i="18" s="1"/>
  <c r="B2" i="2"/>
  <c r="B2" i="19" s="1"/>
  <c r="A2" i="2"/>
  <c r="A2" i="21" l="1"/>
  <c r="A2" i="20"/>
  <c r="A2" i="19"/>
  <c r="A2" i="1"/>
  <c r="A2" i="18"/>
  <c r="A4" i="20"/>
  <c r="A4" i="21"/>
  <c r="A4" i="19"/>
  <c r="A4" i="18"/>
  <c r="A4" i="1"/>
  <c r="A7" i="20"/>
  <c r="A7" i="21"/>
  <c r="A7" i="18"/>
  <c r="A7" i="19"/>
  <c r="A7" i="1"/>
  <c r="A9" i="21"/>
  <c r="A9" i="20"/>
  <c r="A9" i="18"/>
  <c r="A9" i="19"/>
  <c r="A9" i="1"/>
  <c r="A12" i="20"/>
  <c r="A12" i="21"/>
  <c r="A12" i="19"/>
  <c r="A12" i="1"/>
  <c r="A12" i="18"/>
  <c r="A14" i="21"/>
  <c r="A14" i="20"/>
  <c r="A14" i="19"/>
  <c r="A14" i="1"/>
  <c r="A14" i="18"/>
  <c r="A16" i="20"/>
  <c r="A16" i="21"/>
  <c r="A16" i="1"/>
  <c r="A16" i="18"/>
  <c r="A16" i="19"/>
  <c r="A18" i="21"/>
  <c r="A18" i="20"/>
  <c r="A18" i="19"/>
  <c r="A18" i="18"/>
  <c r="A18" i="1"/>
  <c r="A20" i="20"/>
  <c r="A20" i="21"/>
  <c r="A20" i="19"/>
  <c r="A20" i="18"/>
  <c r="A20" i="1"/>
  <c r="A26" i="21"/>
  <c r="A26" i="20"/>
  <c r="A26" i="19"/>
  <c r="A26" i="1"/>
  <c r="A26" i="18"/>
  <c r="A3" i="20"/>
  <c r="A3" i="21"/>
  <c r="A3" i="1"/>
  <c r="A3" i="19"/>
  <c r="A3" i="18"/>
  <c r="A6" i="21"/>
  <c r="A6" i="20"/>
  <c r="A6" i="19"/>
  <c r="A6" i="18"/>
  <c r="A6" i="1"/>
  <c r="A8" i="20"/>
  <c r="A8" i="21"/>
  <c r="A8" i="19"/>
  <c r="A8" i="1"/>
  <c r="A8" i="18"/>
  <c r="A11" i="20"/>
  <c r="A11" i="21"/>
  <c r="A11" i="19"/>
  <c r="A11" i="18"/>
  <c r="A11" i="1"/>
  <c r="A13" i="20"/>
  <c r="A13" i="21"/>
  <c r="A13" i="18"/>
  <c r="A13" i="19"/>
  <c r="A13" i="1"/>
  <c r="A15" i="20"/>
  <c r="A15" i="21"/>
  <c r="A15" i="1"/>
  <c r="A15" i="18"/>
  <c r="A15" i="19"/>
  <c r="A17" i="20"/>
  <c r="A17" i="21"/>
  <c r="A17" i="18"/>
  <c r="A17" i="19"/>
  <c r="A17" i="1"/>
  <c r="A19" i="20"/>
  <c r="A19" i="21"/>
  <c r="A19" i="18"/>
  <c r="A19" i="19"/>
  <c r="A19" i="1"/>
  <c r="A23" i="21"/>
  <c r="A23" i="20"/>
  <c r="A23" i="19"/>
  <c r="A23" i="18"/>
  <c r="A23" i="1"/>
  <c r="A27" i="20"/>
  <c r="A27" i="21"/>
  <c r="A27" i="1"/>
  <c r="A27" i="19"/>
  <c r="A27" i="18"/>
  <c r="A21" i="21"/>
  <c r="A21" i="20"/>
  <c r="A21" i="18"/>
  <c r="A21" i="19"/>
  <c r="A21" i="1"/>
  <c r="A25" i="20"/>
  <c r="A25" i="21"/>
  <c r="A25" i="18"/>
  <c r="A25" i="1"/>
  <c r="A25" i="19"/>
  <c r="A5" i="20"/>
  <c r="A5" i="21"/>
  <c r="A5" i="19"/>
  <c r="A5" i="18"/>
  <c r="A5" i="1"/>
  <c r="A24" i="20"/>
  <c r="A24" i="21"/>
  <c r="A24" i="19"/>
  <c r="A24" i="18"/>
  <c r="A24" i="1"/>
  <c r="A10" i="21"/>
  <c r="A10" i="20"/>
  <c r="A10" i="19"/>
  <c r="A10" i="18"/>
  <c r="A10" i="1"/>
  <c r="A22" i="21"/>
  <c r="A22" i="20"/>
  <c r="A22" i="19"/>
  <c r="A22" i="18"/>
  <c r="A22" i="1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<sst xmlns="http://schemas.openxmlformats.org/spreadsheetml/2006/main" count="192" uniqueCount="12">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</sst>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S16" sqref="S16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'MeOH FU 0.7'!A2</f>
        <v>0.6</v>
      </c>
      <c r="B2" s="15">
        <f>'MeOH FU 0.7'!$B2</f>
        <v>34.515441559999999</v>
      </c>
      <c r="C2" s="15">
        <f>'MeOH FU 0.71'!$B2</f>
        <v>35.008519290000002</v>
      </c>
      <c r="D2" s="15">
        <f>'MeOH FU 0.72'!$B2</f>
        <v>35.501597029999999</v>
      </c>
      <c r="E2" s="15">
        <f>'MeOH FU 0.73'!$B2</f>
        <v>35.994674770000003</v>
      </c>
      <c r="F2" s="15">
        <f>'MeOH FU 0.74'!$B2</f>
        <v>36.487752499999999</v>
      </c>
      <c r="G2" s="15">
        <f>'MeOH FU 0.75'!$B2</f>
        <v>36.980830240000003</v>
      </c>
      <c r="H2" s="15">
        <f>'MeOH FU 0.76'!$B2</f>
        <v>37.47390798</v>
      </c>
      <c r="I2" s="15">
        <f>'MeOH FU 0.77'!$B2</f>
        <v>37.966985710000003</v>
      </c>
      <c r="J2" s="15">
        <f>'MeOH FU 0.78'!$B2</f>
        <v>38.46006345</v>
      </c>
      <c r="K2" s="15">
        <f>'MeOH FU 0.79'!$B2</f>
        <v>38.953141189999997</v>
      </c>
      <c r="L2" s="15">
        <f>'MeOH FU 0.8'!$B2</f>
        <v>39.44621892</v>
      </c>
      <c r="M2" s="15">
        <f>'MeOH FU 0.81'!$B2</f>
        <v>39.939296659999997</v>
      </c>
      <c r="N2" s="15">
        <f>'MeOH FU 0.82'!$B2</f>
        <v>40.43237439</v>
      </c>
      <c r="O2" s="15">
        <f>'MeOH FU 0.83'!$B2</f>
        <v>40.925452129999996</v>
      </c>
      <c r="P2" s="15">
        <f>'MeOH FU 0.84'!$B2</f>
        <v>41.41852987</v>
      </c>
      <c r="Q2" s="15">
        <f>'MeOH FU 0.85'!$B2</f>
        <v>41.911607600000004</v>
      </c>
    </row>
    <row r="3" spans="1:17" x14ac:dyDescent="0.25">
      <c r="A3">
        <f>'MeOH FU 0.7'!A3</f>
        <v>0.61</v>
      </c>
      <c r="B3" s="15">
        <f>'MeOH FU 0.7'!$B3</f>
        <v>35.090698920000001</v>
      </c>
      <c r="C3" s="15">
        <f>'MeOH FU 0.71'!$B3</f>
        <v>35.59199461</v>
      </c>
      <c r="D3" s="15">
        <f>'MeOH FU 0.72'!$B3</f>
        <v>36.09329031</v>
      </c>
      <c r="E3" s="15">
        <f>'MeOH FU 0.73'!$B3</f>
        <v>36.59458601</v>
      </c>
      <c r="F3" s="15">
        <f>'MeOH FU 0.74'!$B3</f>
        <v>37.09588171</v>
      </c>
      <c r="G3" s="15">
        <f>'MeOH FU 0.75'!$B3</f>
        <v>37.59717741</v>
      </c>
      <c r="H3" s="15">
        <f>'MeOH FU 0.76'!$B3</f>
        <v>38.09847311</v>
      </c>
      <c r="I3" s="15">
        <f>'MeOH FU 0.77'!$B3</f>
        <v>38.59976881</v>
      </c>
      <c r="J3" s="15">
        <f>'MeOH FU 0.78'!$B3</f>
        <v>39.10106451</v>
      </c>
      <c r="K3" s="15">
        <f>'MeOH FU 0.79'!$B3</f>
        <v>39.6023602</v>
      </c>
      <c r="L3" s="15">
        <f>'MeOH FU 0.8'!$B3</f>
        <v>40.1036559</v>
      </c>
      <c r="M3" s="15">
        <f>'MeOH FU 0.81'!$B3</f>
        <v>40.6049516</v>
      </c>
      <c r="N3" s="15">
        <f>'MeOH FU 0.82'!$B3</f>
        <v>41.1062473</v>
      </c>
      <c r="O3" s="15">
        <f>'MeOH FU 0.83'!$B3</f>
        <v>41.607543</v>
      </c>
      <c r="P3" s="15">
        <f>'MeOH FU 0.84'!$B3</f>
        <v>42.1088387</v>
      </c>
      <c r="Q3" s="15">
        <f>'MeOH FU 0.85'!$B3</f>
        <v>42.6101344</v>
      </c>
    </row>
    <row r="4" spans="1:17" x14ac:dyDescent="0.25">
      <c r="A4">
        <f>'MeOH FU 0.7'!A4</f>
        <v>0.62</v>
      </c>
      <c r="B4" s="15">
        <f>'MeOH FU 0.7'!$B4</f>
        <v>35.665956270000002</v>
      </c>
      <c r="C4" s="15">
        <f>'MeOH FU 0.71'!$B4</f>
        <v>36.175469939999999</v>
      </c>
      <c r="D4" s="15">
        <f>'MeOH FU 0.72'!$B4</f>
        <v>36.684983600000002</v>
      </c>
      <c r="E4" s="15">
        <f>'MeOH FU 0.73'!$B4</f>
        <v>37.194497259999999</v>
      </c>
      <c r="F4" s="15">
        <f>'MeOH FU 0.74'!$B4</f>
        <v>37.704010920000002</v>
      </c>
      <c r="G4" s="15">
        <f>'MeOH FU 0.75'!$B4</f>
        <v>38.213524579999998</v>
      </c>
      <c r="H4" s="15">
        <f>'MeOH FU 0.76'!$B4</f>
        <v>38.723038240000001</v>
      </c>
      <c r="I4" s="15">
        <f>'MeOH FU 0.77'!$B4</f>
        <v>39.232551899999997</v>
      </c>
      <c r="J4" s="15">
        <f>'MeOH FU 0.78'!$B4</f>
        <v>39.74206556</v>
      </c>
      <c r="K4" s="15">
        <f>'MeOH FU 0.79'!$B4</f>
        <v>40.251579220000004</v>
      </c>
      <c r="L4" s="15">
        <f>'MeOH FU 0.8'!$B4</f>
        <v>40.76109289</v>
      </c>
      <c r="M4" s="15">
        <f>'MeOH FU 0.81'!$B4</f>
        <v>41.270606549999997</v>
      </c>
      <c r="N4" s="15">
        <f>'MeOH FU 0.82'!$B4</f>
        <v>41.78012021</v>
      </c>
      <c r="O4" s="15">
        <f>'MeOH FU 0.83'!$B4</f>
        <v>42.289633870000003</v>
      </c>
      <c r="P4" s="15">
        <f>'MeOH FU 0.84'!$B4</f>
        <v>42.799147529999999</v>
      </c>
      <c r="Q4" s="15">
        <f>'MeOH FU 0.85'!$B4</f>
        <v>43.308661190000002</v>
      </c>
    </row>
    <row r="5" spans="1:17" x14ac:dyDescent="0.25">
      <c r="A5">
        <f>'MeOH FU 0.7'!A5</f>
        <v>0.63</v>
      </c>
      <c r="B5" s="15">
        <f>'MeOH FU 0.7'!$B5</f>
        <v>36.241213629999997</v>
      </c>
      <c r="C5" s="15">
        <f>'MeOH FU 0.71'!$B5</f>
        <v>36.758945259999997</v>
      </c>
      <c r="D5" s="15">
        <f>'MeOH FU 0.72'!$B5</f>
        <v>37.276676879999997</v>
      </c>
      <c r="E5" s="15">
        <f>'MeOH FU 0.73'!$B5</f>
        <v>37.794408500000003</v>
      </c>
      <c r="F5" s="15">
        <f>'MeOH FU 0.74'!$B5</f>
        <v>38.312140130000003</v>
      </c>
      <c r="G5" s="15">
        <f>'MeOH FU 0.75'!$B5</f>
        <v>38.829871750000002</v>
      </c>
      <c r="H5" s="15">
        <f>'MeOH FU 0.76'!$B5</f>
        <v>39.347603370000002</v>
      </c>
      <c r="I5" s="15">
        <f>'MeOH FU 0.77'!$B5</f>
        <v>39.865335000000002</v>
      </c>
      <c r="J5" s="15">
        <f>'MeOH FU 0.78'!$B5</f>
        <v>40.383066620000001</v>
      </c>
      <c r="K5" s="15">
        <f>'MeOH FU 0.79'!$B5</f>
        <v>40.90079824</v>
      </c>
      <c r="L5" s="15">
        <f>'MeOH FU 0.8'!$B5</f>
        <v>41.41852987</v>
      </c>
      <c r="M5" s="15">
        <f>'MeOH FU 0.81'!$B5</f>
        <v>41.93626149</v>
      </c>
      <c r="N5" s="15">
        <f>'MeOH FU 0.82'!$B5</f>
        <v>42.453993109999999</v>
      </c>
      <c r="O5" s="15">
        <f>'MeOH FU 0.83'!$B5</f>
        <v>42.971724739999999</v>
      </c>
      <c r="P5" s="15">
        <f>'MeOH FU 0.84'!$B5</f>
        <v>43.489456359999998</v>
      </c>
      <c r="Q5" s="15">
        <f>'MeOH FU 0.85'!$B5</f>
        <v>44.007187979999998</v>
      </c>
    </row>
    <row r="6" spans="1:17" x14ac:dyDescent="0.25">
      <c r="A6">
        <f>'MeOH FU 0.7'!A6</f>
        <v>0.64</v>
      </c>
      <c r="B6" s="15">
        <f>'MeOH FU 0.7'!$B6</f>
        <v>36.816470989999999</v>
      </c>
      <c r="C6" s="15">
        <f>'MeOH FU 0.71'!$B6</f>
        <v>37.342420580000002</v>
      </c>
      <c r="D6" s="15">
        <f>'MeOH FU 0.72'!$B6</f>
        <v>37.868370159999998</v>
      </c>
      <c r="E6" s="15">
        <f>'MeOH FU 0.73'!$B6</f>
        <v>38.394319750000001</v>
      </c>
      <c r="F6" s="15">
        <f>'MeOH FU 0.74'!$B6</f>
        <v>38.920269339999997</v>
      </c>
      <c r="G6" s="15">
        <f>'MeOH FU 0.75'!$B6</f>
        <v>39.44621892</v>
      </c>
      <c r="H6" s="15">
        <f>'MeOH FU 0.76'!$B6</f>
        <v>39.972168510000003</v>
      </c>
      <c r="I6" s="15">
        <f>'MeOH FU 0.77'!$B6</f>
        <v>40.498118089999998</v>
      </c>
      <c r="J6" s="15">
        <f>'MeOH FU 0.78'!$B6</f>
        <v>41.024067680000002</v>
      </c>
      <c r="K6" s="15">
        <f>'MeOH FU 0.79'!$B6</f>
        <v>41.550017259999997</v>
      </c>
      <c r="L6" s="15">
        <f>'MeOH FU 0.8'!$B6</f>
        <v>42.07596685</v>
      </c>
      <c r="M6" s="15">
        <f>'MeOH FU 0.81'!$B6</f>
        <v>42.601916439999997</v>
      </c>
      <c r="N6" s="15">
        <f>'MeOH FU 0.82'!$B6</f>
        <v>43.127866019999999</v>
      </c>
      <c r="O6" s="15">
        <f>'MeOH FU 0.83'!$B6</f>
        <v>43.653815610000002</v>
      </c>
      <c r="P6" s="15">
        <f>'MeOH FU 0.84'!$B6</f>
        <v>44.179765189999998</v>
      </c>
      <c r="Q6" s="15">
        <f>'MeOH FU 0.85'!$B6</f>
        <v>44.705714780000001</v>
      </c>
    </row>
    <row r="7" spans="1:17" x14ac:dyDescent="0.25">
      <c r="A7">
        <f>'MeOH FU 0.7'!A7</f>
        <v>0.65</v>
      </c>
      <c r="B7" s="15">
        <f>'MeOH FU 0.7'!$B7</f>
        <v>37.391728350000001</v>
      </c>
      <c r="C7" s="15">
        <f>'MeOH FU 0.71'!$B7</f>
        <v>37.9258959</v>
      </c>
      <c r="D7" s="15">
        <f>'MeOH FU 0.72'!$B7</f>
        <v>38.46006345</v>
      </c>
      <c r="E7" s="15">
        <f>'MeOH FU 0.73'!$B7</f>
        <v>38.994230999999999</v>
      </c>
      <c r="F7" s="15">
        <f>'MeOH FU 0.74'!$B7</f>
        <v>39.528398539999998</v>
      </c>
      <c r="G7" s="15">
        <f>'MeOH FU 0.75'!$B7</f>
        <v>40.062566089999997</v>
      </c>
      <c r="H7" s="15">
        <f>'MeOH FU 0.76'!$B7</f>
        <v>40.596733639999997</v>
      </c>
      <c r="I7" s="15">
        <f>'MeOH FU 0.77'!$B7</f>
        <v>41.130901190000003</v>
      </c>
      <c r="J7" s="15">
        <f>'MeOH FU 0.78'!$B7</f>
        <v>41.665068740000002</v>
      </c>
      <c r="K7" s="15">
        <f>'MeOH FU 0.79'!$B7</f>
        <v>42.199236280000001</v>
      </c>
      <c r="L7" s="15">
        <f>'MeOH FU 0.8'!$B7</f>
        <v>42.73340383</v>
      </c>
      <c r="M7" s="15">
        <f>'MeOH FU 0.81'!$B7</f>
        <v>43.26757138</v>
      </c>
      <c r="N7" s="15">
        <f>'MeOH FU 0.82'!$B7</f>
        <v>43.801738929999999</v>
      </c>
      <c r="O7" s="15">
        <f>'MeOH FU 0.83'!$B7</f>
        <v>44.335906479999998</v>
      </c>
      <c r="P7" s="15">
        <f>'MeOH FU 0.84'!$B7</f>
        <v>44.870074019999997</v>
      </c>
      <c r="Q7" s="15">
        <f>'MeOH FU 0.85'!$B7</f>
        <v>45.404241570000003</v>
      </c>
    </row>
    <row r="8" spans="1:17" x14ac:dyDescent="0.25">
      <c r="A8">
        <f>'MeOH FU 0.7'!A8</f>
        <v>0.66</v>
      </c>
      <c r="B8" s="15">
        <f>'MeOH FU 0.7'!$B8</f>
        <v>37.966985710000003</v>
      </c>
      <c r="C8" s="15">
        <f>'MeOH FU 0.71'!$B8</f>
        <v>38.509371219999998</v>
      </c>
      <c r="D8" s="15">
        <f>'MeOH FU 0.72'!$B8</f>
        <v>39.051756730000001</v>
      </c>
      <c r="E8" s="15">
        <f>'MeOH FU 0.73'!$B8</f>
        <v>39.594142239999996</v>
      </c>
      <c r="F8" s="15">
        <f>'MeOH FU 0.74'!$B8</f>
        <v>40.136527749999999</v>
      </c>
      <c r="G8" s="15">
        <f>'MeOH FU 0.75'!$B8</f>
        <v>40.678913260000002</v>
      </c>
      <c r="H8" s="15">
        <f>'MeOH FU 0.76'!$B8</f>
        <v>41.221298769999997</v>
      </c>
      <c r="I8" s="15">
        <f>'MeOH FU 0.77'!$B8</f>
        <v>41.76368428</v>
      </c>
      <c r="J8" s="15">
        <f>'MeOH FU 0.78'!$B8</f>
        <v>42.306069790000002</v>
      </c>
      <c r="K8" s="15">
        <f>'MeOH FU 0.79'!$B8</f>
        <v>42.848455299999998</v>
      </c>
      <c r="L8" s="15">
        <f>'MeOH FU 0.8'!$B8</f>
        <v>43.39084081</v>
      </c>
      <c r="M8" s="15">
        <f>'MeOH FU 0.81'!$B8</f>
        <v>43.933226320000003</v>
      </c>
      <c r="N8" s="15">
        <f>'MeOH FU 0.82'!$B8</f>
        <v>44.475611829999998</v>
      </c>
      <c r="O8" s="15">
        <f>'MeOH FU 0.83'!$B8</f>
        <v>45.017997340000001</v>
      </c>
      <c r="P8" s="15">
        <f>'MeOH FU 0.84'!$B8</f>
        <v>45.560382850000003</v>
      </c>
      <c r="Q8" s="15">
        <f>'MeOH FU 0.85'!$B8</f>
        <v>46.102768359999999</v>
      </c>
    </row>
    <row r="9" spans="1:17" x14ac:dyDescent="0.25">
      <c r="A9">
        <f>'MeOH FU 0.7'!A9</f>
        <v>0.67</v>
      </c>
      <c r="B9" s="15">
        <f>'MeOH FU 0.7'!$B9</f>
        <v>38.542243069999998</v>
      </c>
      <c r="C9" s="15">
        <f>'MeOH FU 0.71'!$B9</f>
        <v>39.092846539999996</v>
      </c>
      <c r="D9" s="15">
        <f>'MeOH FU 0.72'!$B9</f>
        <v>39.643450020000003</v>
      </c>
      <c r="E9" s="15">
        <f>'MeOH FU 0.73'!$B9</f>
        <v>40.194053490000002</v>
      </c>
      <c r="F9" s="15">
        <f>'MeOH FU 0.74'!$B9</f>
        <v>40.74465696</v>
      </c>
      <c r="G9" s="15">
        <f>'MeOH FU 0.75'!$B9</f>
        <v>41.295260429999999</v>
      </c>
      <c r="H9" s="15">
        <f>'MeOH FU 0.76'!$B9</f>
        <v>41.845863909999998</v>
      </c>
      <c r="I9" s="15">
        <f>'MeOH FU 0.77'!$B9</f>
        <v>42.396467379999997</v>
      </c>
      <c r="J9" s="15">
        <f>'MeOH FU 0.78'!$B9</f>
        <v>42.947070850000003</v>
      </c>
      <c r="K9" s="15">
        <f>'MeOH FU 0.79'!$B9</f>
        <v>43.497674320000002</v>
      </c>
      <c r="L9" s="15">
        <f>'MeOH FU 0.8'!$B9</f>
        <v>44.048277800000001</v>
      </c>
      <c r="M9" s="15">
        <f>'MeOH FU 0.81'!$B9</f>
        <v>44.59888127</v>
      </c>
      <c r="N9" s="15">
        <f>'MeOH FU 0.82'!$B9</f>
        <v>45.149484739999998</v>
      </c>
      <c r="O9" s="15">
        <f>'MeOH FU 0.83'!$B9</f>
        <v>45.700088209999997</v>
      </c>
      <c r="P9" s="15">
        <f>'MeOH FU 0.84'!$B9</f>
        <v>46.250691689999996</v>
      </c>
      <c r="Q9" s="15">
        <f>'MeOH FU 0.85'!$B9</f>
        <v>46.801295160000002</v>
      </c>
    </row>
    <row r="10" spans="1:17" x14ac:dyDescent="0.25">
      <c r="A10">
        <f>'MeOH FU 0.7'!A10</f>
        <v>0.68</v>
      </c>
      <c r="B10" s="15">
        <f>'MeOH FU 0.7'!$B10</f>
        <v>39.11750043</v>
      </c>
      <c r="C10" s="15">
        <f>'MeOH FU 0.71'!$B10</f>
        <v>39.676321870000002</v>
      </c>
      <c r="D10" s="15">
        <f>'MeOH FU 0.72'!$B10</f>
        <v>40.235143299999997</v>
      </c>
      <c r="E10" s="15">
        <f>'MeOH FU 0.73'!$B10</f>
        <v>40.793964729999999</v>
      </c>
      <c r="F10" s="15">
        <f>'MeOH FU 0.74'!$B10</f>
        <v>41.352786170000002</v>
      </c>
      <c r="G10" s="15">
        <f>'MeOH FU 0.75'!$B10</f>
        <v>41.911607600000004</v>
      </c>
      <c r="H10" s="15">
        <f>'MeOH FU 0.76'!$B10</f>
        <v>42.470429039999999</v>
      </c>
      <c r="I10" s="15">
        <f>'MeOH FU 0.77'!$B10</f>
        <v>43.029250470000001</v>
      </c>
      <c r="J10" s="15">
        <f>'MeOH FU 0.78'!$B10</f>
        <v>43.588071909999996</v>
      </c>
      <c r="K10" s="15">
        <f>'MeOH FU 0.79'!$B10</f>
        <v>44.146893339999998</v>
      </c>
      <c r="L10" s="15">
        <f>'MeOH FU 0.8'!$B10</f>
        <v>44.705714780000001</v>
      </c>
      <c r="M10" s="15">
        <f>'MeOH FU 0.81'!$B10</f>
        <v>45.264536210000003</v>
      </c>
      <c r="N10" s="15">
        <f>'MeOH FU 0.82'!$B10</f>
        <v>45.823357649999998</v>
      </c>
      <c r="O10" s="15">
        <f>'MeOH FU 0.83'!$B10</f>
        <v>46.38217908</v>
      </c>
      <c r="P10" s="15">
        <f>'MeOH FU 0.84'!$B10</f>
        <v>46.941000520000003</v>
      </c>
      <c r="Q10" s="15">
        <f>'MeOH FU 0.85'!$B10</f>
        <v>47.499821949999998</v>
      </c>
    </row>
    <row r="11" spans="1:17" x14ac:dyDescent="0.25">
      <c r="A11">
        <f>'MeOH FU 0.7'!A11</f>
        <v>0.69</v>
      </c>
      <c r="B11" s="15">
        <f>'MeOH FU 0.7'!$B11</f>
        <v>39.692757790000002</v>
      </c>
      <c r="C11" s="15">
        <f>'MeOH FU 0.71'!$B11</f>
        <v>40.25979719</v>
      </c>
      <c r="D11" s="15">
        <f>'MeOH FU 0.72'!$B11</f>
        <v>40.826836579999998</v>
      </c>
      <c r="E11" s="15">
        <f>'MeOH FU 0.73'!$B11</f>
        <v>41.393875979999997</v>
      </c>
      <c r="F11" s="15">
        <f>'MeOH FU 0.74'!$B11</f>
        <v>41.960915380000003</v>
      </c>
      <c r="G11" s="15">
        <f>'MeOH FU 0.75'!$B11</f>
        <v>42.527954770000001</v>
      </c>
      <c r="H11" s="15">
        <f>'MeOH FU 0.76'!$B11</f>
        <v>43.09499417</v>
      </c>
      <c r="I11" s="15">
        <f>'MeOH FU 0.77'!$B11</f>
        <v>43.662033569999998</v>
      </c>
      <c r="J11" s="15">
        <f>'MeOH FU 0.78'!$B11</f>
        <v>44.229072969999997</v>
      </c>
      <c r="K11" s="15">
        <f>'MeOH FU 0.79'!$B11</f>
        <v>44.796112360000002</v>
      </c>
      <c r="L11" s="15">
        <f>'MeOH FU 0.8'!$B11</f>
        <v>45.363151760000001</v>
      </c>
      <c r="M11" s="15">
        <f>'MeOH FU 0.81'!$B11</f>
        <v>45.93019116</v>
      </c>
      <c r="N11" s="15">
        <f>'MeOH FU 0.82'!$B11</f>
        <v>46.497230549999998</v>
      </c>
      <c r="O11" s="15">
        <f>'MeOH FU 0.83'!$B11</f>
        <v>47.064269950000003</v>
      </c>
      <c r="P11" s="15">
        <f>'MeOH FU 0.84'!$B11</f>
        <v>47.631309350000002</v>
      </c>
      <c r="Q11" s="15">
        <f>'MeOH FU 0.85'!$B11</f>
        <v>48.19834874</v>
      </c>
    </row>
    <row r="12" spans="1:17" x14ac:dyDescent="0.25">
      <c r="A12">
        <f>'MeOH FU 0.7'!A12</f>
        <v>0.7</v>
      </c>
      <c r="B12" s="15">
        <f>'MeOH FU 0.7'!$B12</f>
        <v>40.268015149999997</v>
      </c>
      <c r="C12" s="15">
        <f>'MeOH FU 0.71'!$B12</f>
        <v>40.843272509999998</v>
      </c>
      <c r="D12" s="15">
        <f>'MeOH FU 0.72'!$B12</f>
        <v>41.41852987</v>
      </c>
      <c r="E12" s="15">
        <f>'MeOH FU 0.73'!$B12</f>
        <v>41.993787230000002</v>
      </c>
      <c r="F12" s="15">
        <f>'MeOH FU 0.74'!$B12</f>
        <v>42.569044589999997</v>
      </c>
      <c r="G12" s="15">
        <f>'MeOH FU 0.75'!$B12</f>
        <v>43.144301949999999</v>
      </c>
      <c r="H12" s="15">
        <f>'MeOH FU 0.76'!$B12</f>
        <v>43.7195593</v>
      </c>
      <c r="I12" s="15">
        <f>'MeOH FU 0.77'!$B12</f>
        <v>44.294816660000002</v>
      </c>
      <c r="J12" s="15">
        <f>'MeOH FU 0.78'!$B12</f>
        <v>44.870074019999997</v>
      </c>
      <c r="K12" s="15">
        <f>'MeOH FU 0.79'!$B12</f>
        <v>45.445331379999999</v>
      </c>
      <c r="L12" s="15">
        <f>'MeOH FU 0.8'!$B12</f>
        <v>46.020588740000001</v>
      </c>
      <c r="M12" s="15">
        <f>'MeOH FU 0.81'!$B12</f>
        <v>46.595846100000003</v>
      </c>
      <c r="N12" s="15">
        <f>'MeOH FU 0.82'!$B12</f>
        <v>47.171103459999998</v>
      </c>
      <c r="O12" s="15">
        <f>'MeOH FU 0.83'!$B12</f>
        <v>47.74636082</v>
      </c>
      <c r="P12" s="15">
        <f>'MeOH FU 0.84'!$B12</f>
        <v>48.321618180000002</v>
      </c>
      <c r="Q12" s="15">
        <f>'MeOH FU 0.85'!$B12</f>
        <v>48.896875540000003</v>
      </c>
    </row>
    <row r="13" spans="1:17" x14ac:dyDescent="0.25">
      <c r="A13">
        <f>'MeOH FU 0.7'!A13</f>
        <v>0.71</v>
      </c>
      <c r="B13" s="15">
        <f>'MeOH FU 0.7'!$B13</f>
        <v>40.843272509999998</v>
      </c>
      <c r="C13" s="15">
        <f>'MeOH FU 0.71'!$B13</f>
        <v>41.426747829999996</v>
      </c>
      <c r="D13" s="15">
        <f>'MeOH FU 0.72'!$B13</f>
        <v>42.010223150000002</v>
      </c>
      <c r="E13" s="15">
        <f>'MeOH FU 0.73'!$B13</f>
        <v>42.59369847</v>
      </c>
      <c r="F13" s="15">
        <f>'MeOH FU 0.74'!$B13</f>
        <v>43.177173789999998</v>
      </c>
      <c r="G13" s="15">
        <f>'MeOH FU 0.75'!$B13</f>
        <v>43.760649119999997</v>
      </c>
      <c r="H13" s="15">
        <f>'MeOH FU 0.76'!$B13</f>
        <v>44.344124440000002</v>
      </c>
      <c r="I13" s="15">
        <f>'MeOH FU 0.77'!$B13</f>
        <v>44.92759976</v>
      </c>
      <c r="J13" s="15">
        <f>'MeOH FU 0.78'!$B13</f>
        <v>45.511075079999998</v>
      </c>
      <c r="K13" s="15">
        <f>'MeOH FU 0.79'!$B13</f>
        <v>46.094550400000003</v>
      </c>
      <c r="L13" s="15">
        <f>'MeOH FU 0.8'!$B13</f>
        <v>46.678025720000001</v>
      </c>
      <c r="M13" s="15">
        <f>'MeOH FU 0.81'!$B13</f>
        <v>47.26150105</v>
      </c>
      <c r="N13" s="15">
        <f>'MeOH FU 0.82'!$B13</f>
        <v>47.844976369999998</v>
      </c>
      <c r="O13" s="15">
        <f>'MeOH FU 0.83'!$B13</f>
        <v>48.428451690000003</v>
      </c>
      <c r="P13" s="15">
        <f>'MeOH FU 0.84'!$B13</f>
        <v>49.011927010000001</v>
      </c>
      <c r="Q13" s="15">
        <f>'MeOH FU 0.85'!$B13</f>
        <v>49.595402329999999</v>
      </c>
    </row>
    <row r="14" spans="1:17" x14ac:dyDescent="0.25">
      <c r="A14">
        <f>'MeOH FU 0.7'!A14</f>
        <v>0.72</v>
      </c>
      <c r="B14" s="15">
        <f>'MeOH FU 0.7'!$B14</f>
        <v>41.41852987</v>
      </c>
      <c r="C14" s="15">
        <f>'MeOH FU 0.71'!$B14</f>
        <v>42.010223150000002</v>
      </c>
      <c r="D14" s="15">
        <f>'MeOH FU 0.72'!$B14</f>
        <v>42.601916439999997</v>
      </c>
      <c r="E14" s="15">
        <f>'MeOH FU 0.73'!$B14</f>
        <v>43.193609719999998</v>
      </c>
      <c r="F14" s="15">
        <f>'MeOH FU 0.74'!$B14</f>
        <v>43.785302999999999</v>
      </c>
      <c r="G14" s="15">
        <f>'MeOH FU 0.75'!$B14</f>
        <v>44.376996290000001</v>
      </c>
      <c r="H14" s="15">
        <f>'MeOH FU 0.76'!$B14</f>
        <v>44.968689570000002</v>
      </c>
      <c r="I14" s="15">
        <f>'MeOH FU 0.77'!$B14</f>
        <v>45.560382850000003</v>
      </c>
      <c r="J14" s="15">
        <f>'MeOH FU 0.78'!$B14</f>
        <v>46.152076139999998</v>
      </c>
      <c r="K14" s="15">
        <f>'MeOH FU 0.79'!$B14</f>
        <v>46.74376942</v>
      </c>
      <c r="L14" s="15">
        <f>'MeOH FU 0.8'!$B14</f>
        <v>47.335462710000002</v>
      </c>
      <c r="M14" s="15">
        <f>'MeOH FU 0.81'!$B14</f>
        <v>47.927155990000003</v>
      </c>
      <c r="N14" s="15">
        <f>'MeOH FU 0.82'!$B14</f>
        <v>48.518849269999997</v>
      </c>
      <c r="O14" s="15">
        <f>'MeOH FU 0.83'!$B14</f>
        <v>49.110542559999999</v>
      </c>
      <c r="P14" s="15">
        <f>'MeOH FU 0.84'!$B14</f>
        <v>49.70223584</v>
      </c>
      <c r="Q14" s="15">
        <f>'MeOH FU 0.85'!$B14</f>
        <v>50.293929130000002</v>
      </c>
    </row>
    <row r="15" spans="1:17" x14ac:dyDescent="0.25">
      <c r="A15">
        <f>'MeOH FU 0.7'!A15</f>
        <v>0.73</v>
      </c>
      <c r="B15" s="15">
        <f>'MeOH FU 0.7'!$B15</f>
        <v>41.993787230000002</v>
      </c>
      <c r="C15" s="15">
        <f>'MeOH FU 0.71'!$B15</f>
        <v>42.59369847</v>
      </c>
      <c r="D15" s="15">
        <f>'MeOH FU 0.72'!$B15</f>
        <v>43.193609719999998</v>
      </c>
      <c r="E15" s="15">
        <f>'MeOH FU 0.73'!$B15</f>
        <v>43.793520970000003</v>
      </c>
      <c r="F15" s="15">
        <f>'MeOH FU 0.74'!$B15</f>
        <v>44.39343221</v>
      </c>
      <c r="G15" s="15">
        <f>'MeOH FU 0.75'!$B15</f>
        <v>44.993343459999998</v>
      </c>
      <c r="H15" s="15">
        <f>'MeOH FU 0.76'!$B15</f>
        <v>45.593254700000003</v>
      </c>
      <c r="I15" s="15">
        <f>'MeOH FU 0.77'!$B15</f>
        <v>46.193165950000001</v>
      </c>
      <c r="J15" s="15">
        <f>'MeOH FU 0.78'!$B15</f>
        <v>46.793077199999999</v>
      </c>
      <c r="K15" s="15">
        <f>'MeOH FU 0.79'!$B15</f>
        <v>47.392988440000003</v>
      </c>
      <c r="L15" s="15">
        <f>'MeOH FU 0.8'!$B15</f>
        <v>47.992899690000002</v>
      </c>
      <c r="M15" s="15">
        <f>'MeOH FU 0.81'!$B15</f>
        <v>48.592810929999999</v>
      </c>
      <c r="N15" s="15">
        <f>'MeOH FU 0.82'!$B15</f>
        <v>49.192722179999997</v>
      </c>
      <c r="O15" s="15">
        <f>'MeOH FU 0.83'!$B15</f>
        <v>49.792633430000002</v>
      </c>
      <c r="P15" s="15">
        <f>'MeOH FU 0.84'!$B15</f>
        <v>50.392544669999999</v>
      </c>
      <c r="Q15" s="15">
        <f>'MeOH FU 0.85'!$B15</f>
        <v>50.992455919999998</v>
      </c>
    </row>
    <row r="16" spans="1:17" x14ac:dyDescent="0.25">
      <c r="A16">
        <f>'MeOH FU 0.7'!A16</f>
        <v>0.74</v>
      </c>
      <c r="B16" s="15">
        <f>'MeOH FU 0.7'!$B16</f>
        <v>42.569044589999997</v>
      </c>
      <c r="C16" s="15">
        <f>'MeOH FU 0.71'!$B16</f>
        <v>43.177173789999998</v>
      </c>
      <c r="D16" s="15">
        <f>'MeOH FU 0.72'!$B16</f>
        <v>43.785302999999999</v>
      </c>
      <c r="E16" s="15">
        <f>'MeOH FU 0.73'!$B16</f>
        <v>44.39343221</v>
      </c>
      <c r="F16" s="15">
        <f>'MeOH FU 0.74'!$B16</f>
        <v>45.001561420000002</v>
      </c>
      <c r="G16" s="15">
        <f>'MeOH FU 0.75'!$B16</f>
        <v>45.609690630000003</v>
      </c>
      <c r="H16" s="15">
        <f>'MeOH FU 0.76'!$B16</f>
        <v>46.217819839999997</v>
      </c>
      <c r="I16" s="15">
        <f>'MeOH FU 0.77'!$B16</f>
        <v>46.825949039999998</v>
      </c>
      <c r="J16" s="15">
        <f>'MeOH FU 0.78'!$B16</f>
        <v>47.434078249999999</v>
      </c>
      <c r="K16" s="15">
        <f>'MeOH FU 0.79'!$B16</f>
        <v>48.04220746</v>
      </c>
      <c r="L16" s="15">
        <f>'MeOH FU 0.8'!$B16</f>
        <v>48.650336670000002</v>
      </c>
      <c r="M16" s="15">
        <f>'MeOH FU 0.81'!$B16</f>
        <v>49.258465880000003</v>
      </c>
      <c r="N16" s="15">
        <f>'MeOH FU 0.82'!$B16</f>
        <v>49.866595089999997</v>
      </c>
      <c r="O16" s="15">
        <f>'MeOH FU 0.83'!$B16</f>
        <v>50.474724299999998</v>
      </c>
      <c r="P16" s="15">
        <f>'MeOH FU 0.84'!$B16</f>
        <v>51.082853499999999</v>
      </c>
      <c r="Q16" s="15">
        <f>'MeOH FU 0.85'!$B16</f>
        <v>51.69098271</v>
      </c>
    </row>
    <row r="17" spans="1:17" x14ac:dyDescent="0.25">
      <c r="A17">
        <f>'MeOH FU 0.7'!A17</f>
        <v>0.75</v>
      </c>
      <c r="B17" s="15">
        <f>'MeOH FU 0.7'!$B17</f>
        <v>43.144301949999999</v>
      </c>
      <c r="C17" s="15">
        <f>'MeOH FU 0.71'!$B17</f>
        <v>43.760649119999997</v>
      </c>
      <c r="D17" s="15">
        <f>'MeOH FU 0.72'!$B17</f>
        <v>44.376996290000001</v>
      </c>
      <c r="E17" s="15">
        <f>'MeOH FU 0.73'!$B17</f>
        <v>44.993343459999998</v>
      </c>
      <c r="F17" s="15">
        <f>'MeOH FU 0.74'!$B17</f>
        <v>45.609690630000003</v>
      </c>
      <c r="G17" s="15">
        <f>'MeOH FU 0.75'!$B17</f>
        <v>46.2260378</v>
      </c>
      <c r="H17" s="15">
        <f>'MeOH FU 0.76'!$B17</f>
        <v>46.842384969999998</v>
      </c>
      <c r="I17" s="15">
        <f>'MeOH FU 0.77'!$B17</f>
        <v>47.458732140000002</v>
      </c>
      <c r="J17" s="15">
        <f>'MeOH FU 0.78'!$B17</f>
        <v>48.07507931</v>
      </c>
      <c r="K17" s="15">
        <f>'MeOH FU 0.79'!$B17</f>
        <v>48.691426479999997</v>
      </c>
      <c r="L17" s="15">
        <f>'MeOH FU 0.8'!$B17</f>
        <v>49.307773650000001</v>
      </c>
      <c r="M17" s="15">
        <f>'MeOH FU 0.81'!$B17</f>
        <v>49.924120819999999</v>
      </c>
      <c r="N17" s="15">
        <f>'MeOH FU 0.82'!$B17</f>
        <v>50.540467990000003</v>
      </c>
      <c r="O17" s="15">
        <f>'MeOH FU 0.83'!$B17</f>
        <v>51.156815160000001</v>
      </c>
      <c r="P17" s="15">
        <f>'MeOH FU 0.84'!$B17</f>
        <v>51.773162329999998</v>
      </c>
      <c r="Q17" s="15">
        <f>'MeOH FU 0.85'!$B17</f>
        <v>52.389509510000003</v>
      </c>
    </row>
    <row r="18" spans="1:17" x14ac:dyDescent="0.25">
      <c r="A18">
        <f>'MeOH FU 0.7'!A18</f>
        <v>0.76</v>
      </c>
      <c r="B18" s="15">
        <f>'MeOH FU 0.7'!$B18</f>
        <v>43.7195593</v>
      </c>
      <c r="C18" s="15">
        <f>'MeOH FU 0.71'!$B18</f>
        <v>44.344124440000002</v>
      </c>
      <c r="D18" s="15">
        <f>'MeOH FU 0.72'!$B18</f>
        <v>44.968689570000002</v>
      </c>
      <c r="E18" s="15">
        <f>'MeOH FU 0.73'!$B18</f>
        <v>45.593254700000003</v>
      </c>
      <c r="F18" s="15">
        <f>'MeOH FU 0.74'!$B18</f>
        <v>46.217819839999997</v>
      </c>
      <c r="G18" s="15">
        <f>'MeOH FU 0.75'!$B18</f>
        <v>46.842384969999998</v>
      </c>
      <c r="H18" s="15">
        <f>'MeOH FU 0.76'!$B18</f>
        <v>47.466950099999998</v>
      </c>
      <c r="I18" s="15">
        <f>'MeOH FU 0.77'!$B18</f>
        <v>48.09151524</v>
      </c>
      <c r="J18" s="15">
        <f>'MeOH FU 0.78'!$B18</f>
        <v>48.71608037</v>
      </c>
      <c r="K18" s="15">
        <f>'MeOH FU 0.79'!$B18</f>
        <v>49.340645500000001</v>
      </c>
      <c r="L18" s="15">
        <f>'MeOH FU 0.8'!$B18</f>
        <v>49.965210630000001</v>
      </c>
      <c r="M18" s="15">
        <f>'MeOH FU 0.81'!$B18</f>
        <v>50.589775770000003</v>
      </c>
      <c r="N18" s="15">
        <f>'MeOH FU 0.82'!$B18</f>
        <v>51.214340900000003</v>
      </c>
      <c r="O18" s="15">
        <f>'MeOH FU 0.83'!$B18</f>
        <v>51.838906029999997</v>
      </c>
      <c r="P18" s="15">
        <f>'MeOH FU 0.84'!$B18</f>
        <v>52.463471169999998</v>
      </c>
      <c r="Q18" s="15">
        <f>'MeOH FU 0.85'!$B18</f>
        <v>53.088036299999999</v>
      </c>
    </row>
    <row r="19" spans="1:17" x14ac:dyDescent="0.25">
      <c r="A19">
        <f>'MeOH FU 0.7'!A19</f>
        <v>0.77</v>
      </c>
      <c r="B19" s="15">
        <f>'MeOH FU 0.7'!$B19</f>
        <v>44.294816660000002</v>
      </c>
      <c r="C19" s="15">
        <f>'MeOH FU 0.71'!$B19</f>
        <v>44.92759976</v>
      </c>
      <c r="D19" s="15">
        <f>'MeOH FU 0.72'!$B19</f>
        <v>45.560382850000003</v>
      </c>
      <c r="E19" s="15">
        <f>'MeOH FU 0.73'!$B19</f>
        <v>46.193165950000001</v>
      </c>
      <c r="F19" s="15">
        <f>'MeOH FU 0.74'!$B19</f>
        <v>46.825949039999998</v>
      </c>
      <c r="G19" s="15">
        <f>'MeOH FU 0.75'!$B19</f>
        <v>47.458732140000002</v>
      </c>
      <c r="H19" s="15">
        <f>'MeOH FU 0.76'!$B19</f>
        <v>48.09151524</v>
      </c>
      <c r="I19" s="15">
        <f>'MeOH FU 0.77'!$B19</f>
        <v>48.724298330000003</v>
      </c>
      <c r="J19" s="15">
        <f>'MeOH FU 0.78'!$B19</f>
        <v>49.357081430000001</v>
      </c>
      <c r="K19" s="15">
        <f>'MeOH FU 0.79'!$B19</f>
        <v>49.989864519999998</v>
      </c>
      <c r="L19" s="15">
        <f>'MeOH FU 0.8'!$B19</f>
        <v>50.622647620000002</v>
      </c>
      <c r="M19" s="15">
        <f>'MeOH FU 0.81'!$B19</f>
        <v>51.255430709999999</v>
      </c>
      <c r="N19" s="15">
        <f>'MeOH FU 0.82'!$B19</f>
        <v>51.888213810000003</v>
      </c>
      <c r="O19" s="15">
        <f>'MeOH FU 0.83'!$B19</f>
        <v>52.5209969</v>
      </c>
      <c r="P19" s="15">
        <f>'MeOH FU 0.84'!$B19</f>
        <v>53.153779999999998</v>
      </c>
      <c r="Q19" s="15">
        <f>'MeOH FU 0.85'!$B19</f>
        <v>53.786563090000001</v>
      </c>
    </row>
    <row r="20" spans="1:17" x14ac:dyDescent="0.25">
      <c r="A20">
        <f>'MeOH FU 0.7'!A20</f>
        <v>0.78</v>
      </c>
      <c r="B20" s="15">
        <f>'MeOH FU 0.7'!$B20</f>
        <v>44.870074019999997</v>
      </c>
      <c r="C20" s="15">
        <f>'MeOH FU 0.71'!$B20</f>
        <v>45.511075079999998</v>
      </c>
      <c r="D20" s="15">
        <f>'MeOH FU 0.72'!$B20</f>
        <v>46.152076139999998</v>
      </c>
      <c r="E20" s="15">
        <f>'MeOH FU 0.73'!$B20</f>
        <v>46.793077199999999</v>
      </c>
      <c r="F20" s="15">
        <f>'MeOH FU 0.74'!$B20</f>
        <v>47.434078249999999</v>
      </c>
      <c r="G20" s="15">
        <f>'MeOH FU 0.75'!$B20</f>
        <v>48.07507931</v>
      </c>
      <c r="H20" s="15">
        <f>'MeOH FU 0.76'!$B20</f>
        <v>48.71608037</v>
      </c>
      <c r="I20" s="15">
        <f>'MeOH FU 0.77'!$B20</f>
        <v>49.357081430000001</v>
      </c>
      <c r="J20" s="15">
        <f>'MeOH FU 0.78'!$B20</f>
        <v>49.998082480000001</v>
      </c>
      <c r="K20" s="15">
        <f>'MeOH FU 0.79'!$B20</f>
        <v>50.639083540000001</v>
      </c>
      <c r="L20" s="15">
        <f>'MeOH FU 0.8'!$B20</f>
        <v>51.280084600000002</v>
      </c>
      <c r="M20" s="15">
        <f>'MeOH FU 0.81'!$B20</f>
        <v>51.921085660000003</v>
      </c>
      <c r="N20" s="15">
        <f>'MeOH FU 0.82'!$B20</f>
        <v>52.562086710000003</v>
      </c>
      <c r="O20" s="15">
        <f>'MeOH FU 0.83'!$B20</f>
        <v>53.203087770000003</v>
      </c>
      <c r="P20" s="15">
        <f>'MeOH FU 0.84'!$B20</f>
        <v>53.844088829999997</v>
      </c>
      <c r="Q20" s="15">
        <f>'MeOH FU 0.85'!$B20</f>
        <v>54.485089889999998</v>
      </c>
    </row>
    <row r="21" spans="1:17" x14ac:dyDescent="0.25">
      <c r="A21">
        <f>'MeOH FU 0.7'!A21</f>
        <v>0.79</v>
      </c>
      <c r="B21" s="15">
        <f>'MeOH FU 0.7'!$B21</f>
        <v>45.445331379999999</v>
      </c>
      <c r="C21" s="15">
        <f>'MeOH FU 0.71'!$B21</f>
        <v>46.094550400000003</v>
      </c>
      <c r="D21" s="15">
        <f>'MeOH FU 0.72'!$B21</f>
        <v>46.74376942</v>
      </c>
      <c r="E21" s="15">
        <f>'MeOH FU 0.73'!$B21</f>
        <v>47.392988440000003</v>
      </c>
      <c r="F21" s="15">
        <f>'MeOH FU 0.74'!$B21</f>
        <v>48.04220746</v>
      </c>
      <c r="G21" s="15">
        <f>'MeOH FU 0.75'!$B21</f>
        <v>48.691426479999997</v>
      </c>
      <c r="H21" s="15">
        <f>'MeOH FU 0.76'!$B21</f>
        <v>49.340645500000001</v>
      </c>
      <c r="I21" s="15">
        <f>'MeOH FU 0.77'!$B21</f>
        <v>49.989864519999998</v>
      </c>
      <c r="J21" s="15">
        <f>'MeOH FU 0.78'!$B21</f>
        <v>50.639083540000001</v>
      </c>
      <c r="K21" s="15">
        <f>'MeOH FU 0.79'!$B21</f>
        <v>51.288302559999998</v>
      </c>
      <c r="L21" s="15">
        <f>'MeOH FU 0.8'!$B21</f>
        <v>51.937521580000002</v>
      </c>
      <c r="M21" s="15">
        <f>'MeOH FU 0.81'!$B21</f>
        <v>52.586740599999999</v>
      </c>
      <c r="N21" s="15">
        <f>'MeOH FU 0.82'!$B21</f>
        <v>53.235959620000003</v>
      </c>
      <c r="O21" s="15">
        <f>'MeOH FU 0.83'!$B21</f>
        <v>53.885178639999999</v>
      </c>
      <c r="P21" s="15">
        <f>'MeOH FU 0.84'!$B21</f>
        <v>54.534397660000003</v>
      </c>
      <c r="Q21" s="15">
        <f>'MeOH FU 0.85'!$B21</f>
        <v>55.18361668</v>
      </c>
    </row>
    <row r="22" spans="1:17" x14ac:dyDescent="0.25">
      <c r="A22">
        <f>'MeOH FU 0.7'!A22</f>
        <v>0.8</v>
      </c>
      <c r="B22" s="15">
        <f>'MeOH FU 0.7'!$B22</f>
        <v>46.020588740000001</v>
      </c>
      <c r="C22" s="15">
        <f>'MeOH FU 0.71'!$B22</f>
        <v>46.678025720000001</v>
      </c>
      <c r="D22" s="15">
        <f>'MeOH FU 0.72'!$B22</f>
        <v>47.335462710000002</v>
      </c>
      <c r="E22" s="15">
        <f>'MeOH FU 0.73'!$B22</f>
        <v>47.992899690000002</v>
      </c>
      <c r="F22" s="15">
        <f>'MeOH FU 0.74'!$B22</f>
        <v>48.650336670000002</v>
      </c>
      <c r="G22" s="15">
        <f>'MeOH FU 0.75'!$B22</f>
        <v>49.307773650000001</v>
      </c>
      <c r="H22" s="15">
        <f>'MeOH FU 0.76'!$B22</f>
        <v>49.965210630000001</v>
      </c>
      <c r="I22" s="15">
        <f>'MeOH FU 0.77'!$B22</f>
        <v>50.622647620000002</v>
      </c>
      <c r="J22" s="15">
        <f>'MeOH FU 0.78'!$B22</f>
        <v>51.280084600000002</v>
      </c>
      <c r="K22" s="15">
        <f>'MeOH FU 0.79'!$B22</f>
        <v>51.937521580000002</v>
      </c>
      <c r="L22" s="15">
        <f>'MeOH FU 0.8'!$B22</f>
        <v>52.594958560000002</v>
      </c>
      <c r="M22" s="15">
        <f>'MeOH FU 0.81'!$B22</f>
        <v>53.252395540000002</v>
      </c>
      <c r="N22" s="15">
        <f>'MeOH FU 0.82'!$B22</f>
        <v>53.909832530000003</v>
      </c>
      <c r="O22" s="15">
        <f>'MeOH FU 0.83'!$B22</f>
        <v>54.567269510000003</v>
      </c>
      <c r="P22" s="15">
        <f>'MeOH FU 0.84'!$B22</f>
        <v>55.224706490000003</v>
      </c>
      <c r="Q22" s="15">
        <f>'MeOH FU 0.85'!$B22</f>
        <v>55.882143470000003</v>
      </c>
    </row>
    <row r="23" spans="1:17" x14ac:dyDescent="0.25">
      <c r="A23">
        <f>'MeOH FU 0.7'!A23</f>
        <v>0.81</v>
      </c>
      <c r="B23" s="15">
        <f>'MeOH FU 0.7'!$B23</f>
        <v>46.595846100000003</v>
      </c>
      <c r="C23" s="15">
        <f>'MeOH FU 0.71'!$B23</f>
        <v>47.26150105</v>
      </c>
      <c r="D23" s="15">
        <f>'MeOH FU 0.72'!$B23</f>
        <v>47.927155990000003</v>
      </c>
      <c r="E23" s="15">
        <f>'MeOH FU 0.73'!$B23</f>
        <v>48.592810929999999</v>
      </c>
      <c r="F23" s="15">
        <f>'MeOH FU 0.74'!$B23</f>
        <v>49.258465880000003</v>
      </c>
      <c r="G23" s="15">
        <f>'MeOH FU 0.75'!$B23</f>
        <v>49.924120819999999</v>
      </c>
      <c r="H23" s="15">
        <f>'MeOH FU 0.76'!$B23</f>
        <v>50.589775770000003</v>
      </c>
      <c r="I23" s="15">
        <f>'MeOH FU 0.77'!$B23</f>
        <v>51.255430709999999</v>
      </c>
      <c r="J23" s="15">
        <f>'MeOH FU 0.78'!$B23</f>
        <v>51.921085660000003</v>
      </c>
      <c r="K23" s="15">
        <f>'MeOH FU 0.79'!$B23</f>
        <v>52.586740599999999</v>
      </c>
      <c r="L23" s="15">
        <f>'MeOH FU 0.8'!$B23</f>
        <v>53.252395540000002</v>
      </c>
      <c r="M23" s="15">
        <f>'MeOH FU 0.81'!$B23</f>
        <v>53.918050489999999</v>
      </c>
      <c r="N23" s="15">
        <f>'MeOH FU 0.82'!$B23</f>
        <v>54.583705430000002</v>
      </c>
      <c r="O23" s="15">
        <f>'MeOH FU 0.83'!$B23</f>
        <v>55.249360379999999</v>
      </c>
      <c r="P23" s="15">
        <f>'MeOH FU 0.84'!$B23</f>
        <v>55.915015320000002</v>
      </c>
      <c r="Q23" s="15">
        <f>'MeOH FU 0.85'!$B23</f>
        <v>56.580670269999999</v>
      </c>
    </row>
    <row r="24" spans="1:17" x14ac:dyDescent="0.25">
      <c r="A24">
        <f>'MeOH FU 0.7'!A24</f>
        <v>0.82</v>
      </c>
      <c r="B24" s="15">
        <f>'MeOH FU 0.7'!$B24</f>
        <v>47.171103459999998</v>
      </c>
      <c r="C24" s="15">
        <f>'MeOH FU 0.71'!$B24</f>
        <v>47.844976369999998</v>
      </c>
      <c r="D24" s="15">
        <f>'MeOH FU 0.72'!$B24</f>
        <v>48.518849269999997</v>
      </c>
      <c r="E24" s="15">
        <f>'MeOH FU 0.73'!$B24</f>
        <v>49.192722179999997</v>
      </c>
      <c r="F24" s="15">
        <f>'MeOH FU 0.74'!$B24</f>
        <v>49.866595089999997</v>
      </c>
      <c r="G24" s="15">
        <f>'MeOH FU 0.75'!$B24</f>
        <v>50.540467990000003</v>
      </c>
      <c r="H24" s="15">
        <f>'MeOH FU 0.76'!$B24</f>
        <v>51.214340900000003</v>
      </c>
      <c r="I24" s="15">
        <f>'MeOH FU 0.77'!$B24</f>
        <v>51.888213810000003</v>
      </c>
      <c r="J24" s="15">
        <f>'MeOH FU 0.78'!$B24</f>
        <v>52.562086710000003</v>
      </c>
      <c r="K24" s="15">
        <f>'MeOH FU 0.79'!$B24</f>
        <v>53.235959620000003</v>
      </c>
      <c r="L24" s="15">
        <f>'MeOH FU 0.8'!$B24</f>
        <v>53.909832530000003</v>
      </c>
      <c r="M24" s="15">
        <f>'MeOH FU 0.81'!$B24</f>
        <v>54.583705430000002</v>
      </c>
      <c r="N24" s="15">
        <f>'MeOH FU 0.82'!$B24</f>
        <v>55.257578340000002</v>
      </c>
      <c r="O24" s="15">
        <f>'MeOH FU 0.83'!$B24</f>
        <v>55.931451250000002</v>
      </c>
      <c r="P24" s="15">
        <f>'MeOH FU 0.84'!$B24</f>
        <v>56.605324150000001</v>
      </c>
      <c r="Q24" s="15">
        <f>'MeOH FU 0.85'!$B24</f>
        <v>57.279197060000001</v>
      </c>
    </row>
    <row r="25" spans="1:17" x14ac:dyDescent="0.25">
      <c r="A25">
        <f>'MeOH FU 0.7'!A25</f>
        <v>0.83</v>
      </c>
      <c r="B25" s="15">
        <f>'MeOH FU 0.7'!$B25</f>
        <v>47.74636082</v>
      </c>
      <c r="C25" s="15">
        <f>'MeOH FU 0.71'!$B25</f>
        <v>48.428451690000003</v>
      </c>
      <c r="D25" s="15">
        <f>'MeOH FU 0.72'!$B25</f>
        <v>49.110542559999999</v>
      </c>
      <c r="E25" s="15">
        <f>'MeOH FU 0.73'!$B25</f>
        <v>49.792633430000002</v>
      </c>
      <c r="F25" s="15">
        <f>'MeOH FU 0.74'!$B25</f>
        <v>50.474724299999998</v>
      </c>
      <c r="G25" s="15">
        <f>'MeOH FU 0.75'!$B25</f>
        <v>51.156815160000001</v>
      </c>
      <c r="H25" s="15">
        <f>'MeOH FU 0.76'!$B25</f>
        <v>51.838906029999997</v>
      </c>
      <c r="I25" s="15">
        <f>'MeOH FU 0.77'!$B25</f>
        <v>52.5209969</v>
      </c>
      <c r="J25" s="15">
        <f>'MeOH FU 0.78'!$B25</f>
        <v>53.203087770000003</v>
      </c>
      <c r="K25" s="15">
        <f>'MeOH FU 0.79'!$B25</f>
        <v>53.885178639999999</v>
      </c>
      <c r="L25" s="15">
        <f>'MeOH FU 0.8'!$B25</f>
        <v>54.567269510000003</v>
      </c>
      <c r="M25" s="15">
        <f>'MeOH FU 0.81'!$B25</f>
        <v>55.249360379999999</v>
      </c>
      <c r="N25" s="15">
        <f>'MeOH FU 0.82'!$B25</f>
        <v>55.931451250000002</v>
      </c>
      <c r="O25" s="15">
        <f>'MeOH FU 0.83'!$B25</f>
        <v>56.613542109999997</v>
      </c>
      <c r="P25" s="15">
        <f>'MeOH FU 0.84'!$B25</f>
        <v>57.295632980000001</v>
      </c>
      <c r="Q25" s="15">
        <f>'MeOH FU 0.85'!$B25</f>
        <v>57.977723849999997</v>
      </c>
    </row>
    <row r="26" spans="1:17" x14ac:dyDescent="0.25">
      <c r="A26">
        <f>'MeOH FU 0.7'!A26</f>
        <v>0.84</v>
      </c>
      <c r="B26" s="15">
        <f>'MeOH FU 0.7'!$B26</f>
        <v>48.321618180000002</v>
      </c>
      <c r="C26" s="15">
        <f>'MeOH FU 0.71'!$B26</f>
        <v>49.011927010000001</v>
      </c>
      <c r="D26" s="15">
        <f>'MeOH FU 0.72'!$B26</f>
        <v>49.70223584</v>
      </c>
      <c r="E26" s="15">
        <f>'MeOH FU 0.73'!$B26</f>
        <v>50.392544669999999</v>
      </c>
      <c r="F26" s="15">
        <f>'MeOH FU 0.74'!$B26</f>
        <v>51.082853499999999</v>
      </c>
      <c r="G26" s="15">
        <f>'MeOH FU 0.75'!$B26</f>
        <v>51.773162329999998</v>
      </c>
      <c r="H26" s="15">
        <f>'MeOH FU 0.76'!$B26</f>
        <v>52.463471169999998</v>
      </c>
      <c r="I26" s="15">
        <f>'MeOH FU 0.77'!$B26</f>
        <v>53.153779999999998</v>
      </c>
      <c r="J26" s="15">
        <f>'MeOH FU 0.78'!$B26</f>
        <v>53.844088829999997</v>
      </c>
      <c r="K26" s="15">
        <f>'MeOH FU 0.79'!$B26</f>
        <v>54.534397660000003</v>
      </c>
      <c r="L26" s="15">
        <f>'MeOH FU 0.8'!$B26</f>
        <v>55.224706490000003</v>
      </c>
      <c r="M26" s="15">
        <f>'MeOH FU 0.81'!$B26</f>
        <v>55.915015320000002</v>
      </c>
      <c r="N26" s="15">
        <f>'MeOH FU 0.82'!$B26</f>
        <v>56.605324150000001</v>
      </c>
      <c r="O26" s="15">
        <f>'MeOH FU 0.83'!$B26</f>
        <v>57.295632980000001</v>
      </c>
      <c r="P26" s="15">
        <f>'MeOH FU 0.84'!$B26</f>
        <v>57.98594181</v>
      </c>
      <c r="Q26" s="15">
        <f>'MeOH FU 0.85'!$B26</f>
        <v>58.67625065</v>
      </c>
    </row>
    <row r="27" spans="1:17" x14ac:dyDescent="0.25">
      <c r="A27">
        <f>'MeOH FU 0.7'!A27</f>
        <v>0.85</v>
      </c>
      <c r="B27" s="15">
        <f>'MeOH FU 0.7'!$B27</f>
        <v>48.896875540000003</v>
      </c>
      <c r="C27" s="15">
        <f>'MeOH FU 0.71'!$B27</f>
        <v>49.595402329999999</v>
      </c>
      <c r="D27" s="15">
        <f>'MeOH FU 0.72'!$B27</f>
        <v>50.293929130000002</v>
      </c>
      <c r="E27" s="15">
        <f>'MeOH FU 0.73'!$B27</f>
        <v>50.992455919999998</v>
      </c>
      <c r="F27" s="15">
        <f>'MeOH FU 0.74'!$B27</f>
        <v>51.69098271</v>
      </c>
      <c r="G27" s="15">
        <f>'MeOH FU 0.75'!$B27</f>
        <v>52.389509510000003</v>
      </c>
      <c r="H27" s="15">
        <f>'MeOH FU 0.76'!$B27</f>
        <v>53.088036299999999</v>
      </c>
      <c r="I27" s="15">
        <f>'MeOH FU 0.77'!$B27</f>
        <v>53.786563090000001</v>
      </c>
      <c r="J27" s="15">
        <f>'MeOH FU 0.78'!$B27</f>
        <v>54.485089889999998</v>
      </c>
      <c r="K27" s="15">
        <f>'MeOH FU 0.79'!$B27</f>
        <v>55.18361668</v>
      </c>
      <c r="L27" s="15">
        <f>'MeOH FU 0.8'!$B27</f>
        <v>55.882143470000003</v>
      </c>
      <c r="M27" s="15">
        <f>'MeOH FU 0.81'!$B27</f>
        <v>56.580670269999999</v>
      </c>
      <c r="N27" s="15">
        <f>'MeOH FU 0.82'!$B27</f>
        <v>57.279197060000001</v>
      </c>
      <c r="O27" s="15">
        <f>'MeOH FU 0.83'!$B27</f>
        <v>57.977723849999997</v>
      </c>
      <c r="P27" s="15">
        <f>'MeOH FU 0.84'!$B27</f>
        <v>58.67625065</v>
      </c>
      <c r="Q27" s="15">
        <f>'MeOH FU 0.85'!$B27</f>
        <v>59.374777440000003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7"/>
  <sheetViews>
    <sheetView workbookViewId="0"/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>36.4877525</f>
        <v>36.487752499999999</v>
      </c>
      <c r="C2">
        <f>31.50524928</f>
        <v>31.505249280000001</v>
      </c>
      <c r="D2">
        <f>24.54583693</f>
        <v>24.54583693</v>
      </c>
      <c r="E2">
        <f>56.05108621</f>
        <v>56.051086210000001</v>
      </c>
      <c r="F2">
        <f>34.23716782</f>
        <v>34.237167820000003</v>
      </c>
      <c r="G2">
        <f>29.56198814</f>
        <v>29.56198814</v>
      </c>
      <c r="H2">
        <f>5.812509048</f>
        <v>5.8125090479999999</v>
      </c>
      <c r="I2">
        <f>35.37449719</f>
        <v>35.37449719</v>
      </c>
      <c r="J2">
        <f>153.22696</f>
        <v>153.22695999999999</v>
      </c>
      <c r="K2">
        <f>5.1228622</f>
        <v>5.1228622000000001</v>
      </c>
      <c r="L2">
        <f>8375.914</f>
        <v>8375.9140000000007</v>
      </c>
    </row>
    <row r="3" spans="1:12" x14ac:dyDescent="0.25">
      <c r="A3">
        <f>0.61</f>
        <v>0.61</v>
      </c>
      <c r="B3">
        <f>37.09588171</f>
        <v>37.09588171</v>
      </c>
      <c r="C3">
        <f>32.19101946</f>
        <v>32.19101946</v>
      </c>
      <c r="D3">
        <f>24.3728093</f>
        <v>24.3728093</v>
      </c>
      <c r="E3">
        <f>56.56382876</f>
        <v>56.56382876</v>
      </c>
      <c r="F3">
        <f>34.80778728</f>
        <v>34.807787279999999</v>
      </c>
      <c r="G3">
        <f>30.20545964</f>
        <v>30.205459640000001</v>
      </c>
      <c r="H3">
        <f>5.780476723</f>
        <v>5.7804767229999996</v>
      </c>
      <c r="I3">
        <f>35.98593636</f>
        <v>35.985936359999997</v>
      </c>
      <c r="J3">
        <f>151.44584</f>
        <v>151.44584</v>
      </c>
      <c r="K3">
        <f>5.2048167</f>
        <v>5.2048167000000003</v>
      </c>
      <c r="L3">
        <f>8142.8378</f>
        <v>8142.8378000000002</v>
      </c>
    </row>
    <row r="4" spans="1:12" x14ac:dyDescent="0.25">
      <c r="A4">
        <f>0.62</f>
        <v>0.62</v>
      </c>
      <c r="B4">
        <f>37.70401092</f>
        <v>37.704010920000002</v>
      </c>
      <c r="C4">
        <f>32.87686291</f>
        <v>32.87686291</v>
      </c>
      <c r="D4">
        <f>24.19961976</f>
        <v>24.199619760000001</v>
      </c>
      <c r="E4">
        <f>57.07648268</f>
        <v>57.076482679999998</v>
      </c>
      <c r="F4">
        <f>35.37840674</f>
        <v>35.378406740000003</v>
      </c>
      <c r="G4">
        <f>30.84899989</f>
        <v>30.848999890000002</v>
      </c>
      <c r="H4">
        <f>5.748553899</f>
        <v>5.748553899</v>
      </c>
      <c r="I4">
        <f>36.59755379</f>
        <v>36.597553789999999</v>
      </c>
      <c r="J4">
        <f>149.52065</f>
        <v>149.52064999999999</v>
      </c>
      <c r="K4">
        <f>5.2895171</f>
        <v>5.2895171000000003</v>
      </c>
      <c r="L4">
        <f>7909.6592</f>
        <v>7909.6592000000001</v>
      </c>
    </row>
    <row r="5" spans="1:12" x14ac:dyDescent="0.25">
      <c r="A5">
        <f>0.63</f>
        <v>0.63</v>
      </c>
      <c r="B5">
        <f>38.31214013</f>
        <v>38.312140130000003</v>
      </c>
      <c r="C5">
        <f>33.56278642</f>
        <v>33.562786420000002</v>
      </c>
      <c r="D5">
        <f>24.02625326</f>
        <v>24.026253260000001</v>
      </c>
      <c r="E5">
        <f>57.58903968</f>
        <v>57.589039679999999</v>
      </c>
      <c r="F5">
        <f>35.94902621</f>
        <v>35.94902621</v>
      </c>
      <c r="G5">
        <f>31.49261526</f>
        <v>31.492615260000001</v>
      </c>
      <c r="H5">
        <f>5.716744603</f>
        <v>5.7167446030000004</v>
      </c>
      <c r="I5">
        <f>37.20935986</f>
        <v>37.209359859999999</v>
      </c>
      <c r="J5">
        <f>147.45113</f>
        <v>147.45113000000001</v>
      </c>
      <c r="K5">
        <f>5.3771116</f>
        <v>5.3771116000000001</v>
      </c>
      <c r="L5">
        <f>7676.3687</f>
        <v>7676.3687</v>
      </c>
    </row>
    <row r="6" spans="1:12" x14ac:dyDescent="0.25">
      <c r="A6">
        <f>0.64</f>
        <v>0.64</v>
      </c>
      <c r="B6">
        <f>38.92026934</f>
        <v>38.920269339999997</v>
      </c>
      <c r="C6">
        <f>34.24879764</f>
        <v>34.248797639999999</v>
      </c>
      <c r="D6">
        <f>23.85269281</f>
        <v>23.852692810000001</v>
      </c>
      <c r="E6">
        <f>58.10149045</f>
        <v>58.10149045</v>
      </c>
      <c r="F6">
        <f>36.51964567</f>
        <v>36.519645670000003</v>
      </c>
      <c r="G6">
        <f>32.13631293</f>
        <v>32.136312930000003</v>
      </c>
      <c r="H6">
        <f>5.685053</f>
        <v>5.6850529999999999</v>
      </c>
      <c r="I6">
        <f>37.82136593</f>
        <v>37.821365929999999</v>
      </c>
      <c r="J6">
        <f>145.23696</f>
        <v>145.23696000000001</v>
      </c>
      <c r="K6">
        <f>5.4677598</f>
        <v>5.4677597999999996</v>
      </c>
      <c r="L6">
        <f>7442.9559</f>
        <v>7442.9558999999999</v>
      </c>
    </row>
    <row r="7" spans="1:12" x14ac:dyDescent="0.25">
      <c r="A7">
        <f>0.65</f>
        <v>0.65</v>
      </c>
      <c r="B7">
        <f>39.52839854</f>
        <v>39.528398539999998</v>
      </c>
      <c r="C7">
        <f>34.93490526</f>
        <v>34.934905260000001</v>
      </c>
      <c r="D7">
        <f>23.67891914</f>
        <v>23.678919140000001</v>
      </c>
      <c r="E7">
        <f>58.6138244</f>
        <v>58.613824399999999</v>
      </c>
      <c r="F7">
        <f>37.09026514</f>
        <v>37.09026514</v>
      </c>
      <c r="G7">
        <f>32.78010105</f>
        <v>32.780101049999999</v>
      </c>
      <c r="H7">
        <f>5.653483379</f>
        <v>5.6534833789999999</v>
      </c>
      <c r="I7">
        <f>38.43358442</f>
        <v>38.433584420000003</v>
      </c>
      <c r="J7">
        <f>142.87779</f>
        <v>142.87779</v>
      </c>
      <c r="K7">
        <f>5.5616348</f>
        <v>5.5616348000000002</v>
      </c>
      <c r="L7">
        <f>7209.4088</f>
        <v>7209.4088000000002</v>
      </c>
    </row>
    <row r="8" spans="1:12" x14ac:dyDescent="0.25">
      <c r="A8">
        <f>0.66</f>
        <v>0.66</v>
      </c>
      <c r="B8">
        <f>40.13652775</f>
        <v>40.136527749999999</v>
      </c>
      <c r="C8">
        <f>35.62111913</f>
        <v>35.621119129999997</v>
      </c>
      <c r="D8">
        <f>23.50491035</f>
        <v>23.504910349999999</v>
      </c>
      <c r="E8">
        <f>59.12602949</f>
        <v>59.126029490000001</v>
      </c>
      <c r="F8">
        <f>37.6608846</f>
        <v>37.660884600000003</v>
      </c>
      <c r="G8">
        <f>33.42398887</f>
        <v>33.423988870000002</v>
      </c>
      <c r="H8">
        <f>5.622040146</f>
        <v>5.6220401459999998</v>
      </c>
      <c r="I8">
        <f>39.04602902</f>
        <v>39.046029019999999</v>
      </c>
      <c r="J8">
        <f>140.37324</f>
        <v>140.37324000000001</v>
      </c>
      <c r="K8">
        <f>5.6589242</f>
        <v>5.6589242000000004</v>
      </c>
      <c r="L8">
        <f>6975.7138</f>
        <v>6975.7138000000004</v>
      </c>
    </row>
    <row r="9" spans="1:12" x14ac:dyDescent="0.25">
      <c r="A9">
        <f>0.67</f>
        <v>0.67</v>
      </c>
      <c r="B9">
        <f>40.74465696</f>
        <v>40.74465696</v>
      </c>
      <c r="C9">
        <f>36.30745056</f>
        <v>36.307450559999999</v>
      </c>
      <c r="D9">
        <f>23.33064139</f>
        <v>23.33064139</v>
      </c>
      <c r="E9">
        <f>59.63809195</f>
        <v>59.638091950000003</v>
      </c>
      <c r="F9">
        <f>38.23150406</f>
        <v>38.231504059999999</v>
      </c>
      <c r="G9">
        <f>34.067987</f>
        <v>34.067987000000002</v>
      </c>
      <c r="H9">
        <f>5.590727803</f>
        <v>5.5907278030000001</v>
      </c>
      <c r="I9">
        <f>39.6587148</f>
        <v>39.658714799999998</v>
      </c>
      <c r="J9">
        <f>137.72284</f>
        <v>137.72283999999999</v>
      </c>
      <c r="K9">
        <f>5.7598324</f>
        <v>5.7598323999999996</v>
      </c>
      <c r="L9">
        <f>6741.8555</f>
        <v>6741.8554999999997</v>
      </c>
    </row>
    <row r="10" spans="1:12" x14ac:dyDescent="0.25">
      <c r="A10">
        <f>0.68</f>
        <v>0.68</v>
      </c>
      <c r="B10">
        <f>41.35278617</f>
        <v>41.352786170000002</v>
      </c>
      <c r="C10">
        <f>36.99391249</f>
        <v>36.99391249</v>
      </c>
      <c r="D10">
        <f>23.15608348</f>
        <v>23.156083479999999</v>
      </c>
      <c r="E10">
        <f>60.14999598</f>
        <v>60.14999598</v>
      </c>
      <c r="F10">
        <f>38.80212353</f>
        <v>38.802123530000003</v>
      </c>
      <c r="G10">
        <f>34.71210758</f>
        <v>34.712107580000001</v>
      </c>
      <c r="H10">
        <f>5.55955092</f>
        <v>5.5595509200000004</v>
      </c>
      <c r="I10">
        <f>40.2716585</f>
        <v>40.271658500000001</v>
      </c>
      <c r="J10">
        <f>134.92608</f>
        <v>134.92608000000001</v>
      </c>
      <c r="K10">
        <f>5.8645824</f>
        <v>5.8645823999999998</v>
      </c>
      <c r="L10">
        <f>6507.8161</f>
        <v>6507.8161</v>
      </c>
    </row>
    <row r="11" spans="1:12" x14ac:dyDescent="0.25">
      <c r="A11">
        <f>0.69</f>
        <v>0.69</v>
      </c>
      <c r="B11">
        <f>41.96091538</f>
        <v>41.960915380000003</v>
      </c>
      <c r="C11">
        <f>37.6805199</f>
        <v>37.6805199</v>
      </c>
      <c r="D11">
        <f>22.9812034</f>
        <v>22.981203399999998</v>
      </c>
      <c r="E11">
        <f>60.66172329</f>
        <v>60.661723289999998</v>
      </c>
      <c r="F11">
        <f>39.37274299</f>
        <v>39.372742989999999</v>
      </c>
      <c r="G11">
        <f>35.35636466</f>
        <v>35.356364659999997</v>
      </c>
      <c r="H11">
        <f>5.5285141</f>
        <v>5.5285140999999998</v>
      </c>
      <c r="I11">
        <f>40.88487876</f>
        <v>40.884878759999999</v>
      </c>
      <c r="J11">
        <f>131.98237</f>
        <v>131.98237</v>
      </c>
      <c r="K11">
        <f>5.9734184</f>
        <v>5.9734183999999999</v>
      </c>
      <c r="L11">
        <f>6273.5749</f>
        <v>6273.5748999999996</v>
      </c>
    </row>
    <row r="12" spans="1:12" x14ac:dyDescent="0.25">
      <c r="A12">
        <f>0.7</f>
        <v>0.7</v>
      </c>
      <c r="B12">
        <f>42.56904459</f>
        <v>42.569044589999997</v>
      </c>
      <c r="C12">
        <f>38.36729014</f>
        <v>38.367290140000001</v>
      </c>
      <c r="D12">
        <f>22.80596255</f>
        <v>22.80596255</v>
      </c>
      <c r="E12">
        <f>61.17325269</f>
        <v>61.173252689999998</v>
      </c>
      <c r="F12">
        <f>39.94336245</f>
        <v>39.943362450000002</v>
      </c>
      <c r="G12">
        <f>36.00077453</f>
        <v>36.000774530000001</v>
      </c>
      <c r="H12">
        <f>5.497621925</f>
        <v>5.4976219249999998</v>
      </c>
      <c r="I12">
        <f>41.49839646</f>
        <v>41.498396460000002</v>
      </c>
      <c r="J12">
        <f>128.891</f>
        <v>128.89099999999999</v>
      </c>
      <c r="K12">
        <f>6.0866093</f>
        <v>6.0866093000000001</v>
      </c>
      <c r="L12">
        <f>6039.1083</f>
        <v>6039.1082999999999</v>
      </c>
    </row>
    <row r="13" spans="1:12" x14ac:dyDescent="0.25">
      <c r="A13">
        <f>0.71</f>
        <v>0.71</v>
      </c>
      <c r="B13">
        <f>43.17717379</f>
        <v>43.177173789999998</v>
      </c>
      <c r="C13">
        <f>39.05424351</f>
        <v>39.054243509999999</v>
      </c>
      <c r="D13">
        <f>22.63031586</f>
        <v>22.63031586</v>
      </c>
      <c r="E13">
        <f>61.68455937</f>
        <v>61.684559370000002</v>
      </c>
      <c r="F13">
        <f>40.51398192</f>
        <v>40.513981919999999</v>
      </c>
      <c r="G13">
        <f>36.64535624</f>
        <v>36.645356239999998</v>
      </c>
      <c r="H13">
        <f>5.466878885</f>
        <v>5.4668788849999999</v>
      </c>
      <c r="I13">
        <f>42.11223513</f>
        <v>42.112235130000002</v>
      </c>
      <c r="J13">
        <f>125.65117</f>
        <v>125.65116999999999</v>
      </c>
      <c r="K13">
        <f>6.2044517</f>
        <v>6.2044516999999999</v>
      </c>
      <c r="L13">
        <f>5804.3884</f>
        <v>5804.3883999999998</v>
      </c>
    </row>
    <row r="14" spans="1:12" x14ac:dyDescent="0.25">
      <c r="A14">
        <f>0.72</f>
        <v>0.72</v>
      </c>
      <c r="B14">
        <f>43.785303</f>
        <v>43.785302999999999</v>
      </c>
      <c r="C14">
        <f>39.74140387</f>
        <v>39.741403869999999</v>
      </c>
      <c r="D14">
        <f>22.45421029</f>
        <v>22.454210289999999</v>
      </c>
      <c r="E14">
        <f>62.19561416</f>
        <v>62.195614159999998</v>
      </c>
      <c r="F14">
        <f>41.08460138</f>
        <v>41.084601380000002</v>
      </c>
      <c r="G14">
        <f>37.29013218</f>
        <v>37.290132180000001</v>
      </c>
      <c r="H14">
        <f>5.436289279</f>
        <v>5.4362892790000004</v>
      </c>
      <c r="I14">
        <f>42.72642145</f>
        <v>42.726421449999997</v>
      </c>
      <c r="J14">
        <f>122.26194</f>
        <v>122.26194</v>
      </c>
      <c r="K14">
        <f>6.3272754</f>
        <v>6.3272754000000004</v>
      </c>
      <c r="L14">
        <f>5569.3825</f>
        <v>5569.3824999999997</v>
      </c>
    </row>
    <row r="15" spans="1:12" x14ac:dyDescent="0.25">
      <c r="A15">
        <f>0.73</f>
        <v>0.73</v>
      </c>
      <c r="B15">
        <f>44.39343221</f>
        <v>44.39343221</v>
      </c>
      <c r="C15">
        <f>40.4287995</f>
        <v>40.428799499999997</v>
      </c>
      <c r="D15">
        <f>22.27758302</f>
        <v>22.277583020000002</v>
      </c>
      <c r="E15">
        <f>62.70638252</f>
        <v>62.706382519999998</v>
      </c>
      <c r="F15">
        <f>41.65522084</f>
        <v>41.655220839999998</v>
      </c>
      <c r="G15">
        <f>37.93512886</f>
        <v>37.935128859999999</v>
      </c>
      <c r="H15">
        <f>5.405857079</f>
        <v>5.4058570789999996</v>
      </c>
      <c r="I15">
        <f>43.34098594</f>
        <v>43.340985940000003</v>
      </c>
      <c r="J15">
        <f>118.72217</f>
        <v>118.72217000000001</v>
      </c>
      <c r="K15">
        <f>6.4554483</f>
        <v>6.4554482999999996</v>
      </c>
      <c r="L15">
        <f>5334.0519</f>
        <v>5334.0519000000004</v>
      </c>
    </row>
    <row r="16" spans="1:12" x14ac:dyDescent="0.25">
      <c r="A16">
        <f>0.74</f>
        <v>0.74</v>
      </c>
      <c r="B16">
        <f>45.00156142</f>
        <v>45.001561420000002</v>
      </c>
      <c r="C16">
        <f>41.11646416</f>
        <v>41.11646416</v>
      </c>
      <c r="D16">
        <f>22.10035897</f>
        <v>22.100358969999998</v>
      </c>
      <c r="E16">
        <f>63.21682313</f>
        <v>63.216823130000002</v>
      </c>
      <c r="F16">
        <f>42.22584031</f>
        <v>42.225840310000002</v>
      </c>
      <c r="G16">
        <f>38.58037799</f>
        <v>38.580377990000002</v>
      </c>
      <c r="H16">
        <f>5.375585749</f>
        <v>5.3755857489999999</v>
      </c>
      <c r="I16">
        <f>43.95596374</f>
        <v>43.955963740000001</v>
      </c>
      <c r="J16">
        <f>115.03053</f>
        <v>115.03053</v>
      </c>
      <c r="K16">
        <f>6.5893838</f>
        <v>6.5893838000000002</v>
      </c>
      <c r="L16">
        <f>5098.3504</f>
        <v>5098.3504000000003</v>
      </c>
    </row>
    <row r="17" spans="1:12" x14ac:dyDescent="0.25">
      <c r="A17">
        <f>0.75</f>
        <v>0.75</v>
      </c>
      <c r="B17">
        <f>45.60969063</f>
        <v>45.609690630000003</v>
      </c>
      <c r="C17">
        <f>41.80443854</f>
        <v>41.80443854</v>
      </c>
      <c r="D17">
        <f>21.92244768</f>
        <v>21.922447680000001</v>
      </c>
      <c r="E17">
        <f>63.72688622</f>
        <v>63.726886219999997</v>
      </c>
      <c r="F17">
        <f>42.79645977</f>
        <v>42.796459769999998</v>
      </c>
      <c r="G17">
        <f>39.22591773</f>
        <v>39.225917729999999</v>
      </c>
      <c r="H17">
        <f>5.34547798</f>
        <v>5.3454779800000001</v>
      </c>
      <c r="I17">
        <f>44.57139571</f>
        <v>44.571395709999997</v>
      </c>
      <c r="J17">
        <f>111.18541</f>
        <v>111.18541</v>
      </c>
      <c r="K17">
        <f>6.7295499</f>
        <v>6.7295499000000003</v>
      </c>
      <c r="L17">
        <f>4862.2224</f>
        <v>4862.2223999999997</v>
      </c>
    </row>
    <row r="18" spans="1:12" x14ac:dyDescent="0.25">
      <c r="A18">
        <f>0.76</f>
        <v>0.76</v>
      </c>
      <c r="B18">
        <f>46.21781984</f>
        <v>46.217819839999997</v>
      </c>
      <c r="C18">
        <f>42.49277216</f>
        <v>42.492772160000001</v>
      </c>
      <c r="D18">
        <f>21.74373902</f>
        <v>21.74373902</v>
      </c>
      <c r="E18">
        <f>64.23651118</f>
        <v>64.236511179999994</v>
      </c>
      <c r="F18">
        <f>43.36707923</f>
        <v>43.367079230000002</v>
      </c>
      <c r="G18">
        <f>39.87179455</f>
        <v>39.871794549999997</v>
      </c>
      <c r="H18">
        <f>5.31553534</f>
        <v>5.3155353400000003</v>
      </c>
      <c r="I18">
        <f>45.1873299</f>
        <v>45.187329900000002</v>
      </c>
      <c r="J18">
        <f>107.18485</f>
        <v>107.18485</v>
      </c>
      <c r="K18">
        <f>6.8764812</f>
        <v>6.8764811999999997</v>
      </c>
      <c r="L18">
        <f>4625.6001</f>
        <v>4625.6000999999997</v>
      </c>
    </row>
    <row r="19" spans="1:12" x14ac:dyDescent="0.25">
      <c r="A19">
        <f>0.77</f>
        <v>0.77</v>
      </c>
      <c r="B19">
        <f>46.82594904</f>
        <v>46.825949039999998</v>
      </c>
      <c r="C19">
        <f>43.18152598</f>
        <v>43.181525980000004</v>
      </c>
      <c r="D19">
        <f>21.56409742</f>
        <v>21.56409742</v>
      </c>
      <c r="E19">
        <f>64.74562341</f>
        <v>64.745623409999993</v>
      </c>
      <c r="F19">
        <f>43.9376987</f>
        <v>43.937698699999999</v>
      </c>
      <c r="G19">
        <f>40.51806566</f>
        <v>40.518065659999998</v>
      </c>
      <c r="H19">
        <f>5.285757769</f>
        <v>5.2857577689999999</v>
      </c>
      <c r="I19">
        <f>45.80382343</f>
        <v>45.803823430000001</v>
      </c>
      <c r="J19">
        <f>103.02644</f>
        <v>103.02643999999999</v>
      </c>
      <c r="K19">
        <f>7.030794</f>
        <v>7.0307940000000002</v>
      </c>
      <c r="L19">
        <f>4388.4002</f>
        <v>4388.4002</v>
      </c>
    </row>
    <row r="20" spans="1:12" x14ac:dyDescent="0.25">
      <c r="A20">
        <f>0.78</f>
        <v>0.78</v>
      </c>
      <c r="B20">
        <f>47.43407825</f>
        <v>47.434078249999999</v>
      </c>
      <c r="C20">
        <f>43.87077598</f>
        <v>43.870775979999998</v>
      </c>
      <c r="D20">
        <f>21.38335389</f>
        <v>21.383353889999999</v>
      </c>
      <c r="E20">
        <f>65.25412987</f>
        <v>65.25412987</v>
      </c>
      <c r="F20">
        <f>44.50831816</f>
        <v>44.508318160000002</v>
      </c>
      <c r="G20">
        <f>41.16480234</f>
        <v>41.164802340000001</v>
      </c>
      <c r="H20">
        <f>5.25614286</f>
        <v>5.2561428599999998</v>
      </c>
      <c r="I20">
        <f>46.4209452</f>
        <v>46.420945199999998</v>
      </c>
      <c r="J20">
        <f>98.707179</f>
        <v>98.707178999999996</v>
      </c>
      <c r="K20">
        <f>7.1932077</f>
        <v>7.1932077000000003</v>
      </c>
      <c r="L20">
        <f>4150.519</f>
        <v>4150.5190000000002</v>
      </c>
    </row>
    <row r="21" spans="1:12" x14ac:dyDescent="0.25">
      <c r="A21">
        <f>0.79</f>
        <v>0.79</v>
      </c>
      <c r="B21">
        <f>48.04220746</f>
        <v>48.04220746</v>
      </c>
      <c r="C21">
        <f>44.56061821</f>
        <v>44.560618210000001</v>
      </c>
      <c r="D21">
        <f>21.2012947</f>
        <v>21.201294699999998</v>
      </c>
      <c r="E21">
        <f>65.76191292</f>
        <v>65.76191292</v>
      </c>
      <c r="F21">
        <f>45.07893763</f>
        <v>45.078937629999999</v>
      </c>
      <c r="G21">
        <f>41.81209472</f>
        <v>41.812094719999997</v>
      </c>
      <c r="H21">
        <f>5.226684826</f>
        <v>5.2266848259999996</v>
      </c>
      <c r="I21">
        <f>47.03877955</f>
        <v>47.038779550000001</v>
      </c>
      <c r="J21">
        <f>94.223293</f>
        <v>94.223292999999998</v>
      </c>
      <c r="K21">
        <f>7.3645739</f>
        <v>7.3645738999999999</v>
      </c>
      <c r="L21">
        <f>3911.8254</f>
        <v>3911.8254000000002</v>
      </c>
    </row>
    <row r="22" spans="1:12" x14ac:dyDescent="0.25">
      <c r="A22">
        <f>0.8</f>
        <v>0.8</v>
      </c>
      <c r="B22">
        <f>48.65033667</f>
        <v>48.650336670000002</v>
      </c>
      <c r="C22">
        <f>45.25117621</f>
        <v>45.251176209999997</v>
      </c>
      <c r="D22">
        <f>21.01764503</f>
        <v>21.017645030000001</v>
      </c>
      <c r="E22">
        <f>66.26882124</f>
        <v>66.268821239999994</v>
      </c>
      <c r="F22">
        <f>45.64955709</f>
        <v>45.649557090000002</v>
      </c>
      <c r="G22">
        <f>42.46005872</f>
        <v>42.460058719999999</v>
      </c>
      <c r="H22">
        <f>5.197372965</f>
        <v>5.1973729649999996</v>
      </c>
      <c r="I22">
        <f>47.65743168</f>
        <v>47.657431680000002</v>
      </c>
      <c r="J22">
        <f>89.569927</f>
        <v>89.569927000000007</v>
      </c>
      <c r="K22">
        <f>7.5459175</f>
        <v>7.5459174999999998</v>
      </c>
      <c r="L22">
        <f>3672.1508</f>
        <v>3672.1507999999999</v>
      </c>
    </row>
    <row r="23" spans="1:12" x14ac:dyDescent="0.25">
      <c r="A23">
        <f>0.81</f>
        <v>0.81</v>
      </c>
      <c r="B23">
        <f>49.25846588</f>
        <v>49.258465880000003</v>
      </c>
      <c r="C23">
        <f>45.94261049</f>
        <v>45.94261049</v>
      </c>
      <c r="D23">
        <f>20.83204766</f>
        <v>20.832047660000001</v>
      </c>
      <c r="E23">
        <f>66.77465815</f>
        <v>66.774658149999993</v>
      </c>
      <c r="F23">
        <f>46.22017655</f>
        <v>46.220176549999998</v>
      </c>
      <c r="G23">
        <f>43.10884495</f>
        <v>43.108844949999998</v>
      </c>
      <c r="H23">
        <f>5.168189815</f>
        <v>5.1681898149999999</v>
      </c>
      <c r="I23">
        <f>48.27703477</f>
        <v>48.27703477</v>
      </c>
      <c r="J23">
        <f>84.741837</f>
        <v>84.741837000000004</v>
      </c>
      <c r="K23">
        <f>7.7384942</f>
        <v>7.7384941999999999</v>
      </c>
      <c r="L23">
        <f>3431.3193</f>
        <v>3431.3193000000001</v>
      </c>
    </row>
    <row r="24" spans="1:12" x14ac:dyDescent="0.25">
      <c r="A24">
        <f>0.82</f>
        <v>0.82</v>
      </c>
      <c r="B24">
        <f>49.86659509</f>
        <v>49.866595089999997</v>
      </c>
      <c r="C24">
        <f>46.63514057</f>
        <v>46.635140569999997</v>
      </c>
      <c r="D24">
        <f>20.64401407</f>
        <v>20.644014070000001</v>
      </c>
      <c r="E24">
        <f>67.27915464</f>
        <v>67.279154640000002</v>
      </c>
      <c r="F24">
        <f>46.79079602</f>
        <v>46.790796020000002</v>
      </c>
      <c r="G24">
        <f>43.7586594</f>
        <v>43.758659399999999</v>
      </c>
      <c r="H24">
        <f>5.139105757</f>
        <v>5.1391057570000003</v>
      </c>
      <c r="I24">
        <f>48.89776515</f>
        <v>48.897765149999998</v>
      </c>
      <c r="J24">
        <f>79.72846</f>
        <v>79.728459999999998</v>
      </c>
      <c r="K24">
        <f>7.9438942</f>
        <v>7.9438941999999999</v>
      </c>
      <c r="L24">
        <f>3188.9506</f>
        <v>3188.9506000000001</v>
      </c>
    </row>
    <row r="25" spans="1:12" x14ac:dyDescent="0.25">
      <c r="A25">
        <f>0.83</f>
        <v>0.83</v>
      </c>
      <c r="B25">
        <f>50.4747243</f>
        <v>50.474724299999998</v>
      </c>
      <c r="C25">
        <f>47.32906468</f>
        <v>47.329064680000002</v>
      </c>
      <c r="D25">
        <f>20.45288048</f>
        <v>20.452880480000001</v>
      </c>
      <c r="E25">
        <f>67.78194516</f>
        <v>67.781945160000006</v>
      </c>
      <c r="F25">
        <f>47.36141548</f>
        <v>47.361415479999998</v>
      </c>
      <c r="G25">
        <f>44.40978189</f>
        <v>44.409781889999998</v>
      </c>
      <c r="H25">
        <f>5.110075709</f>
        <v>5.1100757090000002</v>
      </c>
      <c r="I25">
        <f>49.5198576</f>
        <v>49.519857600000002</v>
      </c>
      <c r="J25">
        <f>74.519158</f>
        <v>74.519158000000004</v>
      </c>
      <c r="K25">
        <f>8.164172</f>
        <v>8.1641720000000007</v>
      </c>
      <c r="L25">
        <f>2944.6801</f>
        <v>2944.6801</v>
      </c>
    </row>
    <row r="26" spans="1:12" x14ac:dyDescent="0.25">
      <c r="A26">
        <f>0.84</f>
        <v>0.84</v>
      </c>
      <c r="B26">
        <f>51.0828535</f>
        <v>51.082853499999999</v>
      </c>
      <c r="C26">
        <f>48.02480987</f>
        <v>48.024809869999999</v>
      </c>
      <c r="D26">
        <f>20.25769633</f>
        <v>20.257696330000002</v>
      </c>
      <c r="E26">
        <f>68.2825062</f>
        <v>68.2825062</v>
      </c>
      <c r="F26">
        <f>47.93203494</f>
        <v>47.932034940000001</v>
      </c>
      <c r="G26">
        <f>45.06261313</f>
        <v>45.062613130000003</v>
      </c>
      <c r="H26">
        <f>5.0810276</f>
        <v>5.0810275999999996</v>
      </c>
      <c r="I26">
        <f>50.14364073</f>
        <v>50.143640730000001</v>
      </c>
      <c r="J26">
        <f>69.097398</f>
        <v>69.097397999999998</v>
      </c>
      <c r="K26">
        <f>8.4021009</f>
        <v>8.4021009000000006</v>
      </c>
      <c r="L26">
        <f>2697.93</f>
        <v>2697.93</v>
      </c>
    </row>
    <row r="27" spans="1:12" x14ac:dyDescent="0.25">
      <c r="A27">
        <f>0.85</f>
        <v>0.85</v>
      </c>
      <c r="B27">
        <f>51.69098271</f>
        <v>51.69098271</v>
      </c>
      <c r="C27">
        <f>48.7230123</f>
        <v>48.723012300000001</v>
      </c>
      <c r="D27">
        <f>20.05704553</f>
        <v>20.05704553</v>
      </c>
      <c r="E27">
        <f>68.78005782</f>
        <v>68.780057819999996</v>
      </c>
      <c r="F27">
        <f>48.50265441</f>
        <v>48.502654409999998</v>
      </c>
      <c r="G27">
        <f>45.71775004</f>
        <v>45.717750039999999</v>
      </c>
      <c r="H27">
        <f>5.051844965</f>
        <v>5.0518449649999999</v>
      </c>
      <c r="I27">
        <f>50.76959501</f>
        <v>50.769595010000003</v>
      </c>
      <c r="J27">
        <f>63.438706</f>
        <v>63.438706000000003</v>
      </c>
      <c r="K27">
        <f>8.6616058</f>
        <v>8.6616058000000002</v>
      </c>
      <c r="L27">
        <f>2447.8436</f>
        <v>2447.8436000000002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7"/>
  <sheetViews>
    <sheetView workbookViewId="0"/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>36.98083024</f>
        <v>36.980830240000003</v>
      </c>
      <c r="C2">
        <f>31.92447589</f>
        <v>31.92447589</v>
      </c>
      <c r="D2">
        <f>23.57885696</f>
        <v>23.57885696</v>
      </c>
      <c r="E2">
        <f>55.50333285</f>
        <v>55.50333285</v>
      </c>
      <c r="F2">
        <f>34.69983225</f>
        <v>34.69983225</v>
      </c>
      <c r="G2">
        <f>29.95535662</f>
        <v>29.95535662</v>
      </c>
      <c r="H2">
        <f>5.528075397</f>
        <v>5.5280753970000003</v>
      </c>
      <c r="I2">
        <f>35.48343202</f>
        <v>35.483432020000002</v>
      </c>
      <c r="J2">
        <f>152.87161</f>
        <v>152.87161</v>
      </c>
      <c r="K2">
        <f>5.1154741</f>
        <v>5.1154741000000001</v>
      </c>
      <c r="L2">
        <f>8356.4891</f>
        <v>8356.4891000000007</v>
      </c>
    </row>
    <row r="3" spans="1:12" x14ac:dyDescent="0.25">
      <c r="A3">
        <f>0.61</f>
        <v>0.61</v>
      </c>
      <c r="B3">
        <f>37.59717741</f>
        <v>37.59717741</v>
      </c>
      <c r="C3">
        <f>32.61951951</f>
        <v>32.619519510000003</v>
      </c>
      <c r="D3">
        <f>23.40347588</f>
        <v>23.403475879999998</v>
      </c>
      <c r="E3">
        <f>56.0229954</f>
        <v>56.022995399999999</v>
      </c>
      <c r="F3">
        <f>35.27816278</f>
        <v>35.278162780000002</v>
      </c>
      <c r="G3">
        <f>30.60752957</f>
        <v>30.607529570000001</v>
      </c>
      <c r="H3">
        <f>5.494758644</f>
        <v>5.494758644</v>
      </c>
      <c r="I3">
        <f>36.10228821</f>
        <v>36.102288209999998</v>
      </c>
      <c r="J3">
        <f>151.08331</f>
        <v>151.08331000000001</v>
      </c>
      <c r="K3">
        <f>5.1971971</f>
        <v>5.1971971000000003</v>
      </c>
      <c r="L3">
        <f>8123.3455</f>
        <v>8123.3455000000004</v>
      </c>
    </row>
    <row r="4" spans="1:12" x14ac:dyDescent="0.25">
      <c r="A4">
        <f>0.62</f>
        <v>0.62</v>
      </c>
      <c r="B4">
        <f>38.21352458</f>
        <v>38.213524579999998</v>
      </c>
      <c r="C4">
        <f>33.314638</f>
        <v>33.314638000000002</v>
      </c>
      <c r="D4">
        <f>23.22792932</f>
        <v>23.227929320000001</v>
      </c>
      <c r="E4">
        <f>56.54256732</f>
        <v>56.542567320000003</v>
      </c>
      <c r="F4">
        <f>35.85649332</f>
        <v>35.856493319999998</v>
      </c>
      <c r="G4">
        <f>31.25977276</f>
        <v>31.259772760000001</v>
      </c>
      <c r="H4">
        <f>5.461526761</f>
        <v>5.461526761</v>
      </c>
      <c r="I4">
        <f>36.72129953</f>
        <v>36.721299530000003</v>
      </c>
      <c r="J4">
        <f>149.15082</f>
        <v>149.15082000000001</v>
      </c>
      <c r="K4">
        <f>5.2816552</f>
        <v>5.2816552000000003</v>
      </c>
      <c r="L4">
        <f>7890.095</f>
        <v>7890.0950000000003</v>
      </c>
    </row>
    <row r="5" spans="1:12" x14ac:dyDescent="0.25">
      <c r="A5">
        <f>0.63</f>
        <v>0.63</v>
      </c>
      <c r="B5">
        <f>38.82987175</f>
        <v>38.829871750000002</v>
      </c>
      <c r="C5">
        <f>34.00983831</f>
        <v>34.009838309999999</v>
      </c>
      <c r="D5">
        <f>23.05220183</f>
        <v>23.052201830000001</v>
      </c>
      <c r="E5">
        <f>57.06204013</f>
        <v>57.06204013</v>
      </c>
      <c r="F5">
        <f>36.43482386</f>
        <v>36.434823860000002</v>
      </c>
      <c r="G5">
        <f>31.91209273</f>
        <v>31.912092730000001</v>
      </c>
      <c r="H5">
        <f>5.428382519</f>
        <v>5.4283825190000004</v>
      </c>
      <c r="I5">
        <f>37.34047525</f>
        <v>37.340475249999997</v>
      </c>
      <c r="J5">
        <f>147.07386</f>
        <v>147.07386</v>
      </c>
      <c r="K5">
        <f>5.3689958</f>
        <v>5.3689958000000004</v>
      </c>
      <c r="L5">
        <f>7656.7277</f>
        <v>7656.7277000000004</v>
      </c>
    </row>
    <row r="6" spans="1:12" x14ac:dyDescent="0.25">
      <c r="A6">
        <f>0.64</f>
        <v>0.64</v>
      </c>
      <c r="B6">
        <f>39.44621892</f>
        <v>39.44621892</v>
      </c>
      <c r="C6">
        <f>34.70512829</f>
        <v>34.705128289999998</v>
      </c>
      <c r="D6">
        <f>22.87627598</f>
        <v>22.876275979999999</v>
      </c>
      <c r="E6">
        <f>57.58140427</f>
        <v>57.58140427</v>
      </c>
      <c r="F6">
        <f>37.0131544</f>
        <v>37.013154399999998</v>
      </c>
      <c r="G6">
        <f>32.56449685</f>
        <v>32.564496849999998</v>
      </c>
      <c r="H6">
        <f>5.395328728</f>
        <v>5.395328728</v>
      </c>
      <c r="I6">
        <f>37.95982558</f>
        <v>37.95982558</v>
      </c>
      <c r="J6">
        <f>144.85209</f>
        <v>144.85209</v>
      </c>
      <c r="K6">
        <f>5.459378</f>
        <v>5.4593780000000001</v>
      </c>
      <c r="L6">
        <f>7423.2327</f>
        <v>7423.2326999999996</v>
      </c>
    </row>
    <row r="7" spans="1:12" x14ac:dyDescent="0.25">
      <c r="A7">
        <f>0.65</f>
        <v>0.65</v>
      </c>
      <c r="B7">
        <f>40.06256609</f>
        <v>40.062566089999997</v>
      </c>
      <c r="C7">
        <f>35.40051686</f>
        <v>35.400516860000003</v>
      </c>
      <c r="D7">
        <f>22.70013201</f>
        <v>22.700132010000001</v>
      </c>
      <c r="E7">
        <f>58.10064887</f>
        <v>58.100648870000001</v>
      </c>
      <c r="F7">
        <f>37.59148493</f>
        <v>37.59148493</v>
      </c>
      <c r="G7">
        <f>33.21699347</f>
        <v>33.216993469999998</v>
      </c>
      <c r="H7">
        <f>5.362368214</f>
        <v>5.362368214</v>
      </c>
      <c r="I7">
        <f>38.57936168</f>
        <v>38.579361679999998</v>
      </c>
      <c r="J7">
        <f>142.48516</f>
        <v>142.48516000000001</v>
      </c>
      <c r="K7">
        <f>5.5529741</f>
        <v>5.5529741000000001</v>
      </c>
      <c r="L7">
        <f>7189.5973</f>
        <v>7189.5973000000004</v>
      </c>
    </row>
    <row r="8" spans="1:12" x14ac:dyDescent="0.25">
      <c r="A8">
        <f>0.66</f>
        <v>0.66</v>
      </c>
      <c r="B8">
        <f>40.67891326</f>
        <v>40.678913260000002</v>
      </c>
      <c r="C8">
        <f>36.09601416</f>
        <v>36.096014160000003</v>
      </c>
      <c r="D8">
        <f>22.5237474</f>
        <v>22.523747400000001</v>
      </c>
      <c r="E8">
        <f>58.61976156</f>
        <v>58.619761560000001</v>
      </c>
      <c r="F8">
        <f>38.16981547</f>
        <v>38.169815470000003</v>
      </c>
      <c r="G8">
        <f>33.86959211</f>
        <v>33.869592109999999</v>
      </c>
      <c r="H8">
        <f>5.329503793</f>
        <v>5.3295037929999998</v>
      </c>
      <c r="I8">
        <f>39.1990959</f>
        <v>39.199095900000003</v>
      </c>
      <c r="J8">
        <f>139.97266</f>
        <v>139.97265999999999</v>
      </c>
      <c r="K8">
        <f>5.6499709</f>
        <v>5.6499708999999996</v>
      </c>
      <c r="L8">
        <f>6955.8074</f>
        <v>6955.8073999999997</v>
      </c>
    </row>
    <row r="9" spans="1:12" x14ac:dyDescent="0.25">
      <c r="A9">
        <f>0.67</f>
        <v>0.67</v>
      </c>
      <c r="B9">
        <f>41.29526043</f>
        <v>41.295260429999999</v>
      </c>
      <c r="C9">
        <f>36.79163177</f>
        <v>36.791631770000002</v>
      </c>
      <c r="D9">
        <f>22.34709642</f>
        <v>22.34709642</v>
      </c>
      <c r="E9">
        <f>59.13872819</f>
        <v>59.138728190000002</v>
      </c>
      <c r="F9">
        <f>38.74814601</f>
        <v>38.748146009999999</v>
      </c>
      <c r="G9">
        <f>34.52230364</f>
        <v>34.522303639999997</v>
      </c>
      <c r="H9">
        <f>5.296738237</f>
        <v>5.2967382369999996</v>
      </c>
      <c r="I9">
        <f>39.81904188</f>
        <v>39.81904188</v>
      </c>
      <c r="J9">
        <f>137.3141</f>
        <v>137.3141</v>
      </c>
      <c r="K9">
        <f>5.750572</f>
        <v>5.750572</v>
      </c>
      <c r="L9">
        <f>6721.8465</f>
        <v>6721.8464999999997</v>
      </c>
    </row>
    <row r="10" spans="1:12" x14ac:dyDescent="0.25">
      <c r="A10">
        <f>0.68</f>
        <v>0.68</v>
      </c>
      <c r="B10">
        <f>41.9116076</f>
        <v>41.911607600000004</v>
      </c>
      <c r="C10">
        <f>37.48738302</f>
        <v>37.487383020000003</v>
      </c>
      <c r="D10">
        <f>22.17014947</f>
        <v>22.170149469999998</v>
      </c>
      <c r="E10">
        <f>59.65753249</f>
        <v>59.657532490000001</v>
      </c>
      <c r="F10">
        <f>39.32647655</f>
        <v>39.326476550000002</v>
      </c>
      <c r="G10">
        <f>35.17514057</f>
        <v>35.175140570000003</v>
      </c>
      <c r="H10">
        <f>5.264074226</f>
        <v>5.264074226</v>
      </c>
      <c r="I10">
        <f>40.4392148</f>
        <v>40.439214800000002</v>
      </c>
      <c r="J10">
        <f>134.50894</f>
        <v>134.50894</v>
      </c>
      <c r="K10">
        <f>5.8549995</f>
        <v>5.8549994999999999</v>
      </c>
      <c r="L10">
        <f>6487.6961</f>
        <v>6487.6961000000001</v>
      </c>
    </row>
    <row r="11" spans="1:12" x14ac:dyDescent="0.25">
      <c r="A11">
        <f>0.69</f>
        <v>0.69</v>
      </c>
      <c r="B11">
        <f>42.52795477</f>
        <v>42.527954770000001</v>
      </c>
      <c r="C11">
        <f>38.18328331</f>
        <v>38.18328331</v>
      </c>
      <c r="D11">
        <f>21.99287236</f>
        <v>21.99287236</v>
      </c>
      <c r="E11">
        <f>60.17615567</f>
        <v>60.17615567</v>
      </c>
      <c r="F11">
        <f>39.90480708</f>
        <v>39.904807079999998</v>
      </c>
      <c r="G11">
        <f>35.82811735</f>
        <v>35.828117349999999</v>
      </c>
      <c r="H11">
        <f>5.231514287</f>
        <v>5.2315142870000004</v>
      </c>
      <c r="I11">
        <f>41.05963163</f>
        <v>41.059631629999998</v>
      </c>
      <c r="J11">
        <f>131.55655</f>
        <v>131.55654999999999</v>
      </c>
      <c r="K11">
        <f>5.9634969</f>
        <v>5.9634969</v>
      </c>
      <c r="L11">
        <f>6253.3344</f>
        <v>6253.3343999999997</v>
      </c>
    </row>
    <row r="12" spans="1:12" x14ac:dyDescent="0.25">
      <c r="A12">
        <f>0.7</f>
        <v>0.7</v>
      </c>
      <c r="B12">
        <f>43.14430195</f>
        <v>43.144301949999999</v>
      </c>
      <c r="C12">
        <f>38.87935052</f>
        <v>38.879350520000003</v>
      </c>
      <c r="D12">
        <f>21.81522536</f>
        <v>21.815225359999999</v>
      </c>
      <c r="E12">
        <f>60.69457587</f>
        <v>60.694575870000001</v>
      </c>
      <c r="F12">
        <f>40.48313762</f>
        <v>40.483137620000001</v>
      </c>
      <c r="G12">
        <f>36.48125075</f>
        <v>36.481250750000001</v>
      </c>
      <c r="H12">
        <f>5.199060716</f>
        <v>5.199060716</v>
      </c>
      <c r="I12">
        <f>41.68031146</f>
        <v>41.680311459999999</v>
      </c>
      <c r="J12">
        <f>128.45621</f>
        <v>128.45621</v>
      </c>
      <c r="K12">
        <f>6.0763319</f>
        <v>6.0763318999999996</v>
      </c>
      <c r="L12">
        <f>6018.7364</f>
        <v>6018.7363999999998</v>
      </c>
    </row>
    <row r="13" spans="1:12" x14ac:dyDescent="0.25">
      <c r="A13">
        <f>0.71</f>
        <v>0.71</v>
      </c>
      <c r="B13">
        <f>43.76064912</f>
        <v>43.760649119999997</v>
      </c>
      <c r="C13">
        <f>39.57560556</f>
        <v>39.57560556</v>
      </c>
      <c r="D13">
        <f>21.63716199</f>
        <v>21.637161989999999</v>
      </c>
      <c r="E13">
        <f>61.21276754</f>
        <v>61.212767540000002</v>
      </c>
      <c r="F13">
        <f>41.06146816</f>
        <v>41.061468159999997</v>
      </c>
      <c r="G13">
        <f>37.13456039</f>
        <v>37.134560389999997</v>
      </c>
      <c r="H13">
        <f>5.166715466</f>
        <v>5.1667154660000003</v>
      </c>
      <c r="I13">
        <f>42.30127586</f>
        <v>42.301275859999997</v>
      </c>
      <c r="J13">
        <f>125.20705</f>
        <v>125.20705</v>
      </c>
      <c r="K13">
        <f>6.1938007</f>
        <v>6.1938006999999997</v>
      </c>
      <c r="L13">
        <f>5783.8726</f>
        <v>5783.8725999999997</v>
      </c>
    </row>
    <row r="14" spans="1:12" x14ac:dyDescent="0.25">
      <c r="A14">
        <f>0.72</f>
        <v>0.72</v>
      </c>
      <c r="B14">
        <f>44.37699629</f>
        <v>44.376996290000001</v>
      </c>
      <c r="C14">
        <f>40.27207305</f>
        <v>40.272073050000003</v>
      </c>
      <c r="D14">
        <f>21.45862754</f>
        <v>21.458627539999998</v>
      </c>
      <c r="E14">
        <f>61.73070059</f>
        <v>61.730700589999998</v>
      </c>
      <c r="F14">
        <f>41.6397987</f>
        <v>41.6397987</v>
      </c>
      <c r="G14">
        <f>37.78806938</f>
        <v>37.788069380000003</v>
      </c>
      <c r="H14">
        <f>5.134480008</f>
        <v>5.1344800079999997</v>
      </c>
      <c r="I14">
        <f>42.92254939</f>
        <v>42.92254939</v>
      </c>
      <c r="J14">
        <f>121.80809</f>
        <v>121.80809000000001</v>
      </c>
      <c r="K14">
        <f>6.3162319</f>
        <v>6.3162319</v>
      </c>
      <c r="L14">
        <f>5548.7086</f>
        <v>5548.7085999999999</v>
      </c>
    </row>
    <row r="15" spans="1:12" x14ac:dyDescent="0.25">
      <c r="A15">
        <f>0.73</f>
        <v>0.73</v>
      </c>
      <c r="B15">
        <f>44.99334346</f>
        <v>44.993343459999998</v>
      </c>
      <c r="C15">
        <f>40.96878218</f>
        <v>40.968782179999998</v>
      </c>
      <c r="D15">
        <f>21.27955712</f>
        <v>21.27955712</v>
      </c>
      <c r="E15">
        <f>62.2483393</f>
        <v>62.248339299999998</v>
      </c>
      <c r="F15">
        <f>42.21812923</f>
        <v>42.218129230000002</v>
      </c>
      <c r="G15">
        <f>38.44180511</f>
        <v>38.441805109999997</v>
      </c>
      <c r="H15">
        <f>5.102355141</f>
        <v>5.1023551410000003</v>
      </c>
      <c r="I15">
        <f>43.54416025</f>
        <v>43.544160249999997</v>
      </c>
      <c r="J15">
        <f>118.25813</f>
        <v>118.25812999999999</v>
      </c>
      <c r="K15">
        <f>6.4439927</f>
        <v>6.4439926999999999</v>
      </c>
      <c r="L15">
        <f>5313.2032</f>
        <v>5313.2031999999999</v>
      </c>
    </row>
    <row r="16" spans="1:12" x14ac:dyDescent="0.25">
      <c r="A16">
        <f>0.74</f>
        <v>0.74</v>
      </c>
      <c r="B16">
        <f>45.60969063</f>
        <v>45.609690630000003</v>
      </c>
      <c r="C16">
        <f>41.66576786</f>
        <v>41.665767860000003</v>
      </c>
      <c r="D16">
        <f>21.09987313</f>
        <v>21.099873129999999</v>
      </c>
      <c r="E16">
        <f>62.76564099</f>
        <v>62.765640990000001</v>
      </c>
      <c r="F16">
        <f>42.79645977</f>
        <v>42.796459769999998</v>
      </c>
      <c r="G16">
        <f>39.09580034</f>
        <v>39.095800339999997</v>
      </c>
      <c r="H16">
        <f>5.070340729</f>
        <v>5.0703407289999998</v>
      </c>
      <c r="I16">
        <f>44.16614107</f>
        <v>44.166141070000002</v>
      </c>
      <c r="J16">
        <f>114.55576</f>
        <v>114.55576000000001</v>
      </c>
      <c r="K16">
        <f>6.5774961</f>
        <v>6.5774961000000003</v>
      </c>
      <c r="L16">
        <f>5077.3077</f>
        <v>5077.3077000000003</v>
      </c>
    </row>
    <row r="17" spans="1:12" x14ac:dyDescent="0.25">
      <c r="A17">
        <f>0.75</f>
        <v>0.75</v>
      </c>
      <c r="B17">
        <f>46.2260378</f>
        <v>46.2260378</v>
      </c>
      <c r="C17">
        <f>42.36307222</f>
        <v>42.363072219999999</v>
      </c>
      <c r="D17">
        <f>20.91948188</f>
        <v>20.919481879999999</v>
      </c>
      <c r="E17">
        <f>63.2825541</f>
        <v>63.282554099999999</v>
      </c>
      <c r="F17">
        <f>43.37479031</f>
        <v>43.374790310000002</v>
      </c>
      <c r="G17">
        <f>39.75009458</f>
        <v>39.750094580000003</v>
      </c>
      <c r="H17">
        <f>5.038435359</f>
        <v>5.0384353590000002</v>
      </c>
      <c r="I17">
        <f>44.78852994</f>
        <v>44.788529939999997</v>
      </c>
      <c r="J17">
        <f>110.69927</f>
        <v>110.69927</v>
      </c>
      <c r="K17">
        <f>6.7172098</f>
        <v>6.7172098</v>
      </c>
      <c r="L17">
        <f>4840.9628</f>
        <v>4840.9628000000002</v>
      </c>
    </row>
    <row r="18" spans="1:12" x14ac:dyDescent="0.25">
      <c r="A18">
        <f>0.76</f>
        <v>0.76</v>
      </c>
      <c r="B18">
        <f>46.84238497</f>
        <v>46.842384969999998</v>
      </c>
      <c r="C18">
        <f>43.0607466</f>
        <v>43.060746600000002</v>
      </c>
      <c r="D18">
        <f>20.73826918</f>
        <v>20.73826918</v>
      </c>
      <c r="E18">
        <f>63.79901578</f>
        <v>63.799015779999998</v>
      </c>
      <c r="F18">
        <f>43.95312085</f>
        <v>43.953120849999998</v>
      </c>
      <c r="G18">
        <f>40.40473602</f>
        <v>40.404736020000001</v>
      </c>
      <c r="H18">
        <f>5.006635854</f>
        <v>5.0066358539999998</v>
      </c>
      <c r="I18">
        <f>45.41137187</f>
        <v>45.411371870000004</v>
      </c>
      <c r="J18">
        <f>106.68657</f>
        <v>106.68657</v>
      </c>
      <c r="K18">
        <f>6.8636686</f>
        <v>6.8636685999999996</v>
      </c>
      <c r="L18">
        <f>4604.0966</f>
        <v>4604.0965999999999</v>
      </c>
    </row>
    <row r="19" spans="1:12" x14ac:dyDescent="0.25">
      <c r="A19">
        <f>0.77</f>
        <v>0.77</v>
      </c>
      <c r="B19">
        <f>47.45873214</f>
        <v>47.458732140000002</v>
      </c>
      <c r="C19">
        <f>43.75885432</f>
        <v>43.758854319999998</v>
      </c>
      <c r="D19">
        <f>20.55609422</f>
        <v>20.556094219999999</v>
      </c>
      <c r="E19">
        <f>64.31494853</f>
        <v>64.314948529999995</v>
      </c>
      <c r="F19">
        <f>44.53145138</f>
        <v>44.53145138</v>
      </c>
      <c r="G19">
        <f>41.05978406</f>
        <v>41.059784059999998</v>
      </c>
      <c r="H19">
        <f>4.974936605</f>
        <v>4.9749366049999999</v>
      </c>
      <c r="I19">
        <f>46.03472067</f>
        <v>46.034720669999999</v>
      </c>
      <c r="J19">
        <f>102.51511</f>
        <v>102.51511000000001</v>
      </c>
      <c r="K19">
        <f>7.0174897</f>
        <v>7.0174896999999996</v>
      </c>
      <c r="L19">
        <f>4366.6203</f>
        <v>4366.6202999999996</v>
      </c>
    </row>
    <row r="20" spans="1:12" x14ac:dyDescent="0.25">
      <c r="A20">
        <f>0.78</f>
        <v>0.78</v>
      </c>
      <c r="B20">
        <f>48.07507931</f>
        <v>48.07507931</v>
      </c>
      <c r="C20">
        <f>44.45747443</f>
        <v>44.457474429999998</v>
      </c>
      <c r="D20">
        <f>20.37278108</f>
        <v>20.372781079999999</v>
      </c>
      <c r="E20">
        <f>64.83025551</f>
        <v>64.830255510000001</v>
      </c>
      <c r="F20">
        <f>45.10978192</f>
        <v>45.109781920000003</v>
      </c>
      <c r="G20">
        <f>41.71531291</f>
        <v>41.715312910000002</v>
      </c>
      <c r="H20">
        <f>4.943328624</f>
        <v>4.9433286240000003</v>
      </c>
      <c r="I20">
        <f>46.65864153</f>
        <v>46.658641529999997</v>
      </c>
      <c r="J20">
        <f>98.181693</f>
        <v>98.181692999999996</v>
      </c>
      <c r="K20">
        <f>7.1793949</f>
        <v>7.1793949000000001</v>
      </c>
      <c r="L20">
        <f>4128.423</f>
        <v>4128.4229999999998</v>
      </c>
    </row>
    <row r="21" spans="1:12" x14ac:dyDescent="0.25">
      <c r="A21">
        <f>0.79</f>
        <v>0.79</v>
      </c>
      <c r="B21">
        <f>48.69142648</f>
        <v>48.691426479999997</v>
      </c>
      <c r="C21">
        <f>45.15670718</f>
        <v>45.156707179999998</v>
      </c>
      <c r="D21">
        <f>20.18810678</f>
        <v>20.188106779999998</v>
      </c>
      <c r="E21">
        <f>65.34481396</f>
        <v>65.344813959999996</v>
      </c>
      <c r="F21">
        <f>45.68811246</f>
        <v>45.688112459999999</v>
      </c>
      <c r="G21">
        <f>42.37141659</f>
        <v>42.371416590000003</v>
      </c>
      <c r="H21">
        <f>4.911798173</f>
        <v>4.9117981730000002</v>
      </c>
      <c r="I21">
        <f>47.28321476</f>
        <v>47.28321476</v>
      </c>
      <c r="J21">
        <f>93.682275</f>
        <v>93.682275000000004</v>
      </c>
      <c r="K21">
        <f>7.3502399</f>
        <v>7.3502399</v>
      </c>
      <c r="L21">
        <f>3889.3642</f>
        <v>3889.3642</v>
      </c>
    </row>
    <row r="22" spans="1:12" x14ac:dyDescent="0.25">
      <c r="A22">
        <f>0.8</f>
        <v>0.8</v>
      </c>
      <c r="B22">
        <f>49.30777365</f>
        <v>49.307773650000001</v>
      </c>
      <c r="C22">
        <f>45.85668051</f>
        <v>45.856680509999997</v>
      </c>
      <c r="D22">
        <f>20.00178659</f>
        <v>20.001786589999998</v>
      </c>
      <c r="E22">
        <f>65.8584671</f>
        <v>65.858467099999999</v>
      </c>
      <c r="F22">
        <f>46.266443</f>
        <v>46.266443000000002</v>
      </c>
      <c r="G22">
        <f>43.02821518</f>
        <v>43.028215179999997</v>
      </c>
      <c r="H22">
        <f>4.880325225</f>
        <v>4.880325225</v>
      </c>
      <c r="I22">
        <f>47.9085404</f>
        <v>47.9085404</v>
      </c>
      <c r="J22">
        <f>89.012769</f>
        <v>89.012769000000006</v>
      </c>
      <c r="K22">
        <f>7.5310546</f>
        <v>7.5310546</v>
      </c>
      <c r="L22">
        <f>3649.3086</f>
        <v>3649.3085999999998</v>
      </c>
    </row>
    <row r="23" spans="1:12" x14ac:dyDescent="0.25">
      <c r="A23">
        <f>0.81</f>
        <v>0.81</v>
      </c>
      <c r="B23">
        <f>49.92412082</f>
        <v>49.924120819999999</v>
      </c>
      <c r="C23">
        <f>46.5575666</f>
        <v>46.557566600000001</v>
      </c>
      <c r="D23">
        <f>19.81343735</f>
        <v>19.813437350000001</v>
      </c>
      <c r="E23">
        <f>66.37100394</f>
        <v>66.371003939999994</v>
      </c>
      <c r="F23">
        <f>46.84477353</f>
        <v>46.844773529999998</v>
      </c>
      <c r="G23">
        <f>43.68587023</f>
        <v>43.685870229999999</v>
      </c>
      <c r="H23">
        <f>4.848878631</f>
        <v>4.8488786309999998</v>
      </c>
      <c r="I23">
        <f>48.53474886</f>
        <v>48.534748860000001</v>
      </c>
      <c r="J23">
        <f>84.164222</f>
        <v>84.164221999999995</v>
      </c>
      <c r="K23">
        <f>7.7231156</f>
        <v>7.7231155999999999</v>
      </c>
      <c r="L23">
        <f>3407.9308</f>
        <v>3407.9308000000001</v>
      </c>
    </row>
    <row r="24" spans="1:12" x14ac:dyDescent="0.25">
      <c r="A24">
        <f>0.82</f>
        <v>0.82</v>
      </c>
      <c r="B24">
        <f>50.54046799</f>
        <v>50.540467990000003</v>
      </c>
      <c r="C24">
        <f>47.25959327</f>
        <v>47.259593270000003</v>
      </c>
      <c r="D24">
        <f>19.62255199</f>
        <v>19.622551990000002</v>
      </c>
      <c r="E24">
        <f>66.88214526</f>
        <v>66.882145260000001</v>
      </c>
      <c r="F24">
        <f>47.42310407</f>
        <v>47.423104070000001</v>
      </c>
      <c r="G24">
        <f>44.34459551</f>
        <v>44.344595509999998</v>
      </c>
      <c r="H24">
        <f>4.817413898</f>
        <v>4.8174138979999999</v>
      </c>
      <c r="I24">
        <f>49.1620094</f>
        <v>49.162009400000002</v>
      </c>
      <c r="J24">
        <f>79.1285</f>
        <v>79.128500000000003</v>
      </c>
      <c r="K24">
        <f>7.9280282</f>
        <v>7.9280282</v>
      </c>
      <c r="L24">
        <f>3164.9536</f>
        <v>3164.9535999999998</v>
      </c>
    </row>
    <row r="25" spans="1:12" x14ac:dyDescent="0.25">
      <c r="A25">
        <f>0.83</f>
        <v>0.83</v>
      </c>
      <c r="B25">
        <f>51.15681516</f>
        <v>51.156815160000001</v>
      </c>
      <c r="C25">
        <f>47.96307773</f>
        <v>47.963077730000002</v>
      </c>
      <c r="D25">
        <f>19.42842445</f>
        <v>19.428424450000001</v>
      </c>
      <c r="E25">
        <f>67.39150218</f>
        <v>67.391502180000003</v>
      </c>
      <c r="F25">
        <f>48.00143461</f>
        <v>48.001434609999997</v>
      </c>
      <c r="G25">
        <f>45.00468866</f>
        <v>45.004688659999999</v>
      </c>
      <c r="H25">
        <f>4.785863803</f>
        <v>4.7858638029999998</v>
      </c>
      <c r="I25">
        <f>49.79055246</f>
        <v>49.790552460000001</v>
      </c>
      <c r="J25">
        <f>73.892939</f>
        <v>73.892938999999998</v>
      </c>
      <c r="K25">
        <f>8.1478894</f>
        <v>8.1478894000000004</v>
      </c>
      <c r="L25">
        <f>2919.9346</f>
        <v>2919.9346</v>
      </c>
    </row>
    <row r="26" spans="1:12" x14ac:dyDescent="0.25">
      <c r="A26">
        <f>0.84</f>
        <v>0.84</v>
      </c>
      <c r="B26">
        <f>51.77316233</f>
        <v>51.773162329999998</v>
      </c>
      <c r="C26">
        <f>48.66847558</f>
        <v>48.668475579999999</v>
      </c>
      <c r="D26">
        <f>19.23004057</f>
        <v>19.23004057</v>
      </c>
      <c r="E26">
        <f>67.89851615</f>
        <v>67.898516150000006</v>
      </c>
      <c r="F26">
        <f>48.57976515</f>
        <v>48.57976515</v>
      </c>
      <c r="G26">
        <f>45.66657718</f>
        <v>45.666577179999997</v>
      </c>
      <c r="H26">
        <f>4.754125542</f>
        <v>4.7541255419999997</v>
      </c>
      <c r="I26">
        <f>50.42070272</f>
        <v>50.420702720000001</v>
      </c>
      <c r="J26">
        <f>68.439435</f>
        <v>68.439435000000003</v>
      </c>
      <c r="K26">
        <f>8.3855448</f>
        <v>8.3855447999999999</v>
      </c>
      <c r="L26">
        <f>2672.2396</f>
        <v>2672.2395999999999</v>
      </c>
    </row>
    <row r="27" spans="1:12" x14ac:dyDescent="0.25">
      <c r="A27">
        <f>0.85</f>
        <v>0.85</v>
      </c>
      <c r="B27">
        <f>52.38950951</f>
        <v>52.389509510000003</v>
      </c>
      <c r="C27">
        <f>49.37647159</f>
        <v>49.376471590000001</v>
      </c>
      <c r="D27">
        <f>19.02587589</f>
        <v>19.025875889999998</v>
      </c>
      <c r="E27">
        <f>68.40234748</f>
        <v>68.402347480000003</v>
      </c>
      <c r="F27">
        <f>49.15809568</f>
        <v>49.158095680000002</v>
      </c>
      <c r="G27">
        <f>46.33090361</f>
        <v>46.33090361</v>
      </c>
      <c r="H27">
        <f>4.722036627</f>
        <v>4.7220366269999996</v>
      </c>
      <c r="I27">
        <f>51.05294024</f>
        <v>51.052940239999998</v>
      </c>
      <c r="J27">
        <f>62.740934</f>
        <v>62.740934000000003</v>
      </c>
      <c r="K27">
        <f>8.6450585</f>
        <v>8.6450584999999993</v>
      </c>
      <c r="L27">
        <f>2420.9194</f>
        <v>2420.9194000000002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7"/>
  <sheetViews>
    <sheetView workbookViewId="0">
      <selection activeCell="L18" sqref="L18:L27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37.47390798</f>
        <v>37.47390798</v>
      </c>
      <c r="C2">
        <f>32.34372022</f>
        <v>32.343720220000002</v>
      </c>
      <c r="D2">
        <f>22.61194635</f>
        <v>22.61194635</v>
      </c>
      <c r="E2">
        <f>54.95566657</f>
        <v>54.955666569999998</v>
      </c>
      <c r="F2">
        <f>35.16249668</f>
        <v>35.162496679999997</v>
      </c>
      <c r="G2">
        <f>30.34874173</f>
        <v>30.34874173</v>
      </c>
      <c r="H2">
        <f>5.249244805</f>
        <v>5.249244805</v>
      </c>
      <c r="I2">
        <f>35.59798653</f>
        <v>35.59798653</v>
      </c>
      <c r="J2">
        <f>152.51096</f>
        <v>152.51096000000001</v>
      </c>
      <c r="K2">
        <f>5.1083186</f>
        <v>5.1083185999999996</v>
      </c>
      <c r="L2">
        <f>8336.7751</f>
        <v>8336.7751000000007</v>
      </c>
    </row>
    <row r="3" spans="1:12" x14ac:dyDescent="0.25">
      <c r="A3">
        <f>0.61</f>
        <v>0.61</v>
      </c>
      <c r="B3">
        <f>38.09847311</f>
        <v>38.09847311</v>
      </c>
      <c r="C3">
        <f>33.04803761</f>
        <v>33.048037610000002</v>
      </c>
      <c r="D3">
        <f>22.43421111</f>
        <v>22.43421111</v>
      </c>
      <c r="E3">
        <f>55.48224872</f>
        <v>55.482248720000001</v>
      </c>
      <c r="F3">
        <f>35.74853829</f>
        <v>35.748538289999999</v>
      </c>
      <c r="G3">
        <f>31.00961643</f>
        <v>31.009616430000001</v>
      </c>
      <c r="H3">
        <f>5.214720531</f>
        <v>5.2147205310000002</v>
      </c>
      <c r="I3">
        <f>36.22433696</f>
        <v>36.224336960000002</v>
      </c>
      <c r="J3">
        <f>150.71533</f>
        <v>150.71532999999999</v>
      </c>
      <c r="K3">
        <f>5.1898181</f>
        <v>5.1898181000000001</v>
      </c>
      <c r="L3">
        <f>8103.5604</f>
        <v>8103.5604000000003</v>
      </c>
    </row>
    <row r="4" spans="1:12" x14ac:dyDescent="0.25">
      <c r="A4">
        <f>0.62</f>
        <v>0.62</v>
      </c>
      <c r="B4">
        <f>38.72303824</f>
        <v>38.723038240000001</v>
      </c>
      <c r="C4">
        <f>33.75243148</f>
        <v>33.752431479999998</v>
      </c>
      <c r="D4">
        <f>22.25630674</f>
        <v>22.256306739999999</v>
      </c>
      <c r="E4">
        <f>56.00873823</f>
        <v>56.008738229999999</v>
      </c>
      <c r="F4">
        <f>36.3345799</f>
        <v>36.334579900000001</v>
      </c>
      <c r="G4">
        <f>31.67056291</f>
        <v>31.670562910000001</v>
      </c>
      <c r="H4">
        <f>5.180258691</f>
        <v>5.1802586909999997</v>
      </c>
      <c r="I4">
        <f>36.8508216</f>
        <v>36.850821600000003</v>
      </c>
      <c r="J4">
        <f>148.77538</f>
        <v>148.77538000000001</v>
      </c>
      <c r="K4">
        <f>5.2740423</f>
        <v>5.2740422999999996</v>
      </c>
      <c r="L4">
        <f>7870.234</f>
        <v>7870.2340000000004</v>
      </c>
    </row>
    <row r="5" spans="1:12" x14ac:dyDescent="0.25">
      <c r="A5">
        <f>0.63</f>
        <v>0.63</v>
      </c>
      <c r="B5">
        <f>39.34760337</f>
        <v>39.347603370000002</v>
      </c>
      <c r="C5">
        <f>34.45690899</f>
        <v>34.456908990000002</v>
      </c>
      <c r="D5">
        <f>22.0782174</f>
        <v>22.0782174</v>
      </c>
      <c r="E5">
        <f>56.53512639</f>
        <v>56.535126390000002</v>
      </c>
      <c r="F5">
        <f>36.92062151</f>
        <v>36.920621509999997</v>
      </c>
      <c r="G5">
        <f>32.33158785</f>
        <v>32.331587849999998</v>
      </c>
      <c r="H5">
        <f>5.145860903</f>
        <v>5.145860903</v>
      </c>
      <c r="I5">
        <f>37.47744875</f>
        <v>37.477448750000001</v>
      </c>
      <c r="J5">
        <f>146.6908</f>
        <v>146.6908</v>
      </c>
      <c r="K5">
        <f>5.361138</f>
        <v>5.3611380000000004</v>
      </c>
      <c r="L5">
        <f>7636.7857</f>
        <v>7636.7857000000004</v>
      </c>
    </row>
    <row r="6" spans="1:12" x14ac:dyDescent="0.25">
      <c r="A6">
        <f>0.64</f>
        <v>0.64</v>
      </c>
      <c r="B6">
        <f>39.97216851</f>
        <v>39.972168510000003</v>
      </c>
      <c r="C6">
        <f>35.16147818</f>
        <v>35.161478180000003</v>
      </c>
      <c r="D6">
        <f>21.89992519</f>
        <v>21.899925190000001</v>
      </c>
      <c r="E6">
        <f>57.06140338</f>
        <v>57.061403380000002</v>
      </c>
      <c r="F6">
        <f>37.50666312</f>
        <v>37.506663119999999</v>
      </c>
      <c r="G6">
        <f>32.99269883</f>
        <v>32.992698830000002</v>
      </c>
      <c r="H6">
        <f>5.111528728</f>
        <v>5.1115287279999997</v>
      </c>
      <c r="I6">
        <f>38.10422756</f>
        <v>38.104227559999998</v>
      </c>
      <c r="J6">
        <f>144.46126</f>
        <v>144.46126000000001</v>
      </c>
      <c r="K6">
        <f>5.4512635</f>
        <v>5.4512634999999996</v>
      </c>
      <c r="L6">
        <f>7403.2039</f>
        <v>7403.2039000000004</v>
      </c>
    </row>
    <row r="7" spans="1:12" x14ac:dyDescent="0.25">
      <c r="A7">
        <f>0.65</f>
        <v>0.65</v>
      </c>
      <c r="B7">
        <f>40.59673364</f>
        <v>40.596733639999997</v>
      </c>
      <c r="C7">
        <f>35.86614821</f>
        <v>35.866148209999999</v>
      </c>
      <c r="D7">
        <f>21.72140983</f>
        <v>21.721409829999999</v>
      </c>
      <c r="E7">
        <f>57.58755804</f>
        <v>57.587558039999998</v>
      </c>
      <c r="F7">
        <f>38.09270473</f>
        <v>38.092704730000001</v>
      </c>
      <c r="G7">
        <f>33.65390442</f>
        <v>33.653904420000003</v>
      </c>
      <c r="H7">
        <f>5.077263642</f>
        <v>5.0772636420000001</v>
      </c>
      <c r="I7">
        <f>38.73116806</f>
        <v>38.731168060000002</v>
      </c>
      <c r="J7">
        <f>142.08638</f>
        <v>142.08637999999999</v>
      </c>
      <c r="K7">
        <f>5.5445906</f>
        <v>5.5445906000000003</v>
      </c>
      <c r="L7">
        <f>7169.4753</f>
        <v>7169.4753000000001</v>
      </c>
    </row>
    <row r="8" spans="1:12" x14ac:dyDescent="0.25">
      <c r="A8">
        <f>0.66</f>
        <v>0.66</v>
      </c>
      <c r="B8">
        <f>41.22129877</f>
        <v>41.221298769999997</v>
      </c>
      <c r="C8">
        <f>36.57092947</f>
        <v>36.570929470000003</v>
      </c>
      <c r="D8">
        <f>21.54264819</f>
        <v>21.542648190000001</v>
      </c>
      <c r="E8">
        <f>58.11357766</f>
        <v>58.113577659999997</v>
      </c>
      <c r="F8">
        <f>38.67874634</f>
        <v>38.678746339999996</v>
      </c>
      <c r="G8">
        <f>34.31521439</f>
        <v>34.315214390000001</v>
      </c>
      <c r="H8">
        <f>5.043066993</f>
        <v>5.0430669930000001</v>
      </c>
      <c r="I8">
        <f>39.35828138</f>
        <v>39.358281380000001</v>
      </c>
      <c r="J8">
        <f>139.56572</f>
        <v>139.56572</v>
      </c>
      <c r="K8">
        <f>5.6413053</f>
        <v>5.6413053</v>
      </c>
      <c r="L8">
        <f>6935.585</f>
        <v>6935.585</v>
      </c>
    </row>
    <row r="9" spans="1:12" x14ac:dyDescent="0.25">
      <c r="A9">
        <f>0.67</f>
        <v>0.67</v>
      </c>
      <c r="B9">
        <f>41.84586391</f>
        <v>41.845863909999998</v>
      </c>
      <c r="C9">
        <f>37.2758339</f>
        <v>37.275833900000002</v>
      </c>
      <c r="D9">
        <f>21.36361381</f>
        <v>21.36361381</v>
      </c>
      <c r="E9">
        <f>58.63944771</f>
        <v>58.639447709999999</v>
      </c>
      <c r="F9">
        <f>39.26478796</f>
        <v>39.26478796</v>
      </c>
      <c r="G9">
        <f>34.97663992</f>
        <v>34.976639919999997</v>
      </c>
      <c r="H9">
        <f>5.008939951</f>
        <v>5.0089399510000003</v>
      </c>
      <c r="I9">
        <f>39.98557987</f>
        <v>39.985579870000002</v>
      </c>
      <c r="J9">
        <f>136.89878</f>
        <v>136.89877999999999</v>
      </c>
      <c r="K9">
        <f>5.7416104</f>
        <v>5.7416103999999999</v>
      </c>
      <c r="L9">
        <f>6701.5158</f>
        <v>6701.5158000000001</v>
      </c>
    </row>
    <row r="10" spans="1:12" x14ac:dyDescent="0.25">
      <c r="A10">
        <f>0.68</f>
        <v>0.68</v>
      </c>
      <c r="B10">
        <f>42.47042904</f>
        <v>42.470429039999999</v>
      </c>
      <c r="C10">
        <f>37.98087519</f>
        <v>37.980875189999999</v>
      </c>
      <c r="D10">
        <f>21.18427625</f>
        <v>21.18427625</v>
      </c>
      <c r="E10">
        <f>59.16515144</f>
        <v>59.165151440000002</v>
      </c>
      <c r="F10">
        <f>39.85082957</f>
        <v>39.850829570000002</v>
      </c>
      <c r="G10">
        <f>35.63819387</f>
        <v>35.638193870000002</v>
      </c>
      <c r="H10">
        <f>4.974883446</f>
        <v>4.9748834459999998</v>
      </c>
      <c r="I10">
        <f>40.61307732</f>
        <v>40.613077320000002</v>
      </c>
      <c r="J10">
        <f>134.08499</f>
        <v>134.08499</v>
      </c>
      <c r="K10">
        <f>5.8457273</f>
        <v>5.8457273000000001</v>
      </c>
      <c r="L10">
        <f>6467.2479</f>
        <v>6467.2479000000003</v>
      </c>
    </row>
    <row r="11" spans="1:12" x14ac:dyDescent="0.25">
      <c r="A11">
        <f>0.69</f>
        <v>0.69</v>
      </c>
      <c r="B11">
        <f>43.09499417</f>
        <v>43.09499417</v>
      </c>
      <c r="C11">
        <f>38.68606918</f>
        <v>38.686069179999997</v>
      </c>
      <c r="D11">
        <f>21.00460032</f>
        <v>21.004600320000002</v>
      </c>
      <c r="E11">
        <f>59.6906695</f>
        <v>59.690669499999998</v>
      </c>
      <c r="F11">
        <f>40.43687118</f>
        <v>40.436871179999997</v>
      </c>
      <c r="G11">
        <f>36.29989111</f>
        <v>36.299891109999997</v>
      </c>
      <c r="H11">
        <f>4.940898079</f>
        <v>4.9408980790000001</v>
      </c>
      <c r="I11">
        <f>41.24078919</f>
        <v>41.240789190000001</v>
      </c>
      <c r="J11">
        <f>131.12368</f>
        <v>131.12368000000001</v>
      </c>
      <c r="K11">
        <f>5.9538987</f>
        <v>5.9538986999999999</v>
      </c>
      <c r="L11">
        <f>6232.7586</f>
        <v>6232.7586000000001</v>
      </c>
    </row>
    <row r="12" spans="1:12" x14ac:dyDescent="0.25">
      <c r="A12">
        <f>0.7</f>
        <v>0.7</v>
      </c>
      <c r="B12">
        <f>43.7195593</f>
        <v>43.7195593</v>
      </c>
      <c r="C12">
        <f>39.3914343</f>
        <v>39.3914343</v>
      </c>
      <c r="D12">
        <f>20.82454509</f>
        <v>20.824545090000001</v>
      </c>
      <c r="E12">
        <f>60.21597939</f>
        <v>60.215979390000001</v>
      </c>
      <c r="F12">
        <f>41.02291279</f>
        <v>41.022912789999999</v>
      </c>
      <c r="G12">
        <f>36.96174892</f>
        <v>36.961748919999998</v>
      </c>
      <c r="H12">
        <f>4.906984018</f>
        <v>4.9069840180000002</v>
      </c>
      <c r="I12">
        <f>41.86873294</f>
        <v>41.868732940000001</v>
      </c>
      <c r="J12">
        <f>128.01409</f>
        <v>128.01409000000001</v>
      </c>
      <c r="K12">
        <f>6.0663916</f>
        <v>6.0663916000000002</v>
      </c>
      <c r="L12">
        <f>5998.0213</f>
        <v>5998.0213000000003</v>
      </c>
    </row>
    <row r="13" spans="1:12" x14ac:dyDescent="0.25">
      <c r="A13">
        <f>0.71</f>
        <v>0.71</v>
      </c>
      <c r="B13">
        <f>44.34412444</f>
        <v>44.344124440000002</v>
      </c>
      <c r="C13">
        <f>40.0969921</f>
        <v>40.096992100000001</v>
      </c>
      <c r="D13">
        <f>20.64406265</f>
        <v>20.644062649999999</v>
      </c>
      <c r="E13">
        <f>60.74105475</f>
        <v>60.741054750000004</v>
      </c>
      <c r="F13">
        <f>41.6089544</f>
        <v>41.608954400000002</v>
      </c>
      <c r="G13">
        <f>37.62378752</f>
        <v>37.62378752</v>
      </c>
      <c r="H13">
        <f>4.873140855</f>
        <v>4.8731408549999999</v>
      </c>
      <c r="I13">
        <f>42.49692838</f>
        <v>42.49692838</v>
      </c>
      <c r="J13">
        <f>124.75532</f>
        <v>124.75532</v>
      </c>
      <c r="K13">
        <f>6.1835011</f>
        <v>6.1835011</v>
      </c>
      <c r="L13">
        <f>5763.005</f>
        <v>5763.0050000000001</v>
      </c>
    </row>
    <row r="14" spans="1:12" x14ac:dyDescent="0.25">
      <c r="A14">
        <f>0.72</f>
        <v>0.72</v>
      </c>
      <c r="B14">
        <f>44.96868957</f>
        <v>44.968689570000002</v>
      </c>
      <c r="C14">
        <f>40.80276798</f>
        <v>40.802767979999999</v>
      </c>
      <c r="D14">
        <f>20.46309653</f>
        <v>20.463096530000001</v>
      </c>
      <c r="E14">
        <f>61.26586451</f>
        <v>61.26586451</v>
      </c>
      <c r="F14">
        <f>42.19499601</f>
        <v>42.194996009999997</v>
      </c>
      <c r="G14">
        <f>38.28603076</f>
        <v>38.286030760000003</v>
      </c>
      <c r="H14">
        <f>4.83936742</f>
        <v>4.8393674200000003</v>
      </c>
      <c r="I14">
        <f>43.12539818</f>
        <v>43.125398179999998</v>
      </c>
      <c r="J14">
        <f>121.34631</f>
        <v>121.34631</v>
      </c>
      <c r="K14">
        <f>6.3055554</f>
        <v>6.3055554000000003</v>
      </c>
      <c r="L14">
        <f>5527.673</f>
        <v>5527.6729999999998</v>
      </c>
    </row>
    <row r="15" spans="1:12" x14ac:dyDescent="0.25">
      <c r="A15">
        <f>0.73</f>
        <v>0.73</v>
      </c>
      <c r="B15">
        <f>45.5932547</f>
        <v>45.593254700000003</v>
      </c>
      <c r="C15">
        <f>41.5087921</f>
        <v>41.508792100000001</v>
      </c>
      <c r="D15">
        <f>20.2815797</f>
        <v>20.281579700000002</v>
      </c>
      <c r="E15">
        <f>61.7903718</f>
        <v>61.790371800000003</v>
      </c>
      <c r="F15">
        <f>42.78103762</f>
        <v>42.781037619999999</v>
      </c>
      <c r="G15">
        <f>38.94850693</f>
        <v>38.948506930000001</v>
      </c>
      <c r="H15">
        <f>4.805661535</f>
        <v>4.8056615349999996</v>
      </c>
      <c r="I15">
        <f>43.75416846</f>
        <v>43.754168460000002</v>
      </c>
      <c r="J15">
        <f>117.7858</f>
        <v>117.78579999999999</v>
      </c>
      <c r="K15">
        <f>6.4329211</f>
        <v>6.4329210999999997</v>
      </c>
      <c r="L15">
        <f>5291.982</f>
        <v>5291.982</v>
      </c>
    </row>
    <row r="16" spans="1:12" x14ac:dyDescent="0.25">
      <c r="A16">
        <f>0.74</f>
        <v>0.74</v>
      </c>
      <c r="B16">
        <f>46.21781984</f>
        <v>46.217819839999997</v>
      </c>
      <c r="C16">
        <f>42.21510058</f>
        <v>42.215100579999998</v>
      </c>
      <c r="D16">
        <f>20.09943185</f>
        <v>20.099431849999998</v>
      </c>
      <c r="E16">
        <f>62.31453243</f>
        <v>62.31453243</v>
      </c>
      <c r="F16">
        <f>43.36707923</f>
        <v>43.367079230000002</v>
      </c>
      <c r="G16">
        <f>39.6112499</f>
        <v>39.611249899999997</v>
      </c>
      <c r="H16">
        <f>4.772019688</f>
        <v>4.7720196880000003</v>
      </c>
      <c r="I16">
        <f>44.38326959</f>
        <v>44.383269589999998</v>
      </c>
      <c r="J16">
        <f>114.0723</f>
        <v>114.0723</v>
      </c>
      <c r="K16">
        <f>6.5660107</f>
        <v>6.5660106999999996</v>
      </c>
      <c r="L16">
        <f>5055.88</f>
        <v>5055.88</v>
      </c>
    </row>
    <row r="17" spans="1:12" x14ac:dyDescent="0.25">
      <c r="A17">
        <f>0.75</f>
        <v>0.75</v>
      </c>
      <c r="B17">
        <f>46.84238497</f>
        <v>46.842384969999998</v>
      </c>
      <c r="C17">
        <f>42.92173703</f>
        <v>42.921737030000003</v>
      </c>
      <c r="D17">
        <f>19.91655597</f>
        <v>19.916555970000001</v>
      </c>
      <c r="E17">
        <f>62.838293</f>
        <v>62.838293</v>
      </c>
      <c r="F17">
        <f>43.95312085</f>
        <v>43.953120849999998</v>
      </c>
      <c r="G17">
        <f>40.27430063</f>
        <v>40.274300629999999</v>
      </c>
      <c r="H17">
        <f>4.738436591</f>
        <v>4.7384365910000001</v>
      </c>
      <c r="I17">
        <f>45.01273722</f>
        <v>45.012737219999998</v>
      </c>
      <c r="J17">
        <f>110.20399</f>
        <v>110.20399</v>
      </c>
      <c r="K17">
        <f>6.7052919</f>
        <v>6.7052918999999997</v>
      </c>
      <c r="L17">
        <f>4819.3042</f>
        <v>4819.3041999999996</v>
      </c>
    </row>
    <row r="18" spans="1:12" x14ac:dyDescent="0.25">
      <c r="A18">
        <f>0.76</f>
        <v>0.76</v>
      </c>
      <c r="B18">
        <f>47.4669501</f>
        <v>47.466950099999998</v>
      </c>
      <c r="C18">
        <f>43.62875473</f>
        <v>43.628754729999997</v>
      </c>
      <c r="D18">
        <f>19.73283356</f>
        <v>19.73283356</v>
      </c>
      <c r="E18">
        <f>63.36158829</f>
        <v>63.36158829</v>
      </c>
      <c r="F18">
        <f>44.53916246</f>
        <v>44.53916246</v>
      </c>
      <c r="G18">
        <f>40.93770909</f>
        <v>40.937709089999998</v>
      </c>
      <c r="H18">
        <f>4.704904574</f>
        <v>4.7049045740000004</v>
      </c>
      <c r="I18">
        <f>45.64261366</f>
        <v>45.642613660000002</v>
      </c>
      <c r="J18">
        <f>106.17866</f>
        <v>106.17865999999999</v>
      </c>
      <c r="K18">
        <f>6.8512999</f>
        <v>6.8512998999999999</v>
      </c>
      <c r="L18">
        <f>4582.1777</f>
        <v>4582.1777000000002</v>
      </c>
    </row>
    <row r="19" spans="1:12" x14ac:dyDescent="0.25">
      <c r="A19">
        <f>0.77</f>
        <v>0.77</v>
      </c>
      <c r="B19">
        <f>48.09151524</f>
        <v>48.09151524</v>
      </c>
      <c r="C19">
        <f>44.33621948</f>
        <v>44.336219479999997</v>
      </c>
      <c r="D19">
        <f>19.54811826</f>
        <v>19.548118259999999</v>
      </c>
      <c r="E19">
        <f>63.88433774</f>
        <v>63.884337739999999</v>
      </c>
      <c r="F19">
        <f>45.12520407</f>
        <v>45.125204070000002</v>
      </c>
      <c r="G19">
        <f>41.60153703</f>
        <v>41.601537030000003</v>
      </c>
      <c r="H19">
        <f>4.671412752</f>
        <v>4.6714127520000002</v>
      </c>
      <c r="I19">
        <f>46.27294978</f>
        <v>46.272949779999998</v>
      </c>
      <c r="J19">
        <f>101.99358</f>
        <v>101.99357999999999</v>
      </c>
      <c r="K19">
        <f>7.0046534</f>
        <v>7.0046533999999996</v>
      </c>
      <c r="L19">
        <f>4344.4059</f>
        <v>4344.4058999999997</v>
      </c>
    </row>
    <row r="20" spans="1:12" x14ac:dyDescent="0.25">
      <c r="A20">
        <f>0.78</f>
        <v>0.78</v>
      </c>
      <c r="B20">
        <f>48.71608037</f>
        <v>48.71608037</v>
      </c>
      <c r="C20">
        <f>45.04421364</f>
        <v>45.044213640000002</v>
      </c>
      <c r="D20">
        <f>19.36222682</f>
        <v>19.36222682</v>
      </c>
      <c r="E20">
        <f>64.40644046</f>
        <v>64.406440459999999</v>
      </c>
      <c r="F20">
        <f>45.71124568</f>
        <v>45.711245679999998</v>
      </c>
      <c r="G20">
        <f>42.26586172</f>
        <v>42.265861719999997</v>
      </c>
      <c r="H20">
        <f>4.637945834</f>
        <v>4.6379458339999999</v>
      </c>
      <c r="I20">
        <f>46.90380755</f>
        <v>46.903807550000003</v>
      </c>
      <c r="J20">
        <f>97.645341</f>
        <v>97.645341000000002</v>
      </c>
      <c r="K20">
        <f>7.1660771</f>
        <v>7.1660770999999999</v>
      </c>
      <c r="L20">
        <f>4105.87</f>
        <v>4105.87</v>
      </c>
    </row>
    <row r="21" spans="1:12" x14ac:dyDescent="0.25">
      <c r="A21">
        <f>0.79</f>
        <v>0.79</v>
      </c>
      <c r="B21">
        <f>49.3406455</f>
        <v>49.340645500000001</v>
      </c>
      <c r="C21">
        <f>45.75284069</f>
        <v>45.752840689999999</v>
      </c>
      <c r="D21">
        <f>19.17492899</f>
        <v>19.174928990000002</v>
      </c>
      <c r="E21">
        <f>64.92776968</f>
        <v>64.927769679999997</v>
      </c>
      <c r="F21">
        <f>46.29728729</f>
        <v>46.29728729</v>
      </c>
      <c r="G21">
        <f>42.93078026</f>
        <v>42.930780259999999</v>
      </c>
      <c r="H21">
        <f>4.604482894</f>
        <v>4.6044828940000002</v>
      </c>
      <c r="I21">
        <f>47.53526316</f>
        <v>47.53526316</v>
      </c>
      <c r="J21">
        <f>93.130752</f>
        <v>93.130752000000001</v>
      </c>
      <c r="K21">
        <f>7.3364291</f>
        <v>7.3364291000000001</v>
      </c>
      <c r="L21">
        <f>3866.4669</f>
        <v>3866.4668999999999</v>
      </c>
    </row>
    <row r="22" spans="1:12" x14ac:dyDescent="0.25">
      <c r="A22">
        <f>0.8</f>
        <v>0.8</v>
      </c>
      <c r="B22">
        <f>49.96521063</f>
        <v>49.965210630000001</v>
      </c>
      <c r="C22">
        <f>46.46223807</f>
        <v>46.462238069999998</v>
      </c>
      <c r="D22">
        <f>18.98591893</f>
        <v>18.98591893</v>
      </c>
      <c r="E22">
        <f>65.448157</f>
        <v>65.448156999999995</v>
      </c>
      <c r="F22">
        <f>46.8833289</f>
        <v>46.883328900000002</v>
      </c>
      <c r="G22">
        <f>43.59642162</f>
        <v>43.596421620000001</v>
      </c>
      <c r="H22">
        <f>4.570993085</f>
        <v>4.5709930849999996</v>
      </c>
      <c r="I22">
        <f>48.1674147</f>
        <v>48.167414700000002</v>
      </c>
      <c r="J22">
        <f>88.442036</f>
        <v>88.442036000000002</v>
      </c>
      <c r="K22">
        <f>7.5167549</f>
        <v>7.5167548999999996</v>
      </c>
      <c r="L22">
        <f>3625.91</f>
        <v>3625.91</v>
      </c>
    </row>
    <row r="23" spans="1:12" x14ac:dyDescent="0.25">
      <c r="A23">
        <f>0.81</f>
        <v>0.81</v>
      </c>
      <c r="B23">
        <f>50.58977577</f>
        <v>50.589775770000003</v>
      </c>
      <c r="C23">
        <f>47.17258342</f>
        <v>47.172583420000002</v>
      </c>
      <c r="D23">
        <f>18.79480125</f>
        <v>18.794801249999999</v>
      </c>
      <c r="E23">
        <f>65.96738467</f>
        <v>65.967384670000001</v>
      </c>
      <c r="F23">
        <f>47.46937051</f>
        <v>47.469370509999997</v>
      </c>
      <c r="G23">
        <f>44.26295247</f>
        <v>44.262952470000002</v>
      </c>
      <c r="H23">
        <f>4.537434363</f>
        <v>4.537434363</v>
      </c>
      <c r="I23">
        <f>48.80038683</f>
        <v>48.800386830000001</v>
      </c>
      <c r="J23">
        <f>83.572891</f>
        <v>83.572890999999998</v>
      </c>
      <c r="K23">
        <f>7.7083393</f>
        <v>7.7083392999999996</v>
      </c>
      <c r="L23">
        <f>3383.987</f>
        <v>3383.9870000000001</v>
      </c>
    </row>
    <row r="24" spans="1:12" x14ac:dyDescent="0.25">
      <c r="A24">
        <f>0.82</f>
        <v>0.82</v>
      </c>
      <c r="B24">
        <f>51.2143409</f>
        <v>51.214340900000003</v>
      </c>
      <c r="C24">
        <f>47.88411839</f>
        <v>47.884118389999998</v>
      </c>
      <c r="D24">
        <f>18.60103808</f>
        <v>18.601038079999999</v>
      </c>
      <c r="E24">
        <f>66.48515647</f>
        <v>66.485156470000007</v>
      </c>
      <c r="F24">
        <f>48.05541213</f>
        <v>48.055412130000001</v>
      </c>
      <c r="G24">
        <f>44.93059958</f>
        <v>44.930599579999999</v>
      </c>
      <c r="H24">
        <f>4.50374587</f>
        <v>4.5037458700000004</v>
      </c>
      <c r="I24">
        <f>49.43434545</f>
        <v>49.434345450000002</v>
      </c>
      <c r="J24">
        <f>78.51338</f>
        <v>78.513379999999998</v>
      </c>
      <c r="K24">
        <f>7.9128153</f>
        <v>7.9128153000000001</v>
      </c>
      <c r="L24">
        <f>3140.3503</f>
        <v>3140.3503000000001</v>
      </c>
    </row>
    <row r="25" spans="1:12" x14ac:dyDescent="0.25">
      <c r="A25">
        <f>0.83</f>
        <v>0.83</v>
      </c>
      <c r="B25">
        <f>51.83890603</f>
        <v>51.838906029999997</v>
      </c>
      <c r="C25">
        <f>48.59717984</f>
        <v>48.597179840000003</v>
      </c>
      <c r="D25">
        <f>18.40387959</f>
        <v>18.403879589999999</v>
      </c>
      <c r="E25">
        <f>67.00105943</f>
        <v>67.001059429999998</v>
      </c>
      <c r="F25">
        <f>48.64145374</f>
        <v>48.641453740000003</v>
      </c>
      <c r="G25">
        <f>45.599679</f>
        <v>45.599679000000002</v>
      </c>
      <c r="H25">
        <f>4.469838516</f>
        <v>4.4698385160000003</v>
      </c>
      <c r="I25">
        <f>50.06951752</f>
        <v>50.069517519999998</v>
      </c>
      <c r="J25">
        <f>73.249686</f>
        <v>73.249685999999997</v>
      </c>
      <c r="K25">
        <f>8.1323245</f>
        <v>8.1323244999999993</v>
      </c>
      <c r="L25">
        <f>2894.516</f>
        <v>2894.5160000000001</v>
      </c>
    </row>
    <row r="26" spans="1:12" x14ac:dyDescent="0.25">
      <c r="A26">
        <f>0.84</f>
        <v>0.84</v>
      </c>
      <c r="B26">
        <f>52.46347117</f>
        <v>52.463471169999998</v>
      </c>
      <c r="C26">
        <f>49.31225511</f>
        <v>49.312255110000002</v>
      </c>
      <c r="D26">
        <f>18.20224085</f>
        <v>18.202240849999999</v>
      </c>
      <c r="E26">
        <f>67.51449596</f>
        <v>67.514495960000005</v>
      </c>
      <c r="F26">
        <f>49.22749535</f>
        <v>49.227495349999998</v>
      </c>
      <c r="G26">
        <f>46.27064804</f>
        <v>46.270648039999998</v>
      </c>
      <c r="H26">
        <f>4.435578047</f>
        <v>4.4355780469999999</v>
      </c>
      <c r="I26">
        <f>50.70622608</f>
        <v>50.70622608</v>
      </c>
      <c r="J26">
        <f>67.761904</f>
        <v>67.761904000000001</v>
      </c>
      <c r="K26">
        <f>8.3697943</f>
        <v>8.3697943000000006</v>
      </c>
      <c r="L26">
        <f>2645.7852</f>
        <v>2645.7851999999998</v>
      </c>
    </row>
    <row r="27" spans="1:12" x14ac:dyDescent="0.25">
      <c r="A27">
        <f>0.85</f>
        <v>0.85</v>
      </c>
      <c r="B27">
        <f>53.0880363</f>
        <v>53.088036299999999</v>
      </c>
      <c r="C27">
        <f>50.03008391</f>
        <v>50.030083910000002</v>
      </c>
      <c r="D27">
        <f>17.99447502</f>
        <v>17.994475019999999</v>
      </c>
      <c r="E27">
        <f>68.02455893</f>
        <v>68.024558929999998</v>
      </c>
      <c r="F27">
        <f>49.81353696</f>
        <v>49.81353696</v>
      </c>
      <c r="G27">
        <f>46.94420076</f>
        <v>46.944200760000001</v>
      </c>
      <c r="H27">
        <f>4.400753808</f>
        <v>4.4007538080000002</v>
      </c>
      <c r="I27">
        <f>51.34495457</f>
        <v>51.344954569999999</v>
      </c>
      <c r="J27">
        <f>62.019988</f>
        <v>62.019987999999998</v>
      </c>
      <c r="K27">
        <f>8.6294466</f>
        <v>8.6294465999999996</v>
      </c>
      <c r="L27">
        <f>2393.101</f>
        <v>2393.1010000000001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7"/>
  <sheetViews>
    <sheetView workbookViewId="0">
      <selection activeCell="I35" sqref="I35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37.96698571</f>
        <v>37.966985710000003</v>
      </c>
      <c r="C2">
        <f>32.76298276</f>
        <v>32.76298276</v>
      </c>
      <c r="D2">
        <f>21.64510617</f>
        <v>21.645106169999998</v>
      </c>
      <c r="E2">
        <f>54.40808893</f>
        <v>54.408088929999998</v>
      </c>
      <c r="F2">
        <f>35.62516111</f>
        <v>35.625161110000001</v>
      </c>
      <c r="G2">
        <f>30.74214392</f>
        <v>30.74214392</v>
      </c>
      <c r="H2">
        <f>4.97585423</f>
        <v>4.9758542300000004</v>
      </c>
      <c r="I2">
        <f>35.71799815</f>
        <v>35.71799815</v>
      </c>
      <c r="J2">
        <f>152.14464</f>
        <v>152.14464000000001</v>
      </c>
      <c r="K2">
        <f>5.1013863</f>
        <v>5.1013862999999997</v>
      </c>
      <c r="L2">
        <f>8316.7506</f>
        <v>8316.7505999999994</v>
      </c>
    </row>
    <row r="3" spans="1:12" x14ac:dyDescent="0.25">
      <c r="A3">
        <f>0.61</f>
        <v>0.61</v>
      </c>
      <c r="B3">
        <f>38.59976881</f>
        <v>38.59976881</v>
      </c>
      <c r="C3">
        <f>33.47657425</f>
        <v>33.476574249999999</v>
      </c>
      <c r="D3">
        <f>21.46501604</f>
        <v>21.465016039999998</v>
      </c>
      <c r="E3">
        <f>54.94159029</f>
        <v>54.941590290000001</v>
      </c>
      <c r="F3">
        <f>36.21891379</f>
        <v>36.218913790000002</v>
      </c>
      <c r="G3">
        <f>31.4117207</f>
        <v>31.4117207</v>
      </c>
      <c r="H3">
        <f>4.940197912</f>
        <v>4.9401979120000004</v>
      </c>
      <c r="I3">
        <f>36.35191861</f>
        <v>36.351918609999998</v>
      </c>
      <c r="J3">
        <f>150.34151</f>
        <v>150.34151</v>
      </c>
      <c r="K3">
        <f>5.1826699</f>
        <v>5.1826698999999996</v>
      </c>
      <c r="L3">
        <f>8083.4608</f>
        <v>8083.4607999999998</v>
      </c>
    </row>
    <row r="4" spans="1:12" x14ac:dyDescent="0.25">
      <c r="A4">
        <f>0.62</f>
        <v>0.62</v>
      </c>
      <c r="B4">
        <f>39.2325519</f>
        <v>39.232551899999997</v>
      </c>
      <c r="C4">
        <f>34.1902439</f>
        <v>34.190243899999999</v>
      </c>
      <c r="D4">
        <f>21.28475305</f>
        <v>21.284753049999999</v>
      </c>
      <c r="E4">
        <f>55.47499694</f>
        <v>55.474996939999997</v>
      </c>
      <c r="F4">
        <f>36.81266648</f>
        <v>36.812666479999997</v>
      </c>
      <c r="G4">
        <f>32.08137081</f>
        <v>32.081370810000003</v>
      </c>
      <c r="H4">
        <f>4.904583776</f>
        <v>4.904583776</v>
      </c>
      <c r="I4">
        <f>36.98595459</f>
        <v>36.985954589999999</v>
      </c>
      <c r="J4">
        <f>148.39391</f>
        <v>148.39391000000001</v>
      </c>
      <c r="K4">
        <f>5.2666682</f>
        <v>5.2666681999999998</v>
      </c>
      <c r="L4">
        <f>7850.0543</f>
        <v>7850.0542999999998</v>
      </c>
    </row>
    <row r="5" spans="1:12" x14ac:dyDescent="0.25">
      <c r="A5">
        <f>0.63</f>
        <v>0.63</v>
      </c>
      <c r="B5">
        <f>39.865335</f>
        <v>39.865335000000002</v>
      </c>
      <c r="C5">
        <f>34.90399902</f>
        <v>34.903999020000001</v>
      </c>
      <c r="D5">
        <f>21.10430093</f>
        <v>21.104300930000001</v>
      </c>
      <c r="E5">
        <f>56.00829995</f>
        <v>56.008299950000001</v>
      </c>
      <c r="F5">
        <f>37.40641916</f>
        <v>37.406419159999999</v>
      </c>
      <c r="G5">
        <f>32.75110112</f>
        <v>32.751101120000001</v>
      </c>
      <c r="H5">
        <f>4.869012385</f>
        <v>4.8690123850000004</v>
      </c>
      <c r="I5">
        <f>37.62011351</f>
        <v>37.620113510000003</v>
      </c>
      <c r="J5">
        <f>146.30154</f>
        <v>146.30153999999999</v>
      </c>
      <c r="K5">
        <f>5.3535274</f>
        <v>5.3535273999999999</v>
      </c>
      <c r="L5">
        <f>7616.5204</f>
        <v>7616.5204000000003</v>
      </c>
    </row>
    <row r="6" spans="1:12" x14ac:dyDescent="0.25">
      <c r="A6">
        <f>0.64</f>
        <v>0.64</v>
      </c>
      <c r="B6">
        <f>40.49811809</f>
        <v>40.498118089999998</v>
      </c>
      <c r="C6">
        <f>35.61784789</f>
        <v>35.61784789</v>
      </c>
      <c r="D6">
        <f>20.92364134</f>
        <v>20.92364134</v>
      </c>
      <c r="E6">
        <f>56.54148924</f>
        <v>56.541489239999997</v>
      </c>
      <c r="F6">
        <f>38.00017185</f>
        <v>38.000171850000001</v>
      </c>
      <c r="G6">
        <f>33.4209194</f>
        <v>33.420919400000002</v>
      </c>
      <c r="H6">
        <f>4.83348416</f>
        <v>4.8334841600000003</v>
      </c>
      <c r="I6">
        <f>38.25440356</f>
        <v>38.25440356</v>
      </c>
      <c r="J6">
        <f>144.06403</f>
        <v>144.06403</v>
      </c>
      <c r="K6">
        <f>5.4434053</f>
        <v>5.4434053000000002</v>
      </c>
      <c r="L6">
        <f>7382.8468</f>
        <v>7382.8468000000003</v>
      </c>
    </row>
    <row r="7" spans="1:12" x14ac:dyDescent="0.25">
      <c r="A7">
        <f>0.65</f>
        <v>0.65</v>
      </c>
      <c r="B7">
        <f>41.13090119</f>
        <v>41.130901190000003</v>
      </c>
      <c r="C7">
        <f>36.3317999</f>
        <v>36.3317999</v>
      </c>
      <c r="D7">
        <f>20.74275344</f>
        <v>20.742753440000001</v>
      </c>
      <c r="E7">
        <f>57.07455334</f>
        <v>57.074553340000001</v>
      </c>
      <c r="F7">
        <f>38.59392453</f>
        <v>38.593924530000002</v>
      </c>
      <c r="G7">
        <f>34.09083445</f>
        <v>34.090834450000003</v>
      </c>
      <c r="H7">
        <f>4.797999339</f>
        <v>4.7979993390000004</v>
      </c>
      <c r="I7">
        <f>38.88883379</f>
        <v>38.88883379</v>
      </c>
      <c r="J7">
        <f>141.68099</f>
        <v>141.68099000000001</v>
      </c>
      <c r="K7">
        <f>5.5364728</f>
        <v>5.5364728000000003</v>
      </c>
      <c r="L7">
        <f>7149.01959999999</f>
        <v>7149.0195999999896</v>
      </c>
    </row>
    <row r="8" spans="1:12" x14ac:dyDescent="0.25">
      <c r="A8">
        <f>0.66</f>
        <v>0.66</v>
      </c>
      <c r="B8">
        <f>41.76368428</f>
        <v>41.76368428</v>
      </c>
      <c r="C8">
        <f>37.04586573</f>
        <v>37.045865730000003</v>
      </c>
      <c r="D8">
        <f>20.56161347</f>
        <v>20.561613470000001</v>
      </c>
      <c r="E8">
        <f>57.6074792</f>
        <v>57.6074792</v>
      </c>
      <c r="F8">
        <f>39.18767722</f>
        <v>39.187677219999998</v>
      </c>
      <c r="G8">
        <f>34.76085631</f>
        <v>34.760856310000001</v>
      </c>
      <c r="H8">
        <f>4.762557923</f>
        <v>4.7625579230000001</v>
      </c>
      <c r="I8">
        <f>39.52341424</f>
        <v>39.523414240000001</v>
      </c>
      <c r="J8">
        <f>139.15195</f>
        <v>139.15195</v>
      </c>
      <c r="K8">
        <f>5.6329155</f>
        <v>5.6329155000000002</v>
      </c>
      <c r="L8">
        <f>6915.023</f>
        <v>6915.0230000000001</v>
      </c>
    </row>
    <row r="9" spans="1:12" x14ac:dyDescent="0.25">
      <c r="A9">
        <f>0.67</f>
        <v>0.67</v>
      </c>
      <c r="B9">
        <f>42.39646738</f>
        <v>42.396467379999997</v>
      </c>
      <c r="C9">
        <f>37.76005764</f>
        <v>37.760057639999999</v>
      </c>
      <c r="D9">
        <f>20.38019422</f>
        <v>20.38019422</v>
      </c>
      <c r="E9">
        <f>58.14025186</f>
        <v>58.140251859999999</v>
      </c>
      <c r="F9">
        <f>39.7814299</f>
        <v>39.781429899999999</v>
      </c>
      <c r="G9">
        <f>35.43099647</f>
        <v>35.430996469999997</v>
      </c>
      <c r="H9">
        <f>4.727159614</f>
        <v>4.7271596139999996</v>
      </c>
      <c r="I9">
        <f>40.15815609</f>
        <v>40.158156089999999</v>
      </c>
      <c r="J9">
        <f>136.47639</f>
        <v>136.47639000000001</v>
      </c>
      <c r="K9">
        <f>5.7329354</f>
        <v>5.7329353999999997</v>
      </c>
      <c r="L9">
        <f>6680.8389</f>
        <v>6680.8388999999997</v>
      </c>
    </row>
    <row r="10" spans="1:12" x14ac:dyDescent="0.25">
      <c r="A10">
        <f>0.68</f>
        <v>0.68</v>
      </c>
      <c r="B10">
        <f>43.02925047</f>
        <v>43.029250470000001</v>
      </c>
      <c r="C10">
        <f>38.47438973</f>
        <v>38.474389729999999</v>
      </c>
      <c r="D10">
        <f>20.19846438</f>
        <v>20.198464380000001</v>
      </c>
      <c r="E10">
        <f>58.67285411</f>
        <v>58.672854110000003</v>
      </c>
      <c r="F10">
        <f>40.37518259</f>
        <v>40.375182590000001</v>
      </c>
      <c r="G10">
        <f>36.10126816</f>
        <v>36.101268159999996</v>
      </c>
      <c r="H10">
        <f>4.691803729</f>
        <v>4.6918037290000001</v>
      </c>
      <c r="I10">
        <f>40.79307189</f>
        <v>40.79307189</v>
      </c>
      <c r="J10">
        <f>133.65371</f>
        <v>133.65370999999999</v>
      </c>
      <c r="K10">
        <f>5.8367532</f>
        <v>5.8367532000000004</v>
      </c>
      <c r="L10">
        <f>6446.4466</f>
        <v>6446.4466000000002</v>
      </c>
    </row>
    <row r="11" spans="1:12" x14ac:dyDescent="0.25">
      <c r="A11">
        <f>0.69</f>
        <v>0.69</v>
      </c>
      <c r="B11">
        <f>43.66203357</f>
        <v>43.662033569999998</v>
      </c>
      <c r="C11">
        <f>39.18887829</f>
        <v>39.188878289999998</v>
      </c>
      <c r="D11">
        <f>20.01638773</f>
        <v>20.016387730000002</v>
      </c>
      <c r="E11">
        <f>59.20526602</f>
        <v>59.205266020000003</v>
      </c>
      <c r="F11">
        <f>40.96893527</f>
        <v>40.968935270000003</v>
      </c>
      <c r="G11">
        <f>36.77168668</f>
        <v>36.771686680000002</v>
      </c>
      <c r="H11">
        <f>4.656489096</f>
        <v>4.6564890959999996</v>
      </c>
      <c r="I11">
        <f>41.42817577</f>
        <v>41.428175770000003</v>
      </c>
      <c r="J11">
        <f>130.68321</f>
        <v>130.68321</v>
      </c>
      <c r="K11">
        <f>5.9446107</f>
        <v>5.9446107000000001</v>
      </c>
      <c r="L11">
        <f>6211.8218</f>
        <v>6211.8217999999997</v>
      </c>
    </row>
    <row r="12" spans="1:12" x14ac:dyDescent="0.25">
      <c r="A12">
        <f>0.7</f>
        <v>0.7</v>
      </c>
      <c r="B12">
        <f>44.29481666</f>
        <v>44.294816660000002</v>
      </c>
      <c r="C12">
        <f>39.90354232</f>
        <v>39.90354232</v>
      </c>
      <c r="D12">
        <f>19.83392207</f>
        <v>19.83392207</v>
      </c>
      <c r="E12">
        <f>59.73746439</f>
        <v>59.73746439</v>
      </c>
      <c r="F12">
        <f>41.56268796</f>
        <v>41.562687959999998</v>
      </c>
      <c r="G12">
        <f>37.44226983</f>
        <v>37.442269830000001</v>
      </c>
      <c r="H12">
        <f>4.621213919</f>
        <v>4.6212139189999997</v>
      </c>
      <c r="I12">
        <f>42.06348375</f>
        <v>42.063483750000003</v>
      </c>
      <c r="J12">
        <f>127.56408</f>
        <v>127.56408</v>
      </c>
      <c r="K12">
        <f>6.0567744</f>
        <v>6.0567744000000001</v>
      </c>
      <c r="L12">
        <f>5976.9366</f>
        <v>5976.9366</v>
      </c>
    </row>
    <row r="13" spans="1:12" x14ac:dyDescent="0.25">
      <c r="A13">
        <f>0.71</f>
        <v>0.71</v>
      </c>
      <c r="B13">
        <f>44.92759976</f>
        <v>44.92759976</v>
      </c>
      <c r="C13">
        <f>40.61840403</f>
        <v>40.618404030000001</v>
      </c>
      <c r="D13">
        <f>19.65101801</f>
        <v>19.651018010000001</v>
      </c>
      <c r="E13">
        <f>60.26942204</f>
        <v>60.269422040000002</v>
      </c>
      <c r="F13">
        <f>42.15644064</f>
        <v>42.15644064</v>
      </c>
      <c r="G13">
        <f>38.11303848</f>
        <v>38.11303848</v>
      </c>
      <c r="H13">
        <f>4.585975602</f>
        <v>4.5859756020000004</v>
      </c>
      <c r="I13">
        <f>42.69901408</f>
        <v>42.699014079999998</v>
      </c>
      <c r="J13">
        <f>124.29537</f>
        <v>124.29537000000001</v>
      </c>
      <c r="K13">
        <f>6.1735388</f>
        <v>6.1735388000000002</v>
      </c>
      <c r="L13">
        <f>5741.7581</f>
        <v>5741.7581</v>
      </c>
    </row>
    <row r="14" spans="1:12" x14ac:dyDescent="0.25">
      <c r="A14">
        <f>0.72</f>
        <v>0.72</v>
      </c>
      <c r="B14">
        <f>45.56038285</f>
        <v>45.560382850000003</v>
      </c>
      <c r="C14">
        <f>41.33348966</f>
        <v>41.333489659999998</v>
      </c>
      <c r="D14">
        <f>19.46761724</f>
        <v>19.467617239999999</v>
      </c>
      <c r="E14">
        <f>60.8011069</f>
        <v>60.801106900000001</v>
      </c>
      <c r="F14">
        <f>42.75019333</f>
        <v>42.750193330000002</v>
      </c>
      <c r="G14">
        <f>38.78401723</f>
        <v>38.784017230000003</v>
      </c>
      <c r="H14">
        <f>4.55077052</f>
        <v>4.5507705200000004</v>
      </c>
      <c r="I14">
        <f>43.33478775</f>
        <v>43.334787749999997</v>
      </c>
      <c r="J14">
        <f>120.87596</f>
        <v>120.87596000000001</v>
      </c>
      <c r="K14">
        <f>6.2952313</f>
        <v>6.2952313000000002</v>
      </c>
      <c r="L14">
        <f>5506.2475</f>
        <v>5506.2475000000004</v>
      </c>
    </row>
    <row r="15" spans="1:12" x14ac:dyDescent="0.25">
      <c r="A15">
        <f>0.73</f>
        <v>0.73</v>
      </c>
      <c r="B15">
        <f>46.19316595</f>
        <v>46.193165950000001</v>
      </c>
      <c r="C15">
        <f>42.04883036</f>
        <v>42.048830359999997</v>
      </c>
      <c r="D15">
        <f>19.28365046</f>
        <v>19.28365046</v>
      </c>
      <c r="E15">
        <f>61.33248083</f>
        <v>61.332480830000002</v>
      </c>
      <c r="F15">
        <f>43.34394601</f>
        <v>43.343946010000003</v>
      </c>
      <c r="G15">
        <f>39.45523533</f>
        <v>39.455235330000001</v>
      </c>
      <c r="H15">
        <f>4.515593726</f>
        <v>4.5155937259999996</v>
      </c>
      <c r="I15">
        <f>43.97082906</f>
        <v>43.97082906</v>
      </c>
      <c r="J15">
        <f>117.30453</f>
        <v>117.30453</v>
      </c>
      <c r="K15">
        <f>6.422218</f>
        <v>6.422218</v>
      </c>
      <c r="L15">
        <f>5270.3588</f>
        <v>5270.3588</v>
      </c>
    </row>
    <row r="16" spans="1:12" x14ac:dyDescent="0.25">
      <c r="A16">
        <f>0.74</f>
        <v>0.74</v>
      </c>
      <c r="B16">
        <f>46.82594904</f>
        <v>46.825949039999998</v>
      </c>
      <c r="C16">
        <f>42.76446352</f>
        <v>42.76446352</v>
      </c>
      <c r="D16">
        <f>19.09903459</f>
        <v>19.099034589999999</v>
      </c>
      <c r="E16">
        <f>61.86349811</f>
        <v>61.863498110000002</v>
      </c>
      <c r="F16">
        <f>43.9376987</f>
        <v>43.937698699999999</v>
      </c>
      <c r="G16">
        <f>40.12672784</f>
        <v>40.126727840000001</v>
      </c>
      <c r="H16">
        <f>4.480438549</f>
        <v>4.4804385489999996</v>
      </c>
      <c r="I16">
        <f>44.60716639</f>
        <v>44.607166390000003</v>
      </c>
      <c r="J16">
        <f>113.57946</f>
        <v>113.57946</v>
      </c>
      <c r="K16">
        <f>6.5549114</f>
        <v>6.5549113999999999</v>
      </c>
      <c r="L16">
        <f>5034.0366</f>
        <v>5034.0366000000004</v>
      </c>
    </row>
    <row r="17" spans="1:12" x14ac:dyDescent="0.25">
      <c r="A17">
        <f>0.75</f>
        <v>0.75</v>
      </c>
      <c r="B17">
        <f>47.45873214</f>
        <v>47.458732140000002</v>
      </c>
      <c r="C17">
        <f>43.48043433</f>
        <v>43.480434330000001</v>
      </c>
      <c r="D17">
        <f>18.91366905</f>
        <v>18.913669049999999</v>
      </c>
      <c r="E17">
        <f>62.39410338</f>
        <v>62.394103379999997</v>
      </c>
      <c r="F17">
        <f>44.53145138</f>
        <v>44.53145138</v>
      </c>
      <c r="G17">
        <f>40.79853718</f>
        <v>40.798537179999997</v>
      </c>
      <c r="H17">
        <f>4.445296066</f>
        <v>4.445296066</v>
      </c>
      <c r="I17">
        <f>45.24383324</f>
        <v>45.243833240000001</v>
      </c>
      <c r="J17">
        <f>109.69885</f>
        <v>109.69884999999999</v>
      </c>
      <c r="K17">
        <f>6.6937794</f>
        <v>6.6937794000000004</v>
      </c>
      <c r="L17">
        <f>4797.2141</f>
        <v>4797.2141000000001</v>
      </c>
    </row>
    <row r="18" spans="1:12" x14ac:dyDescent="0.25">
      <c r="A18">
        <f>0.76</f>
        <v>0.76</v>
      </c>
      <c r="B18">
        <f>48.09151524</f>
        <v>48.09151524</v>
      </c>
      <c r="C18">
        <f>44.19679812</f>
        <v>44.196798119999997</v>
      </c>
      <c r="D18">
        <f>18.72743082</f>
        <v>18.727430819999999</v>
      </c>
      <c r="E18">
        <f>62.92422894</f>
        <v>62.924228939999999</v>
      </c>
      <c r="F18">
        <f>45.12520407</f>
        <v>45.125204070000002</v>
      </c>
      <c r="G18">
        <f>41.47071525</f>
        <v>41.470715249999998</v>
      </c>
      <c r="H18">
        <f>4.410154369</f>
        <v>4.4101543689999998</v>
      </c>
      <c r="I18">
        <f>45.88086962</f>
        <v>45.880869619999999</v>
      </c>
      <c r="J18">
        <f>105.66034</f>
        <v>105.66034000000001</v>
      </c>
      <c r="K18">
        <f>6.839358</f>
        <v>6.8393579999999998</v>
      </c>
      <c r="L18">
        <f>4559.8093</f>
        <v>4559.8092999999999</v>
      </c>
    </row>
    <row r="19" spans="1:12" x14ac:dyDescent="0.25">
      <c r="A19">
        <f>0.77</f>
        <v>0.77</v>
      </c>
      <c r="B19">
        <f>48.72429833</f>
        <v>48.724298330000003</v>
      </c>
      <c r="C19">
        <f>44.91362331</f>
        <v>44.913623309999998</v>
      </c>
      <c r="D19">
        <f>18.54016763</f>
        <v>18.540167629999999</v>
      </c>
      <c r="E19">
        <f>63.45379094</f>
        <v>63.453790939999998</v>
      </c>
      <c r="F19">
        <f>45.71895675</f>
        <v>45.718956749999997</v>
      </c>
      <c r="G19">
        <f>42.14332627</f>
        <v>42.143326270000003</v>
      </c>
      <c r="H19">
        <f>4.374997565</f>
        <v>4.3749975650000001</v>
      </c>
      <c r="I19">
        <f>46.51832383</f>
        <v>46.51832383</v>
      </c>
      <c r="J19">
        <f>101.461</f>
        <v>101.461</v>
      </c>
      <c r="K19">
        <f>6.9922676</f>
        <v>6.9922675999999999</v>
      </c>
      <c r="L19">
        <f>4321.7207</f>
        <v>4321.7206999999999</v>
      </c>
    </row>
    <row r="20" spans="1:12" x14ac:dyDescent="0.25">
      <c r="A20">
        <f>0.78</f>
        <v>0.78</v>
      </c>
      <c r="B20">
        <f>49.35708143</f>
        <v>49.357081430000001</v>
      </c>
      <c r="C20">
        <f>45.63099465</f>
        <v>45.630994649999998</v>
      </c>
      <c r="D20">
        <f>18.35169094</f>
        <v>18.351690940000001</v>
      </c>
      <c r="E20">
        <f>63.98268559</f>
        <v>63.982685590000003</v>
      </c>
      <c r="F20">
        <f>46.31270944</f>
        <v>46.312709439999999</v>
      </c>
      <c r="G20">
        <f>42.81644975</f>
        <v>42.816449749999997</v>
      </c>
      <c r="H20">
        <f>4.339804818</f>
        <v>4.3398048180000002</v>
      </c>
      <c r="I20">
        <f>47.15625457</f>
        <v>47.156254570000002</v>
      </c>
      <c r="J20">
        <f>97.098387</f>
        <v>97.098387000000002</v>
      </c>
      <c r="K20">
        <f>7.153234</f>
        <v>7.1532340000000003</v>
      </c>
      <c r="L20">
        <f>4082.8713</f>
        <v>4082.8712999999998</v>
      </c>
    </row>
    <row r="21" spans="1:12" x14ac:dyDescent="0.25">
      <c r="A21">
        <f>0.79</f>
        <v>0.79</v>
      </c>
      <c r="B21">
        <f>49.98986452</f>
        <v>49.989864519999998</v>
      </c>
      <c r="C21">
        <f>46.34902356</f>
        <v>46.349023559999999</v>
      </c>
      <c r="D21">
        <f>18.16175281</f>
        <v>18.161752809999999</v>
      </c>
      <c r="E21">
        <f>64.51077636</f>
        <v>64.510776359999994</v>
      </c>
      <c r="F21">
        <f>46.90646212</f>
        <v>46.90646212</v>
      </c>
      <c r="G21">
        <f>43.49019024</f>
        <v>43.490190239999997</v>
      </c>
      <c r="H21">
        <f>4.304546529</f>
        <v>4.3045465289999996</v>
      </c>
      <c r="I21">
        <f>47.79473677</f>
        <v>47.79473677</v>
      </c>
      <c r="J21">
        <f>92.565564</f>
        <v>92.565563999999995</v>
      </c>
      <c r="K21">
        <f>7.3231275</f>
        <v>7.3231275</v>
      </c>
      <c r="L21">
        <f>3843.0022</f>
        <v>3843.0021999999999</v>
      </c>
    </row>
    <row r="22" spans="1:12" x14ac:dyDescent="0.25">
      <c r="A22">
        <f>0.8</f>
        <v>0.8</v>
      </c>
      <c r="B22">
        <f>50.62264762</f>
        <v>50.622647620000002</v>
      </c>
      <c r="C22">
        <f>47.067851</f>
        <v>47.067850999999997</v>
      </c>
      <c r="D22">
        <f>17.9700395</f>
        <v>17.970039499999999</v>
      </c>
      <c r="E22">
        <f>65.03789049</f>
        <v>65.037890489999995</v>
      </c>
      <c r="F22">
        <f>47.50021481</f>
        <v>47.500214810000003</v>
      </c>
      <c r="G22">
        <f>44.16468</f>
        <v>44.164679999999997</v>
      </c>
      <c r="H22">
        <f>4.269183856</f>
        <v>4.2691838559999997</v>
      </c>
      <c r="I22">
        <f>48.43386386</f>
        <v>48.433863860000002</v>
      </c>
      <c r="J22">
        <f>87.857619</f>
        <v>87.857619</v>
      </c>
      <c r="K22">
        <f>7.5029973</f>
        <v>7.5029972999999996</v>
      </c>
      <c r="L22">
        <f>3601.9503</f>
        <v>3601.9503</v>
      </c>
    </row>
    <row r="23" spans="1:12" x14ac:dyDescent="0.25">
      <c r="A23">
        <f>0.81</f>
        <v>0.81</v>
      </c>
      <c r="B23">
        <f>51.25543071</f>
        <v>51.255430709999999</v>
      </c>
      <c r="C23">
        <f>47.78766503</f>
        <v>47.787665029999999</v>
      </c>
      <c r="D23">
        <f>17.77613244</f>
        <v>17.776132440000001</v>
      </c>
      <c r="E23">
        <f>65.56379747</f>
        <v>65.563797469999997</v>
      </c>
      <c r="F23">
        <f>48.09396749</f>
        <v>48.093967489999997</v>
      </c>
      <c r="G23">
        <f>44.84009551</f>
        <v>44.840095509999998</v>
      </c>
      <c r="H23">
        <f>4.233662463</f>
        <v>4.2336624629999999</v>
      </c>
      <c r="I23">
        <f>49.07375797</f>
        <v>49.073757970000003</v>
      </c>
      <c r="J23">
        <f>82.966586</f>
        <v>82.966586000000007</v>
      </c>
      <c r="K23">
        <f>7.694147</f>
        <v>7.6941470000000001</v>
      </c>
      <c r="L23">
        <f>3359.4368</f>
        <v>3359.4367999999999</v>
      </c>
    </row>
    <row r="24" spans="1:12" x14ac:dyDescent="0.25">
      <c r="A24">
        <f>0.82</f>
        <v>0.82</v>
      </c>
      <c r="B24">
        <f>51.88821381</f>
        <v>51.888213810000003</v>
      </c>
      <c r="C24">
        <f>48.5087213</f>
        <v>48.508721299999998</v>
      </c>
      <c r="D24">
        <f>17.57946255</f>
        <v>17.579462549999999</v>
      </c>
      <c r="E24">
        <f>66.08818385</f>
        <v>66.088183849999993</v>
      </c>
      <c r="F24">
        <f>48.68772018</f>
        <v>48.687720179999999</v>
      </c>
      <c r="G24">
        <f>45.51667664</f>
        <v>45.51667664</v>
      </c>
      <c r="H24">
        <f>4.197905622</f>
        <v>4.1979056220000004</v>
      </c>
      <c r="I24">
        <f>49.71458226</f>
        <v>49.71458226</v>
      </c>
      <c r="J24">
        <f>77.881651</f>
        <v>77.881651000000005</v>
      </c>
      <c r="K24">
        <f>7.8982382</f>
        <v>7.8982381999999998</v>
      </c>
      <c r="L24">
        <f>3115.0826</f>
        <v>3115.0826000000002</v>
      </c>
    </row>
    <row r="25" spans="1:12" x14ac:dyDescent="0.25">
      <c r="A25">
        <f>0.83</f>
        <v>0.83</v>
      </c>
      <c r="B25">
        <f>52.5209969</f>
        <v>52.5209969</v>
      </c>
      <c r="C25">
        <f>49.23137836</f>
        <v>49.231378360000001</v>
      </c>
      <c r="D25">
        <f>17.37923167</f>
        <v>17.379231669999999</v>
      </c>
      <c r="E25">
        <f>66.61061002</f>
        <v>66.610610019999996</v>
      </c>
      <c r="F25">
        <f>49.28147286</f>
        <v>49.281472860000001</v>
      </c>
      <c r="G25">
        <f>46.1947598</f>
        <v>46.1947598</v>
      </c>
      <c r="H25">
        <f>4.161802168</f>
        <v>4.1618021680000004</v>
      </c>
      <c r="I25">
        <f>50.35656197</f>
        <v>50.356561970000001</v>
      </c>
      <c r="J25">
        <f>72.587688</f>
        <v>72.587688</v>
      </c>
      <c r="K25">
        <f>8.1174626</f>
        <v>8.1174625999999996</v>
      </c>
      <c r="L25">
        <f>2868.3566</f>
        <v>2868.3566000000001</v>
      </c>
    </row>
    <row r="26" spans="1:12" x14ac:dyDescent="0.25">
      <c r="A26">
        <f>0.84</f>
        <v>0.84</v>
      </c>
      <c r="B26">
        <f>53.15378</f>
        <v>53.153779999999998</v>
      </c>
      <c r="C26">
        <f>49.95615908</f>
        <v>49.956159079999999</v>
      </c>
      <c r="D26">
        <f>17.17427567</f>
        <v>17.17427567</v>
      </c>
      <c r="E26">
        <f>67.13043475</f>
        <v>67.130434750000006</v>
      </c>
      <c r="F26">
        <f>49.87522555</f>
        <v>49.875225550000003</v>
      </c>
      <c r="G26">
        <f>46.87483565</f>
        <v>46.874835650000001</v>
      </c>
      <c r="H26">
        <f>4.125185472</f>
        <v>4.1251854720000001</v>
      </c>
      <c r="I26">
        <f>51.00002113</f>
        <v>51.00002113</v>
      </c>
      <c r="J26">
        <f>67.062712</f>
        <v>67.062712000000005</v>
      </c>
      <c r="K26">
        <f>8.3548402</f>
        <v>8.3548401999999999</v>
      </c>
      <c r="L26">
        <f>2618.485</f>
        <v>2618.4850000000001</v>
      </c>
    </row>
    <row r="27" spans="1:12" x14ac:dyDescent="0.25">
      <c r="A27">
        <f>0.85</f>
        <v>0.85</v>
      </c>
      <c r="B27">
        <f>53.78656309</f>
        <v>53.786563090000001</v>
      </c>
      <c r="C27">
        <f>50.68386577</f>
        <v>50.683865769999997</v>
      </c>
      <c r="D27">
        <f>16.96280824</f>
        <v>16.962808240000001</v>
      </c>
      <c r="E27">
        <f>67.64667402</f>
        <v>67.646674020000006</v>
      </c>
      <c r="F27">
        <f>50.46897823</f>
        <v>50.468978229999998</v>
      </c>
      <c r="G27">
        <f>47.557657</f>
        <v>47.557656999999999</v>
      </c>
      <c r="H27">
        <f>4.087794035</f>
        <v>4.0877940349999999</v>
      </c>
      <c r="I27">
        <f>51.64545103</f>
        <v>51.645451029999997</v>
      </c>
      <c r="J27">
        <f>61.273168</f>
        <v>61.273167999999998</v>
      </c>
      <c r="K27">
        <f>8.6147729</f>
        <v>8.6147729000000002</v>
      </c>
      <c r="L27">
        <f>2364.2842</f>
        <v>2364.2842000000001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7"/>
  <sheetViews>
    <sheetView workbookViewId="0">
      <selection activeCell="N31" sqref="N31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>38.46006345</f>
        <v>38.46006345</v>
      </c>
      <c r="C2">
        <f>33.182264</f>
        <v>33.182264000000004</v>
      </c>
      <c r="D2">
        <f>20.67833734</f>
        <v>20.678337339999999</v>
      </c>
      <c r="E2">
        <f>53.86060134</f>
        <v>53.860601340000002</v>
      </c>
      <c r="F2">
        <f>36.08782554</f>
        <v>36.087825539999997</v>
      </c>
      <c r="G2">
        <f>31.13556367</f>
        <v>31.13556367</v>
      </c>
      <c r="H2">
        <f>4.707746984</f>
        <v>4.7077469839999999</v>
      </c>
      <c r="I2">
        <f>35.84331065</f>
        <v>35.843310649999999</v>
      </c>
      <c r="J2">
        <f>151.7722</f>
        <v>151.7722</v>
      </c>
      <c r="K2">
        <f>5.0946681</f>
        <v>5.0946680999999998</v>
      </c>
      <c r="L2">
        <f>8296.392</f>
        <v>8296.3919999999998</v>
      </c>
    </row>
    <row r="3" spans="1:12" x14ac:dyDescent="0.25">
      <c r="A3">
        <f>0.61</f>
        <v>0.61</v>
      </c>
      <c r="B3">
        <f>39.10106451</f>
        <v>39.10106451</v>
      </c>
      <c r="C3">
        <f>33.90512996</f>
        <v>33.905129959999996</v>
      </c>
      <c r="D3">
        <f>20.49589153</f>
        <v>20.495891530000002</v>
      </c>
      <c r="E3">
        <f>54.40102149</f>
        <v>54.401021489999998</v>
      </c>
      <c r="F3">
        <f>36.6892893</f>
        <v>36.689289299999999</v>
      </c>
      <c r="G3">
        <f>31.81384285</f>
        <v>31.81384285</v>
      </c>
      <c r="H3">
        <f>4.671032703</f>
        <v>4.6710327029999998</v>
      </c>
      <c r="I3">
        <f>36.48487556</f>
        <v>36.484875559999999</v>
      </c>
      <c r="J3">
        <f>149.96139</f>
        <v>149.96138999999999</v>
      </c>
      <c r="K3">
        <f>5.1757431</f>
        <v>5.1757431</v>
      </c>
      <c r="L3">
        <f>8063.0228</f>
        <v>8063.0227999999997</v>
      </c>
    </row>
    <row r="4" spans="1:12" x14ac:dyDescent="0.25">
      <c r="A4">
        <f>0.62</f>
        <v>0.62</v>
      </c>
      <c r="B4">
        <f>39.74206556</f>
        <v>39.74206556</v>
      </c>
      <c r="C4">
        <f>34.62807577</f>
        <v>34.628075770000002</v>
      </c>
      <c r="D4">
        <f>20.31326903</f>
        <v>20.313269030000001</v>
      </c>
      <c r="E4">
        <f>54.94134481</f>
        <v>54.941344809999997</v>
      </c>
      <c r="F4">
        <f>37.29075305</f>
        <v>37.290753049999999</v>
      </c>
      <c r="G4">
        <f>32.49219697</f>
        <v>32.492196970000002</v>
      </c>
      <c r="H4">
        <f>4.634342519</f>
        <v>4.6343425189999996</v>
      </c>
      <c r="I4">
        <f>37.12653949</f>
        <v>37.126539489999999</v>
      </c>
      <c r="J4">
        <f>148.00596</f>
        <v>148.00595999999999</v>
      </c>
      <c r="K4">
        <f>5.2595232</f>
        <v>5.2595232000000003</v>
      </c>
      <c r="L4">
        <f>7829.5315</f>
        <v>7829.5315000000001</v>
      </c>
    </row>
    <row r="5" spans="1:12" x14ac:dyDescent="0.25">
      <c r="A5">
        <f>0.63</f>
        <v>0.63</v>
      </c>
      <c r="B5">
        <f>40.38306662</f>
        <v>40.383066620000001</v>
      </c>
      <c r="C5">
        <f>35.35110896</f>
        <v>35.351108959999998</v>
      </c>
      <c r="D5">
        <f>20.13045318</f>
        <v>20.13045318</v>
      </c>
      <c r="E5">
        <f>55.48156214</f>
        <v>55.481562140000001</v>
      </c>
      <c r="F5">
        <f>37.89221681</f>
        <v>37.892216810000001</v>
      </c>
      <c r="G5">
        <f>33.17063308</f>
        <v>33.170633080000002</v>
      </c>
      <c r="H5">
        <f>4.59767604</f>
        <v>4.5976760399999996</v>
      </c>
      <c r="I5">
        <f>37.76830912</f>
        <v>37.768309119999998</v>
      </c>
      <c r="J5">
        <f>145.90558</f>
        <v>145.90557999999999</v>
      </c>
      <c r="K5">
        <f>5.3461541</f>
        <v>5.3461540999999997</v>
      </c>
      <c r="L5">
        <f>7595.9069</f>
        <v>7595.9069</v>
      </c>
    </row>
    <row r="6" spans="1:12" x14ac:dyDescent="0.25">
      <c r="A6">
        <f>0.64</f>
        <v>0.64</v>
      </c>
      <c r="B6">
        <f>41.02406768</f>
        <v>41.024067680000002</v>
      </c>
      <c r="C6">
        <f>36.07423801</f>
        <v>36.074238010000002</v>
      </c>
      <c r="D6">
        <f>19.94742512</f>
        <v>19.947425119999998</v>
      </c>
      <c r="E6">
        <f>56.02166312</f>
        <v>56.021663119999999</v>
      </c>
      <c r="F6">
        <f>38.49368057</f>
        <v>38.493680570000002</v>
      </c>
      <c r="G6">
        <f>33.84915912</f>
        <v>33.849159120000003</v>
      </c>
      <c r="H6">
        <f>4.561032653</f>
        <v>4.5610326529999998</v>
      </c>
      <c r="I6">
        <f>38.41019178</f>
        <v>38.410191779999998</v>
      </c>
      <c r="J6">
        <f>143.65989</f>
        <v>143.65988999999999</v>
      </c>
      <c r="K6">
        <f>5.435793</f>
        <v>5.4357930000000003</v>
      </c>
      <c r="L6">
        <f>7362.1359</f>
        <v>7362.1359000000002</v>
      </c>
    </row>
    <row r="7" spans="1:12" x14ac:dyDescent="0.25">
      <c r="A7">
        <f>0.65</f>
        <v>0.65</v>
      </c>
      <c r="B7">
        <f>41.66506874</f>
        <v>41.665068740000002</v>
      </c>
      <c r="C7">
        <f>36.79747255</f>
        <v>36.797472550000002</v>
      </c>
      <c r="D7">
        <f>19.76416345</f>
        <v>19.764163450000002</v>
      </c>
      <c r="E7">
        <f>56.561636</f>
        <v>56.561636</v>
      </c>
      <c r="F7">
        <f>39.09514433</f>
        <v>39.095144329999997</v>
      </c>
      <c r="G7">
        <f>34.52778416</f>
        <v>34.527784160000003</v>
      </c>
      <c r="H7">
        <f>4.524411473</f>
        <v>4.5244114729999998</v>
      </c>
      <c r="I7">
        <f>39.05219563</f>
        <v>39.05219563</v>
      </c>
      <c r="J7">
        <f>141.26846</f>
        <v>141.26846</v>
      </c>
      <c r="K7">
        <f>5.5286101</f>
        <v>5.5286100999999999</v>
      </c>
      <c r="L7">
        <f>7128.2041</f>
        <v>7128.2040999999999</v>
      </c>
    </row>
    <row r="8" spans="1:12" x14ac:dyDescent="0.25">
      <c r="A8">
        <f>0.66</f>
        <v>0.66</v>
      </c>
      <c r="B8">
        <f>42.30606979</f>
        <v>42.306069790000002</v>
      </c>
      <c r="C8">
        <f>37.52082358</f>
        <v>37.520823579999998</v>
      </c>
      <c r="D8">
        <f>19.58064377</f>
        <v>19.580643769999998</v>
      </c>
      <c r="E8">
        <f>57.10146734</f>
        <v>57.101467339999999</v>
      </c>
      <c r="F8">
        <f>39.69660809</f>
        <v>39.696608089999998</v>
      </c>
      <c r="G8">
        <f>35.2065185</f>
        <v>35.206518500000001</v>
      </c>
      <c r="H8">
        <f>4.487811281</f>
        <v>4.4878112809999999</v>
      </c>
      <c r="I8">
        <f>39.69432978</f>
        <v>39.694329779999997</v>
      </c>
      <c r="J8">
        <f>138.73081</f>
        <v>138.73080999999999</v>
      </c>
      <c r="K8">
        <f>5.6247905</f>
        <v>5.6247904999999996</v>
      </c>
      <c r="L8">
        <f>6894.0948</f>
        <v>6894.0947999999999</v>
      </c>
    </row>
    <row r="9" spans="1:12" x14ac:dyDescent="0.25">
      <c r="A9">
        <f>0.67</f>
        <v>0.67</v>
      </c>
      <c r="B9">
        <f>42.94707085</f>
        <v>42.947070850000003</v>
      </c>
      <c r="C9">
        <f>38.24430368</f>
        <v>38.244303680000002</v>
      </c>
      <c r="D9">
        <f>19.39683809</f>
        <v>19.396838089999999</v>
      </c>
      <c r="E9">
        <f>57.64114178</f>
        <v>57.641141779999998</v>
      </c>
      <c r="F9">
        <f>40.29807185</f>
        <v>40.298071849999999</v>
      </c>
      <c r="G9">
        <f>35.88537395</f>
        <v>35.885373950000002</v>
      </c>
      <c r="H9">
        <f>4.451230439</f>
        <v>4.4512304389999997</v>
      </c>
      <c r="I9">
        <f>40.33660439</f>
        <v>40.336604389999998</v>
      </c>
      <c r="J9">
        <f>136.04638</f>
        <v>136.04638</v>
      </c>
      <c r="K9">
        <f>5.7245355</f>
        <v>5.7245355</v>
      </c>
      <c r="L9">
        <f>6659.7888</f>
        <v>6659.7888000000003</v>
      </c>
    </row>
    <row r="10" spans="1:12" x14ac:dyDescent="0.25">
      <c r="A10">
        <f>0.68</f>
        <v>0.68</v>
      </c>
      <c r="B10">
        <f>43.58807191</f>
        <v>43.588071909999996</v>
      </c>
      <c r="C10">
        <f>38.96792737</f>
        <v>38.967927369999998</v>
      </c>
      <c r="D10">
        <f>19.2127142</f>
        <v>19.212714200000001</v>
      </c>
      <c r="E10">
        <f>58.18064157</f>
        <v>58.180641569999999</v>
      </c>
      <c r="F10">
        <f>40.89953561</f>
        <v>40.899535610000001</v>
      </c>
      <c r="G10">
        <f>36.56436414</f>
        <v>36.564364140000002</v>
      </c>
      <c r="H10">
        <f>4.414666795</f>
        <v>4.4146667949999996</v>
      </c>
      <c r="I10">
        <f>40.97903093</f>
        <v>40.97903093</v>
      </c>
      <c r="J10">
        <f>133.21454</f>
        <v>133.21454</v>
      </c>
      <c r="K10">
        <f>5.8280651</f>
        <v>5.8280650999999999</v>
      </c>
      <c r="L10">
        <f>6425.2642</f>
        <v>6425.2641999999996</v>
      </c>
    </row>
    <row r="11" spans="1:12" x14ac:dyDescent="0.25">
      <c r="A11">
        <f>0.69</f>
        <v>0.69</v>
      </c>
      <c r="B11">
        <f>44.22907297</f>
        <v>44.229072969999997</v>
      </c>
      <c r="C11">
        <f>39.69171144</f>
        <v>39.691711439999999</v>
      </c>
      <c r="D11">
        <f>19.02823478</f>
        <v>19.028234779999998</v>
      </c>
      <c r="E11">
        <f>58.71994621</f>
        <v>58.719946210000003</v>
      </c>
      <c r="F11">
        <f>41.50099937</f>
        <v>41.500999370000002</v>
      </c>
      <c r="G11">
        <f>37.2435048</f>
        <v>37.243504799999997</v>
      </c>
      <c r="H11">
        <f>4.378117555</f>
        <v>4.3781175550000002</v>
      </c>
      <c r="I11">
        <f>41.62162236</f>
        <v>41.621622360000003</v>
      </c>
      <c r="J11">
        <f>130.23455</f>
        <v>130.23455000000001</v>
      </c>
      <c r="K11">
        <f>5.9356206</f>
        <v>5.9356206</v>
      </c>
      <c r="L11">
        <f>6190.4954</f>
        <v>6190.4953999999998</v>
      </c>
    </row>
    <row r="12" spans="1:12" x14ac:dyDescent="0.25">
      <c r="A12">
        <f>0.7</f>
        <v>0.7</v>
      </c>
      <c r="B12">
        <f>44.87007402</f>
        <v>44.870074019999997</v>
      </c>
      <c r="C12">
        <f>40.41567544</f>
        <v>40.415675440000001</v>
      </c>
      <c r="D12">
        <f>18.84335634</f>
        <v>18.84335634</v>
      </c>
      <c r="E12">
        <f>59.25903178</f>
        <v>59.259031780000001</v>
      </c>
      <c r="F12">
        <f>42.10246313</f>
        <v>42.102463129999997</v>
      </c>
      <c r="G12">
        <f>37.9228143</f>
        <v>37.922814299999999</v>
      </c>
      <c r="H12">
        <f>4.34157912</f>
        <v>4.3415791199999996</v>
      </c>
      <c r="I12">
        <f>42.26439342</f>
        <v>42.264393419999998</v>
      </c>
      <c r="J12">
        <f>127.10556</f>
        <v>127.10556</v>
      </c>
      <c r="K12">
        <f>6.0474676</f>
        <v>6.0474676000000001</v>
      </c>
      <c r="L12">
        <f>5955.4528</f>
        <v>5955.4528</v>
      </c>
    </row>
    <row r="13" spans="1:12" x14ac:dyDescent="0.25">
      <c r="A13">
        <f>0.71</f>
        <v>0.71</v>
      </c>
      <c r="B13">
        <f>45.51107508</f>
        <v>45.511075079999998</v>
      </c>
      <c r="C13">
        <f>41.13984231</f>
        <v>41.139842309999999</v>
      </c>
      <c r="D13">
        <f>18.65802792</f>
        <v>18.658027919999999</v>
      </c>
      <c r="E13">
        <f>59.79787023</f>
        <v>59.797870230000001</v>
      </c>
      <c r="F13">
        <f>42.70392689</f>
        <v>42.703926889999998</v>
      </c>
      <c r="G13">
        <f>38.60231416</f>
        <v>38.602314159999999</v>
      </c>
      <c r="H13">
        <f>4.305046885</f>
        <v>4.3050468850000003</v>
      </c>
      <c r="I13">
        <f>42.90736105</f>
        <v>42.907361049999999</v>
      </c>
      <c r="J13">
        <f>123.82656</f>
        <v>123.82656</v>
      </c>
      <c r="K13">
        <f>6.1639003</f>
        <v>6.1639002999999999</v>
      </c>
      <c r="L13">
        <f>5720.1015</f>
        <v>5720.1014999999998</v>
      </c>
    </row>
    <row r="14" spans="1:12" x14ac:dyDescent="0.25">
      <c r="A14">
        <f>0.72</f>
        <v>0.72</v>
      </c>
      <c r="B14">
        <f>46.15207614</f>
        <v>46.152076139999998</v>
      </c>
      <c r="C14">
        <f>41.86423913</f>
        <v>41.864239130000001</v>
      </c>
      <c r="D14">
        <f>18.4721893</f>
        <v>18.4721893</v>
      </c>
      <c r="E14">
        <f>60.33642843</f>
        <v>60.336428429999998</v>
      </c>
      <c r="F14">
        <f>43.30539064</f>
        <v>43.305390639999999</v>
      </c>
      <c r="G14">
        <f>39.28202979</f>
        <v>39.282029790000003</v>
      </c>
      <c r="H14">
        <f>4.268514962</f>
        <v>4.2685149620000002</v>
      </c>
      <c r="I14">
        <f>43.55054475</f>
        <v>43.55054475</v>
      </c>
      <c r="J14">
        <f>120.39637</f>
        <v>120.39637</v>
      </c>
      <c r="K14">
        <f>6.2852455</f>
        <v>6.2852455000000003</v>
      </c>
      <c r="L14">
        <f>5484.4005</f>
        <v>5484.4004999999997</v>
      </c>
    </row>
    <row r="15" spans="1:12" x14ac:dyDescent="0.25">
      <c r="A15">
        <f>0.73</f>
        <v>0.73</v>
      </c>
      <c r="B15">
        <f>46.7930772</f>
        <v>46.793077199999999</v>
      </c>
      <c r="C15">
        <f>42.58889813</f>
        <v>42.588898129999997</v>
      </c>
      <c r="D15">
        <f>18.28576881</f>
        <v>18.28576881</v>
      </c>
      <c r="E15">
        <f>60.87466694</f>
        <v>60.874666939999997</v>
      </c>
      <c r="F15">
        <f>43.9068544</f>
        <v>43.9068544</v>
      </c>
      <c r="G15">
        <f>39.96199142</f>
        <v>39.961991419999997</v>
      </c>
      <c r="H15">
        <f>4.231975841</f>
        <v>4.2319758409999997</v>
      </c>
      <c r="I15">
        <f>44.19396726</f>
        <v>44.193967260000001</v>
      </c>
      <c r="J15">
        <f>116.81357</f>
        <v>116.81357</v>
      </c>
      <c r="K15">
        <f>6.4118692</f>
        <v>6.4118691999999999</v>
      </c>
      <c r="L15">
        <f>5248.3006</f>
        <v>5248.3005999999996</v>
      </c>
    </row>
    <row r="16" spans="1:12" x14ac:dyDescent="0.25">
      <c r="A16">
        <f>0.74</f>
        <v>0.74</v>
      </c>
      <c r="B16">
        <f>47.43407825</f>
        <v>47.434078249999999</v>
      </c>
      <c r="C16">
        <f>43.313858</f>
        <v>43.313858000000003</v>
      </c>
      <c r="D16">
        <f>18.0986804</f>
        <v>18.098680399999999</v>
      </c>
      <c r="E16">
        <f>61.4125384</f>
        <v>61.412538400000003</v>
      </c>
      <c r="F16">
        <f>44.50831816</f>
        <v>44.508318160000002</v>
      </c>
      <c r="G16">
        <f>40.64223536</f>
        <v>40.642235360000001</v>
      </c>
      <c r="H16">
        <f>4.195419914</f>
        <v>4.1954199140000004</v>
      </c>
      <c r="I16">
        <f>44.83765528</f>
        <v>44.83765528</v>
      </c>
      <c r="J16">
        <f>113.07647</f>
        <v>113.07647</v>
      </c>
      <c r="K16">
        <f>6.5441836</f>
        <v>6.5441836000000002</v>
      </c>
      <c r="L16">
        <f>5011.743</f>
        <v>5011.7430000000004</v>
      </c>
    </row>
    <row r="17" spans="1:12" x14ac:dyDescent="0.25">
      <c r="A17">
        <f>0.75</f>
        <v>0.75</v>
      </c>
      <c r="B17">
        <f>48.07507931</f>
        <v>48.07507931</v>
      </c>
      <c r="C17">
        <f>44.03916563</f>
        <v>44.039165629999999</v>
      </c>
      <c r="D17">
        <f>17.91081977</f>
        <v>17.91081977</v>
      </c>
      <c r="E17">
        <f>61.9499854</f>
        <v>61.949985400000003</v>
      </c>
      <c r="F17">
        <f>45.10978192</f>
        <v>45.109781920000003</v>
      </c>
      <c r="G17">
        <f>41.32280562</f>
        <v>41.322805619999997</v>
      </c>
      <c r="H17">
        <f>4.158834861</f>
        <v>4.1588348609999999</v>
      </c>
      <c r="I17">
        <f>45.48164048</f>
        <v>45.481640480000003</v>
      </c>
      <c r="J17">
        <f>109.18302</f>
        <v>109.18302</v>
      </c>
      <c r="K17">
        <f>6.6826572</f>
        <v>6.6826572000000004</v>
      </c>
      <c r="L17">
        <f>4774.6563</f>
        <v>4774.6562999999996</v>
      </c>
    </row>
    <row r="18" spans="1:12" x14ac:dyDescent="0.25">
      <c r="A18">
        <f>0.76</f>
        <v>0.76</v>
      </c>
      <c r="B18">
        <f>48.71608037</f>
        <v>48.71608037</v>
      </c>
      <c r="C18">
        <f>44.76487848</f>
        <v>44.76487848</v>
      </c>
      <c r="D18">
        <f>17.72205909</f>
        <v>17.722059089999998</v>
      </c>
      <c r="E18">
        <f>62.48693758</f>
        <v>62.486937580000003</v>
      </c>
      <c r="F18">
        <f>45.71124568</f>
        <v>45.711245679999998</v>
      </c>
      <c r="G18">
        <f>42.0037561</f>
        <v>42.003756099999997</v>
      </c>
      <c r="H18">
        <f>4.122204797</f>
        <v>4.1222047970000002</v>
      </c>
      <c r="I18">
        <f>46.1259609</f>
        <v>46.125960900000003</v>
      </c>
      <c r="J18">
        <f>105.13071</f>
        <v>105.13070999999999</v>
      </c>
      <c r="K18">
        <f>6.827827</f>
        <v>6.8278270000000001</v>
      </c>
      <c r="L18">
        <f>4536.9529</f>
        <v>4536.9529000000002</v>
      </c>
    </row>
    <row r="19" spans="1:12" x14ac:dyDescent="0.25">
      <c r="A19">
        <f>0.77</f>
        <v>0.77</v>
      </c>
      <c r="B19">
        <f>49.35708143</f>
        <v>49.357081430000001</v>
      </c>
      <c r="C19">
        <f>45.49106671</f>
        <v>45.491066709999998</v>
      </c>
      <c r="D19">
        <f>17.53224226</f>
        <v>17.53224226</v>
      </c>
      <c r="E19">
        <f>63.02330898</f>
        <v>63.023308980000003</v>
      </c>
      <c r="F19">
        <f>46.31270944</f>
        <v>46.312709439999999</v>
      </c>
      <c r="G19">
        <f>42.68515265</f>
        <v>42.685152649999999</v>
      </c>
      <c r="H19">
        <f>4.085509565</f>
        <v>4.0855095649999997</v>
      </c>
      <c r="I19">
        <f>46.77066221</f>
        <v>46.770662209999998</v>
      </c>
      <c r="J19">
        <f>100.91766</f>
        <v>100.91766</v>
      </c>
      <c r="K19">
        <f>6.9803139</f>
        <v>6.9803138999999996</v>
      </c>
      <c r="L19">
        <f>4298.5771</f>
        <v>4298.5771000000004</v>
      </c>
    </row>
    <row r="20" spans="1:12" x14ac:dyDescent="0.25">
      <c r="A20">
        <f>0.78</f>
        <v>0.78</v>
      </c>
      <c r="B20">
        <f>49.99808248</f>
        <v>49.998082480000001</v>
      </c>
      <c r="C20">
        <f>46.21782191</f>
        <v>46.217821909999998</v>
      </c>
      <c r="D20">
        <f>17.34116549</f>
        <v>17.341165490000002</v>
      </c>
      <c r="E20">
        <f>63.5589874</f>
        <v>63.558987399999999</v>
      </c>
      <c r="F20">
        <f>46.9141732</f>
        <v>46.9141732</v>
      </c>
      <c r="G20">
        <f>43.36708118</f>
        <v>43.36708118</v>
      </c>
      <c r="H20">
        <f>4.048721286</f>
        <v>4.0487212860000001</v>
      </c>
      <c r="I20">
        <f>47.41580247</f>
        <v>47.415802470000003</v>
      </c>
      <c r="J20">
        <f>96.53757</f>
        <v>96.537570000000002</v>
      </c>
      <c r="K20">
        <f>7.140853</f>
        <v>7.1408529999999999</v>
      </c>
      <c r="L20">
        <f>4059.2896</f>
        <v>4059.2896000000001</v>
      </c>
    </row>
    <row r="21" spans="1:12" x14ac:dyDescent="0.25">
      <c r="A21">
        <f>0.79</f>
        <v>0.79</v>
      </c>
      <c r="B21">
        <f>50.63908354</f>
        <v>50.639083540000001</v>
      </c>
      <c r="C21">
        <f>46.94525762</f>
        <v>46.94525762</v>
      </c>
      <c r="D21">
        <f>17.14857606</f>
        <v>17.14857606</v>
      </c>
      <c r="E21">
        <f>64.09383368</f>
        <v>64.093833680000003</v>
      </c>
      <c r="F21">
        <f>47.51563696</f>
        <v>47.515636960000002</v>
      </c>
      <c r="G21">
        <f>44.04964826</f>
        <v>44.049648259999998</v>
      </c>
      <c r="H21">
        <f>4.011804533</f>
        <v>4.0118045330000003</v>
      </c>
      <c r="I21">
        <f>48.06145279</f>
        <v>48.061452789999997</v>
      </c>
      <c r="J21">
        <f>91.986601</f>
        <v>91.986600999999993</v>
      </c>
      <c r="K21">
        <f>7.310316</f>
        <v>7.3103160000000003</v>
      </c>
      <c r="L21">
        <f>3818.9657</f>
        <v>3818.9657000000002</v>
      </c>
    </row>
    <row r="22" spans="1:12" x14ac:dyDescent="0.25">
      <c r="A22">
        <f>0.8</f>
        <v>0.8</v>
      </c>
      <c r="B22">
        <f>51.2800846</f>
        <v>51.280084600000002</v>
      </c>
      <c r="C22">
        <f>47.67352289</f>
        <v>47.673522890000001</v>
      </c>
      <c r="D22">
        <f>16.95414226</f>
        <v>16.954142260000001</v>
      </c>
      <c r="E22">
        <f>64.62766515</f>
        <v>64.627665149999999</v>
      </c>
      <c r="F22">
        <f>48.11710072</f>
        <v>48.117100720000003</v>
      </c>
      <c r="G22">
        <f>44.73299372</f>
        <v>44.732993720000003</v>
      </c>
      <c r="H22">
        <f>3.974711113</f>
        <v>3.9747111130000001</v>
      </c>
      <c r="I22">
        <f>48.70770483</f>
        <v>48.707704829999997</v>
      </c>
      <c r="J22">
        <f>87.258251</f>
        <v>87.258251000000001</v>
      </c>
      <c r="K22">
        <f>7.4897651</f>
        <v>7.4897650999999996</v>
      </c>
      <c r="L22">
        <f>3577.3776</f>
        <v>3577.3775999999998</v>
      </c>
    </row>
    <row r="23" spans="1:12" x14ac:dyDescent="0.25">
      <c r="A23">
        <f>0.81</f>
        <v>0.81</v>
      </c>
      <c r="B23">
        <f>51.92108566</f>
        <v>51.921085660000003</v>
      </c>
      <c r="C23">
        <f>48.40281604</f>
        <v>48.402816039999998</v>
      </c>
      <c r="D23">
        <f>16.75742261</f>
        <v>16.757422609999999</v>
      </c>
      <c r="E23">
        <f>65.16023864</f>
        <v>65.160238640000003</v>
      </c>
      <c r="F23">
        <f>48.71856447</f>
        <v>48.718564469999997</v>
      </c>
      <c r="G23">
        <f>45.41730366</f>
        <v>45.417303660000002</v>
      </c>
      <c r="H23">
        <f>3.937375</f>
        <v>3.9373749999999998</v>
      </c>
      <c r="I23">
        <f>49.35467867</f>
        <v>49.354678669999998</v>
      </c>
      <c r="J23">
        <f>82.343869</f>
        <v>82.343868999999998</v>
      </c>
      <c r="K23">
        <f>7.6805226</f>
        <v>7.6805225999999998</v>
      </c>
      <c r="L23">
        <f>3334.2221</f>
        <v>3334.2221</v>
      </c>
    </row>
    <row r="24" spans="1:12" x14ac:dyDescent="0.25">
      <c r="A24">
        <f>0.82</f>
        <v>0.82</v>
      </c>
      <c r="B24">
        <f>52.56208671</f>
        <v>52.562086710000003</v>
      </c>
      <c r="C24">
        <f>49.1334081</f>
        <v>49.133408099999997</v>
      </c>
      <c r="D24">
        <f>16.55781375</f>
        <v>16.557813750000001</v>
      </c>
      <c r="E24">
        <f>65.69122185</f>
        <v>65.691221850000005</v>
      </c>
      <c r="F24">
        <f>49.32002823</f>
        <v>49.320028229999998</v>
      </c>
      <c r="G24">
        <f>46.10283241</f>
        <v>46.102832409999998</v>
      </c>
      <c r="H24">
        <f>3.899703649</f>
        <v>3.8997036490000001</v>
      </c>
      <c r="I24">
        <f>50.00253606</f>
        <v>50.002536059999997</v>
      </c>
      <c r="J24">
        <f>77.231651</f>
        <v>77.231650999999999</v>
      </c>
      <c r="K24">
        <f>7.8842822</f>
        <v>7.8842822000000004</v>
      </c>
      <c r="L24">
        <f>3089.0842</f>
        <v>3089.0841999999998</v>
      </c>
    </row>
    <row r="25" spans="1:12" x14ac:dyDescent="0.25">
      <c r="A25">
        <f>0.83</f>
        <v>0.83</v>
      </c>
      <c r="B25">
        <f>53.20308777</f>
        <v>53.203087770000003</v>
      </c>
      <c r="C25">
        <f>49.86568174</f>
        <v>49.865681739999999</v>
      </c>
      <c r="D25">
        <f>16.35446378</f>
        <v>16.35446378</v>
      </c>
      <c r="E25">
        <f>66.22014553</f>
        <v>66.220145529999996</v>
      </c>
      <c r="F25">
        <f>49.92149199</f>
        <v>49.92149199</v>
      </c>
      <c r="G25">
        <f>46.78993901</f>
        <v>46.789939009999998</v>
      </c>
      <c r="H25">
        <f>3.861563498</f>
        <v>3.8615634980000002</v>
      </c>
      <c r="I25">
        <f>50.65150251</f>
        <v>50.65150251</v>
      </c>
      <c r="J25">
        <f>71.904964</f>
        <v>71.904964000000007</v>
      </c>
      <c r="K25">
        <f>8.1032926</f>
        <v>8.1032925999999996</v>
      </c>
      <c r="L25">
        <f>2841.3783</f>
        <v>2841.3782999999999</v>
      </c>
    </row>
    <row r="26" spans="1:12" x14ac:dyDescent="0.25">
      <c r="A26">
        <f>0.84</f>
        <v>0.84</v>
      </c>
      <c r="B26">
        <f>53.84408883</f>
        <v>53.844088829999997</v>
      </c>
      <c r="C26">
        <f>50.60019993</f>
        <v>50.600199930000002</v>
      </c>
      <c r="D26">
        <f>16.14611925</f>
        <v>16.146119250000002</v>
      </c>
      <c r="E26">
        <f>66.74631918</f>
        <v>66.74631918</v>
      </c>
      <c r="F26">
        <f>50.52295575</f>
        <v>50.522955750000001</v>
      </c>
      <c r="G26">
        <f>47.47915171</f>
        <v>47.479151709999996</v>
      </c>
      <c r="H26">
        <f>3.822754347</f>
        <v>3.8227543470000001</v>
      </c>
      <c r="I26">
        <f>51.30190605</f>
        <v>51.301906049999999</v>
      </c>
      <c r="J26">
        <f>66.339407</f>
        <v>66.339406999999994</v>
      </c>
      <c r="K26">
        <f>8.3406785</f>
        <v>8.3406784999999992</v>
      </c>
      <c r="L26">
        <f>2590.2434</f>
        <v>2590.2433999999998</v>
      </c>
    </row>
    <row r="27" spans="1:12" x14ac:dyDescent="0.25">
      <c r="A27">
        <f>0.85</f>
        <v>0.85</v>
      </c>
      <c r="B27">
        <f>54.48508989</f>
        <v>54.485089889999998</v>
      </c>
      <c r="C27">
        <f>51.33783691</f>
        <v>51.33783691</v>
      </c>
      <c r="D27">
        <f>15.93083355</f>
        <v>15.930833549999999</v>
      </c>
      <c r="E27">
        <f>67.26867046</f>
        <v>67.268670459999996</v>
      </c>
      <c r="F27">
        <f>51.12441951</f>
        <v>51.124419510000003</v>
      </c>
      <c r="G27">
        <f>48.17129084</f>
        <v>48.171290839999998</v>
      </c>
      <c r="H27">
        <f>3.782960459</f>
        <v>3.7829604589999999</v>
      </c>
      <c r="I27">
        <f>51.95425129</f>
        <v>51.954251290000002</v>
      </c>
      <c r="J27">
        <f>60.497268</f>
        <v>60.497267999999998</v>
      </c>
      <c r="K27">
        <f>8.6010493</f>
        <v>8.6010492999999997</v>
      </c>
      <c r="L27">
        <f>2334.3454</f>
        <v>2334.3454000000002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7"/>
  <sheetViews>
    <sheetView workbookViewId="0">
      <selection activeCell="O33" sqref="O33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>38.95314119</f>
        <v>38.953141189999997</v>
      </c>
      <c r="C2">
        <f>33.60156443</f>
        <v>33.601564430000003</v>
      </c>
      <c r="D2">
        <f>19.71164056</f>
        <v>19.711640559999999</v>
      </c>
      <c r="E2">
        <f>53.31320499</f>
        <v>53.313204990000003</v>
      </c>
      <c r="F2">
        <f>36.55048997</f>
        <v>36.550489970000001</v>
      </c>
      <c r="G2">
        <f>31.52900142</f>
        <v>31.52900142</v>
      </c>
      <c r="H2">
        <f>4.444772424</f>
        <v>4.4447724239999999</v>
      </c>
      <c r="I2">
        <f>35.97377384</f>
        <v>35.97377384</v>
      </c>
      <c r="J2">
        <f>151.39318</f>
        <v>151.39318</v>
      </c>
      <c r="K2">
        <f>5.0881553</f>
        <v>5.0881553000000004</v>
      </c>
      <c r="L2">
        <f>8275.6731</f>
        <v>8275.6731</v>
      </c>
    </row>
    <row r="3" spans="1:12" x14ac:dyDescent="0.25">
      <c r="A3">
        <f>0.61</f>
        <v>0.61</v>
      </c>
      <c r="B3">
        <f>39.6023602</f>
        <v>39.6023602</v>
      </c>
      <c r="C3">
        <f>34.33370524</f>
        <v>34.33370524</v>
      </c>
      <c r="D3">
        <f>19.52683823</f>
        <v>19.526838229999999</v>
      </c>
      <c r="E3">
        <f>53.86054347</f>
        <v>53.860543470000003</v>
      </c>
      <c r="F3">
        <f>37.1596648</f>
        <v>37.159664800000002</v>
      </c>
      <c r="G3">
        <f>32.21598338</f>
        <v>32.215983379999997</v>
      </c>
      <c r="H3">
        <f>4.407072892</f>
        <v>4.4070728920000004</v>
      </c>
      <c r="I3">
        <f>36.62305627</f>
        <v>36.623056269999999</v>
      </c>
      <c r="J3">
        <f>149.57448</f>
        <v>149.57447999999999</v>
      </c>
      <c r="K3">
        <f>5.1690288</f>
        <v>5.1690288000000004</v>
      </c>
      <c r="L3">
        <f>8042.2196</f>
        <v>8042.2196000000004</v>
      </c>
    </row>
    <row r="4" spans="1:12" x14ac:dyDescent="0.25">
      <c r="A4">
        <f>0.62</f>
        <v>0.62</v>
      </c>
      <c r="B4">
        <f>40.25157922</f>
        <v>40.251579220000004</v>
      </c>
      <c r="C4">
        <f>35.06592765</f>
        <v>35.065927649999999</v>
      </c>
      <c r="D4">
        <f>19.3418553</f>
        <v>19.341855299999999</v>
      </c>
      <c r="E4">
        <f>54.40778296</f>
        <v>54.407782959999999</v>
      </c>
      <c r="F4">
        <f>37.76883963</f>
        <v>37.768839630000002</v>
      </c>
      <c r="G4">
        <f>32.90304191</f>
        <v>32.903041909999999</v>
      </c>
      <c r="H4">
        <f>4.369381522</f>
        <v>4.3693815220000003</v>
      </c>
      <c r="I4">
        <f>37.27242343</f>
        <v>37.272423430000003</v>
      </c>
      <c r="J4">
        <f>147.611</f>
        <v>147.61099999999999</v>
      </c>
      <c r="K4">
        <f>5.2525982</f>
        <v>5.2525982000000004</v>
      </c>
      <c r="L4">
        <f>7808.6384</f>
        <v>7808.6383999999998</v>
      </c>
    </row>
    <row r="5" spans="1:12" x14ac:dyDescent="0.25">
      <c r="A5">
        <f>0.63</f>
        <v>0.63</v>
      </c>
      <c r="B5">
        <f>40.90079824</f>
        <v>40.90079824</v>
      </c>
      <c r="C5">
        <f>35.79823938</f>
        <v>35.798239379999998</v>
      </c>
      <c r="D5">
        <f>19.15667467</f>
        <v>19.156674670000001</v>
      </c>
      <c r="E5">
        <f>54.95491405</f>
        <v>54.954914049999999</v>
      </c>
      <c r="F5">
        <f>38.37801447</f>
        <v>38.378014469999997</v>
      </c>
      <c r="G5">
        <f>33.59018424</f>
        <v>33.590184239999999</v>
      </c>
      <c r="H5">
        <f>4.331697068</f>
        <v>4.3316970680000004</v>
      </c>
      <c r="I5">
        <f>37.92188131</f>
        <v>37.921881310000003</v>
      </c>
      <c r="J5">
        <f>145.50241</f>
        <v>145.50241</v>
      </c>
      <c r="K5">
        <f>5.3390086</f>
        <v>5.3390085999999997</v>
      </c>
      <c r="L5">
        <f>7574.9175</f>
        <v>7574.9174999999996</v>
      </c>
    </row>
    <row r="6" spans="1:12" x14ac:dyDescent="0.25">
      <c r="A6">
        <f>0.64</f>
        <v>0.64</v>
      </c>
      <c r="B6">
        <f>41.55001726</f>
        <v>41.550017259999997</v>
      </c>
      <c r="C6">
        <f>36.53064913</f>
        <v>36.53064913</v>
      </c>
      <c r="D6">
        <f>18.97127698</f>
        <v>18.971276979999999</v>
      </c>
      <c r="E6">
        <f>55.50192611</f>
        <v>55.501926109999999</v>
      </c>
      <c r="F6">
        <f>38.9871893</f>
        <v>38.987189299999997</v>
      </c>
      <c r="G6">
        <f>34.27741855</f>
        <v>34.27741855</v>
      </c>
      <c r="H6">
        <f>4.294017991</f>
        <v>4.2940179909999996</v>
      </c>
      <c r="I6">
        <f>38.57143655</f>
        <v>38.571436550000001</v>
      </c>
      <c r="J6">
        <f>143.2483</f>
        <v>143.2483</v>
      </c>
      <c r="K6">
        <f>5.4284168</f>
        <v>5.4284167999999999</v>
      </c>
      <c r="L6">
        <f>7341.0432</f>
        <v>7341.0432000000001</v>
      </c>
    </row>
    <row r="7" spans="1:12" x14ac:dyDescent="0.25">
      <c r="A7">
        <f>0.65</f>
        <v>0.65</v>
      </c>
      <c r="B7">
        <f>42.19923628</f>
        <v>42.199236280000001</v>
      </c>
      <c r="C7">
        <f>37.2631668</f>
        <v>37.2631668</v>
      </c>
      <c r="D7">
        <f>18.78564025</f>
        <v>18.78564025</v>
      </c>
      <c r="E7">
        <f>56.04880705</f>
        <v>56.048807050000001</v>
      </c>
      <c r="F7">
        <f>39.59636413</f>
        <v>39.596364129999998</v>
      </c>
      <c r="G7">
        <f>34.96475413</f>
        <v>34.964754130000003</v>
      </c>
      <c r="H7">
        <f>4.2563424</f>
        <v>4.2563424000000003</v>
      </c>
      <c r="I7">
        <f>39.22109653</f>
        <v>39.221096529999997</v>
      </c>
      <c r="J7">
        <f>140.84824</f>
        <v>140.84824</v>
      </c>
      <c r="K7">
        <f>5.5209924</f>
        <v>5.5209923999999999</v>
      </c>
      <c r="L7">
        <f>7107.0003</f>
        <v>7107.0002999999997</v>
      </c>
    </row>
    <row r="8" spans="1:12" x14ac:dyDescent="0.25">
      <c r="A8">
        <f>0.66</f>
        <v>0.66</v>
      </c>
      <c r="B8">
        <f>42.8484553</f>
        <v>42.848455299999998</v>
      </c>
      <c r="C8">
        <f>37.99580369</f>
        <v>37.995803690000002</v>
      </c>
      <c r="D8">
        <f>18.59973939</f>
        <v>18.59973939</v>
      </c>
      <c r="E8">
        <f>56.59554308</f>
        <v>56.595543079999999</v>
      </c>
      <c r="F8">
        <f>40.20553896</f>
        <v>40.205538959999998</v>
      </c>
      <c r="G8">
        <f>35.65220158</f>
        <v>35.652201580000003</v>
      </c>
      <c r="H8">
        <f>4.218667976</f>
        <v>4.2186679759999999</v>
      </c>
      <c r="I8">
        <f>39.87086955</f>
        <v>39.870869550000002</v>
      </c>
      <c r="J8">
        <f>138.30171</f>
        <v>138.30171000000001</v>
      </c>
      <c r="K8">
        <f>5.6169198</f>
        <v>5.6169197999999998</v>
      </c>
      <c r="L8">
        <f>6872.771</f>
        <v>6872.7709999999997</v>
      </c>
    </row>
    <row r="9" spans="1:12" x14ac:dyDescent="0.25">
      <c r="A9">
        <f>0.67</f>
        <v>0.67</v>
      </c>
      <c r="B9">
        <f>43.49767432</f>
        <v>43.497674320000002</v>
      </c>
      <c r="C9">
        <f>38.72857275</f>
        <v>38.728572749999998</v>
      </c>
      <c r="D9">
        <f>18.41354561</f>
        <v>18.41354561</v>
      </c>
      <c r="E9">
        <f>57.14211837</f>
        <v>57.142118369999999</v>
      </c>
      <c r="F9">
        <f>40.8147138</f>
        <v>40.8147138</v>
      </c>
      <c r="G9">
        <f>36.33977304</f>
        <v>36.339773039999997</v>
      </c>
      <c r="H9">
        <f>4.180991876</f>
        <v>4.1809918760000002</v>
      </c>
      <c r="I9">
        <f>40.52076492</f>
        <v>40.520764919999998</v>
      </c>
      <c r="J9">
        <f>135.60813</f>
        <v>135.60812999999999</v>
      </c>
      <c r="K9">
        <f>5.7163998</f>
        <v>5.7163997999999996</v>
      </c>
      <c r="L9">
        <f>6638.3353</f>
        <v>6638.3352999999997</v>
      </c>
    </row>
    <row r="10" spans="1:12" x14ac:dyDescent="0.25">
      <c r="A10">
        <f>0.68</f>
        <v>0.68</v>
      </c>
      <c r="B10">
        <f>44.14689334</f>
        <v>44.146893339999998</v>
      </c>
      <c r="C10">
        <f>39.46148891</f>
        <v>39.46148891</v>
      </c>
      <c r="D10">
        <f>18.22702576</f>
        <v>18.22702576</v>
      </c>
      <c r="E10">
        <f>57.68851468</f>
        <v>57.688514679999997</v>
      </c>
      <c r="F10">
        <f>41.42388863</f>
        <v>41.42388863</v>
      </c>
      <c r="G10">
        <f>37.02748253</f>
        <v>37.02748253</v>
      </c>
      <c r="H10">
        <f>4.143310621</f>
        <v>4.1433106210000004</v>
      </c>
      <c r="I10">
        <f>41.17079315</f>
        <v>41.170793150000002</v>
      </c>
      <c r="J10">
        <f>132.76682</f>
        <v>132.76682</v>
      </c>
      <c r="K10">
        <f>5.8196518</f>
        <v>5.8196517999999999</v>
      </c>
      <c r="L10">
        <f>6403.6698</f>
        <v>6403.6697999999997</v>
      </c>
    </row>
    <row r="11" spans="1:12" x14ac:dyDescent="0.25">
      <c r="A11">
        <f>0.69</f>
        <v>0.69</v>
      </c>
      <c r="B11">
        <f>44.79611236</f>
        <v>44.796112360000002</v>
      </c>
      <c r="C11">
        <f>40.19456947</f>
        <v>40.194569469999998</v>
      </c>
      <c r="D11">
        <f>18.04014138</f>
        <v>18.040141380000001</v>
      </c>
      <c r="E11">
        <f>58.23471085</f>
        <v>58.234710849999999</v>
      </c>
      <c r="F11">
        <f>42.03306346</f>
        <v>42.033063460000001</v>
      </c>
      <c r="G11">
        <f>37.71534627</f>
        <v>37.715346269999998</v>
      </c>
      <c r="H11">
        <f>4.105619947</f>
        <v>4.1056199470000001</v>
      </c>
      <c r="I11">
        <f>41.82096622</f>
        <v>41.820966220000003</v>
      </c>
      <c r="J11">
        <f>129.77702</f>
        <v>129.77701999999999</v>
      </c>
      <c r="K11">
        <f>5.9269166</f>
        <v>5.9269166000000002</v>
      </c>
      <c r="L11">
        <f>6168.7475</f>
        <v>6168.7475000000004</v>
      </c>
    </row>
    <row r="12" spans="1:12" x14ac:dyDescent="0.25">
      <c r="A12">
        <f>0.7</f>
        <v>0.7</v>
      </c>
      <c r="B12">
        <f>45.44533138</f>
        <v>45.445331379999999</v>
      </c>
      <c r="C12">
        <f>40.92783459</f>
        <v>40.927834590000003</v>
      </c>
      <c r="D12">
        <f>17.85284765</f>
        <v>17.852847650000001</v>
      </c>
      <c r="E12">
        <f>58.78068224</f>
        <v>58.780682239999997</v>
      </c>
      <c r="F12">
        <f>42.64223829</f>
        <v>42.642238290000002</v>
      </c>
      <c r="G12">
        <f>38.4033832</f>
        <v>38.4033832</v>
      </c>
      <c r="H12">
        <f>4.067914621</f>
        <v>4.0679146209999999</v>
      </c>
      <c r="I12">
        <f>42.47129782</f>
        <v>42.471297819999997</v>
      </c>
      <c r="J12">
        <f>126.63782</f>
        <v>126.63782</v>
      </c>
      <c r="K12">
        <f>6.0384592</f>
        <v>6.0384592000000001</v>
      </c>
      <c r="L12">
        <f>5933.5369</f>
        <v>5933.5369000000001</v>
      </c>
    </row>
    <row r="13" spans="1:12" x14ac:dyDescent="0.25">
      <c r="A13">
        <f>0.71</f>
        <v>0.71</v>
      </c>
      <c r="B13">
        <f>46.0945504</f>
        <v>46.094550400000003</v>
      </c>
      <c r="C13">
        <f>41.66130795</f>
        <v>41.661307950000001</v>
      </c>
      <c r="D13">
        <f>17.66509193</f>
        <v>17.665091929999999</v>
      </c>
      <c r="E13">
        <f>59.32639988</f>
        <v>59.326399879999997</v>
      </c>
      <c r="F13">
        <f>43.25141313</f>
        <v>43.251413130000003</v>
      </c>
      <c r="G13">
        <f>39.09161551</f>
        <v>39.091615509999997</v>
      </c>
      <c r="H13">
        <f>4.030188204</f>
        <v>4.0301882039999999</v>
      </c>
      <c r="I13">
        <f>43.12180371</f>
        <v>43.121803710000002</v>
      </c>
      <c r="J13">
        <f>123.34814</f>
        <v>123.34814</v>
      </c>
      <c r="K13">
        <f>6.1545732</f>
        <v>6.1545731999999997</v>
      </c>
      <c r="L13">
        <f>5698.0012</f>
        <v>5698.0011999999997</v>
      </c>
    </row>
    <row r="14" spans="1:12" x14ac:dyDescent="0.25">
      <c r="A14">
        <f>0.72</f>
        <v>0.72</v>
      </c>
      <c r="B14">
        <f>46.74376942</f>
        <v>46.74376942</v>
      </c>
      <c r="C14">
        <f>42.39501752</f>
        <v>42.395017520000003</v>
      </c>
      <c r="D14">
        <f>17.47681201</f>
        <v>17.47681201</v>
      </c>
      <c r="E14">
        <f>59.87182953</f>
        <v>59.871829529999999</v>
      </c>
      <c r="F14">
        <f>43.86058796</f>
        <v>43.860587959999997</v>
      </c>
      <c r="G14">
        <f>39.78006947</f>
        <v>39.780069470000001</v>
      </c>
      <c r="H14">
        <f>3.99243274</f>
        <v>3.9924327399999999</v>
      </c>
      <c r="I14">
        <f>43.77250221</f>
        <v>43.772502209999999</v>
      </c>
      <c r="J14">
        <f>119.90674</f>
        <v>119.90674</v>
      </c>
      <c r="K14">
        <f>6.2755852</f>
        <v>6.2755852000000001</v>
      </c>
      <c r="L14">
        <f>5462.0964</f>
        <v>5462.0964000000004</v>
      </c>
    </row>
    <row r="15" spans="1:12" x14ac:dyDescent="0.25">
      <c r="A15">
        <f>0.73</f>
        <v>0.73</v>
      </c>
      <c r="B15">
        <f>47.39298844</f>
        <v>47.392988440000003</v>
      </c>
      <c r="C15">
        <f>43.12899665</f>
        <v>43.128996649999998</v>
      </c>
      <c r="D15">
        <f>17.28793373</f>
        <v>17.287933729999999</v>
      </c>
      <c r="E15">
        <f>60.41693038</f>
        <v>60.416930379999997</v>
      </c>
      <c r="F15">
        <f>44.46976279</f>
        <v>44.469762789999997</v>
      </c>
      <c r="G15">
        <f>40.46877637</f>
        <v>40.46877637</v>
      </c>
      <c r="H15">
        <f>3.95463836</f>
        <v>3.9546383600000001</v>
      </c>
      <c r="I15">
        <f>44.42341473</f>
        <v>44.423414729999998</v>
      </c>
      <c r="J15">
        <f>116.3121</f>
        <v>116.3121</v>
      </c>
      <c r="K15">
        <f>6.4018611</f>
        <v>6.4018610999999996</v>
      </c>
      <c r="L15">
        <f>5225.7704</f>
        <v>5225.7704000000003</v>
      </c>
    </row>
    <row r="16" spans="1:12" x14ac:dyDescent="0.25">
      <c r="A16">
        <f>0.74</f>
        <v>0.74</v>
      </c>
      <c r="B16">
        <f>48.04220746</f>
        <v>48.04220746</v>
      </c>
      <c r="C16">
        <f>43.86328544</f>
        <v>43.863285439999999</v>
      </c>
      <c r="D16">
        <f>17.09836792</f>
        <v>17.098367920000001</v>
      </c>
      <c r="E16">
        <f>60.96165336</f>
        <v>60.96165336</v>
      </c>
      <c r="F16">
        <f>45.07893763</f>
        <v>45.078937629999999</v>
      </c>
      <c r="G16">
        <f>41.15777382</f>
        <v>41.157773820000003</v>
      </c>
      <c r="H16">
        <f>3.916792748</f>
        <v>3.9167927480000002</v>
      </c>
      <c r="I16">
        <f>45.07456656</f>
        <v>45.074566560000001</v>
      </c>
      <c r="J16">
        <f>112.56244</f>
        <v>112.56244</v>
      </c>
      <c r="K16">
        <f>6.5338132</f>
        <v>6.5338132</v>
      </c>
      <c r="L16">
        <f>4988.9604</f>
        <v>4988.9603999999999</v>
      </c>
    </row>
    <row r="17" spans="1:12" x14ac:dyDescent="0.25">
      <c r="A17">
        <f>0.75</f>
        <v>0.75</v>
      </c>
      <c r="B17">
        <f>48.69142648</f>
        <v>48.691426479999997</v>
      </c>
      <c r="C17">
        <f>44.59793162</f>
        <v>44.597931619999997</v>
      </c>
      <c r="D17">
        <f>16.90800836</f>
        <v>16.90800836</v>
      </c>
      <c r="E17">
        <f>61.50593998</f>
        <v>61.505939980000001</v>
      </c>
      <c r="F17">
        <f>45.68811246</f>
        <v>45.688112459999999</v>
      </c>
      <c r="G17">
        <f>41.84710662</f>
        <v>41.847106619999998</v>
      </c>
      <c r="H17">
        <f>3.878880837</f>
        <v>3.8788808370000001</v>
      </c>
      <c r="I17">
        <f>45.72598746</f>
        <v>45.725987459999999</v>
      </c>
      <c r="J17">
        <f>108.65679</f>
        <v>108.65679</v>
      </c>
      <c r="K17">
        <f>6.6719092</f>
        <v>6.6719092</v>
      </c>
      <c r="L17">
        <f>4751.6439</f>
        <v>4751.6439</v>
      </c>
    </row>
    <row r="18" spans="1:12" x14ac:dyDescent="0.25">
      <c r="A18">
        <f>0.76</f>
        <v>0.76</v>
      </c>
      <c r="B18">
        <f>49.3406455</f>
        <v>49.340645500000001</v>
      </c>
      <c r="C18">
        <f>45.33299663</f>
        <v>45.332996629999997</v>
      </c>
      <c r="D18">
        <f>16.71671838</f>
        <v>16.71671838</v>
      </c>
      <c r="E18">
        <f>62.04971501</f>
        <v>62.04971501</v>
      </c>
      <c r="F18">
        <f>46.29728729</f>
        <v>46.29728729</v>
      </c>
      <c r="G18">
        <f>42.53683241</f>
        <v>42.536832410000002</v>
      </c>
      <c r="H18">
        <f>3.840882275</f>
        <v>3.8408822749999998</v>
      </c>
      <c r="I18">
        <f>46.37771469</f>
        <v>46.377714689999998</v>
      </c>
      <c r="J18">
        <f>104.59009</f>
        <v>104.59009</v>
      </c>
      <c r="K18">
        <f>6.8166904</f>
        <v>6.8166903999999997</v>
      </c>
      <c r="L18">
        <f>4513.6222</f>
        <v>4513.6221999999998</v>
      </c>
    </row>
    <row r="19" spans="1:12" x14ac:dyDescent="0.25">
      <c r="A19">
        <f>0.77</f>
        <v>0.77</v>
      </c>
      <c r="B19">
        <f>49.98986452</f>
        <v>49.989864519999998</v>
      </c>
      <c r="C19">
        <f>46.06855392</f>
        <v>46.068553919999999</v>
      </c>
      <c r="D19">
        <f>16.52433455</f>
        <v>16.524334549999999</v>
      </c>
      <c r="E19">
        <f>62.59288847</f>
        <v>62.592888469999998</v>
      </c>
      <c r="F19">
        <f>46.90646212</f>
        <v>46.90646212</v>
      </c>
      <c r="G19">
        <f>43.22702012</f>
        <v>43.227020119999999</v>
      </c>
      <c r="H19">
        <f>3.802772337</f>
        <v>3.8027723369999999</v>
      </c>
      <c r="I19">
        <f>47.02979246</f>
        <v>47.029792460000003</v>
      </c>
      <c r="J19">
        <f>100.36015</f>
        <v>100.36015</v>
      </c>
      <c r="K19">
        <f>6.9687809</f>
        <v>6.9687808999999996</v>
      </c>
      <c r="L19">
        <f>4274.83</f>
        <v>4274.83</v>
      </c>
    </row>
    <row r="20" spans="1:12" x14ac:dyDescent="0.25">
      <c r="A20">
        <f>0.78</f>
        <v>0.78</v>
      </c>
      <c r="B20">
        <f>50.63908354</f>
        <v>50.639083540000001</v>
      </c>
      <c r="C20">
        <f>46.80469709</f>
        <v>46.804697089999998</v>
      </c>
      <c r="D20">
        <f>16.33064855</f>
        <v>16.330648549999999</v>
      </c>
      <c r="E20">
        <f>63.13534564</f>
        <v>63.135345639999997</v>
      </c>
      <c r="F20">
        <f>47.51563696</f>
        <v>47.515636960000002</v>
      </c>
      <c r="G20">
        <f>43.91775757</f>
        <v>43.917757569999999</v>
      </c>
      <c r="H20">
        <f>3.764518562</f>
        <v>3.7645185620000001</v>
      </c>
      <c r="I20">
        <f>47.68227613</f>
        <v>47.682276129999998</v>
      </c>
      <c r="J20">
        <f>95.962776</f>
        <v>95.962776000000005</v>
      </c>
      <c r="K20">
        <f>7.1289169</f>
        <v>7.1289169000000001</v>
      </c>
      <c r="L20">
        <f>4035.1202</f>
        <v>4035.1201999999998</v>
      </c>
    </row>
    <row r="21" spans="1:12" x14ac:dyDescent="0.25">
      <c r="A21">
        <f>0.79</f>
        <v>0.79</v>
      </c>
      <c r="B21">
        <f>51.28830256</f>
        <v>51.288302559999998</v>
      </c>
      <c r="C21">
        <f>47.54154612</f>
        <v>47.54154612</v>
      </c>
      <c r="D21">
        <f>16.13539333</f>
        <v>16.135393329999999</v>
      </c>
      <c r="E21">
        <f>63.67693946</f>
        <v>63.67693946</v>
      </c>
      <c r="F21">
        <f>48.12481179</f>
        <v>48.124811790000003</v>
      </c>
      <c r="G21">
        <f>44.60915735</f>
        <v>44.609157349999997</v>
      </c>
      <c r="H21">
        <f>3.726078337</f>
        <v>3.7260783370000001</v>
      </c>
      <c r="I21">
        <f>48.33523569</f>
        <v>48.335235689999998</v>
      </c>
      <c r="J21">
        <f>91.392569</f>
        <v>91.392568999999995</v>
      </c>
      <c r="K21">
        <f>7.2979794</f>
        <v>7.2979794</v>
      </c>
      <c r="L21">
        <f>3794.3035</f>
        <v>3794.3035</v>
      </c>
    </row>
    <row r="22" spans="1:12" x14ac:dyDescent="0.25">
      <c r="A22">
        <f>0.8</f>
        <v>0.8</v>
      </c>
      <c r="B22">
        <f>51.93752158</f>
        <v>51.937521580000002</v>
      </c>
      <c r="C22">
        <f>48.27925779</f>
        <v>48.279257790000003</v>
      </c>
      <c r="D22">
        <f>15.93821995</f>
        <v>15.938219950000001</v>
      </c>
      <c r="E22">
        <f>64.21747775</f>
        <v>64.21747775</v>
      </c>
      <c r="F22">
        <f>48.73398662</f>
        <v>48.733986620000003</v>
      </c>
      <c r="G22">
        <f>45.30136656</f>
        <v>45.301366559999998</v>
      </c>
      <c r="H22">
        <f>3.687394771</f>
        <v>3.6873947710000001</v>
      </c>
      <c r="I22">
        <f>48.98876133</f>
        <v>48.988761330000003</v>
      </c>
      <c r="J22">
        <f>86.642479</f>
        <v>86.642478999999994</v>
      </c>
      <c r="K22">
        <f>7.4770433</f>
        <v>7.4770433000000001</v>
      </c>
      <c r="L22">
        <f>3552.1325</f>
        <v>3552.1325000000002</v>
      </c>
    </row>
    <row r="23" spans="1:12" x14ac:dyDescent="0.25">
      <c r="A23">
        <f>0.81</f>
        <v>0.81</v>
      </c>
      <c r="B23">
        <f>52.5867406</f>
        <v>52.586740599999999</v>
      </c>
      <c r="C23">
        <f>49.01804169</f>
        <v>49.018041689999997</v>
      </c>
      <c r="D23">
        <f>15.73866185</f>
        <v>15.73866185</v>
      </c>
      <c r="E23">
        <f>64.75670354</f>
        <v>64.756703540000004</v>
      </c>
      <c r="F23">
        <f>49.34316146</f>
        <v>49.343161459999997</v>
      </c>
      <c r="G23">
        <f>45.99458186</f>
        <v>45.994581859999997</v>
      </c>
      <c r="H23">
        <f>3.648390333</f>
        <v>3.648390333</v>
      </c>
      <c r="I23">
        <f>49.64297219</f>
        <v>49.642972190000002</v>
      </c>
      <c r="J23">
        <f>81.703089</f>
        <v>81.703089000000006</v>
      </c>
      <c r="K23">
        <f>7.6674521</f>
        <v>7.6674521000000002</v>
      </c>
      <c r="L23">
        <f>3308.276</f>
        <v>3308.2759999999998</v>
      </c>
    </row>
    <row r="24" spans="1:12" x14ac:dyDescent="0.25">
      <c r="A24">
        <f>0.82</f>
        <v>0.82</v>
      </c>
      <c r="B24">
        <f>53.23595962</f>
        <v>53.235959620000003</v>
      </c>
      <c r="C24">
        <f>49.75818583</f>
        <v>49.758185830000002</v>
      </c>
      <c r="D24">
        <f>15.53607779</f>
        <v>15.53607779</v>
      </c>
      <c r="E24">
        <f>65.29426362</f>
        <v>65.294263619999995</v>
      </c>
      <c r="F24">
        <f>49.95233629</f>
        <v>49.952336289999998</v>
      </c>
      <c r="G24">
        <f>46.6890735</f>
        <v>46.689073499999999</v>
      </c>
      <c r="H24">
        <f>3.608956648</f>
        <v>3.6089566479999999</v>
      </c>
      <c r="I24">
        <f>50.29803015</f>
        <v>50.298030150000002</v>
      </c>
      <c r="J24">
        <f>76.561457</f>
        <v>76.561457000000004</v>
      </c>
      <c r="K24">
        <f>7.8709358</f>
        <v>7.8709357999999998</v>
      </c>
      <c r="L24">
        <f>3062.278</f>
        <v>3062.2779999999998</v>
      </c>
    </row>
    <row r="25" spans="1:12" x14ac:dyDescent="0.25">
      <c r="A25">
        <f>0.83</f>
        <v>0.83</v>
      </c>
      <c r="B25">
        <f>53.88517864</f>
        <v>53.885178639999999</v>
      </c>
      <c r="C25">
        <f>50.50009988</f>
        <v>50.50009988</v>
      </c>
      <c r="D25">
        <f>15.3295557</f>
        <v>15.3295557</v>
      </c>
      <c r="E25">
        <f>65.82965557</f>
        <v>65.82965557</v>
      </c>
      <c r="F25">
        <f>50.56151112</f>
        <v>50.561511119999999</v>
      </c>
      <c r="G25">
        <f>47.38522588</f>
        <v>47.38522588</v>
      </c>
      <c r="H25">
        <f>3.568937289</f>
        <v>3.568937289</v>
      </c>
      <c r="I25">
        <f>50.95416317</f>
        <v>50.954163170000001</v>
      </c>
      <c r="J25">
        <f>71.199206</f>
        <v>71.199206000000004</v>
      </c>
      <c r="K25">
        <f>8.0898074</f>
        <v>8.0898073999999998</v>
      </c>
      <c r="L25">
        <f>2813.4897</f>
        <v>2813.4897000000001</v>
      </c>
    </row>
    <row r="26" spans="1:12" x14ac:dyDescent="0.25">
      <c r="A26">
        <f>0.84</f>
        <v>0.84</v>
      </c>
      <c r="B26">
        <f>54.53439766</f>
        <v>54.534397660000003</v>
      </c>
      <c r="C26">
        <f>51.2443924</f>
        <v>51.244392400000002</v>
      </c>
      <c r="D26">
        <f>15.11774052</f>
        <v>15.11774052</v>
      </c>
      <c r="E26">
        <f>66.36213292</f>
        <v>66.362132919999993</v>
      </c>
      <c r="F26">
        <f>51.17068595</f>
        <v>51.170685949999999</v>
      </c>
      <c r="G26">
        <f>48.08361003</f>
        <v>48.083610030000003</v>
      </c>
      <c r="H26">
        <f>3.528096918</f>
        <v>3.5280969180000001</v>
      </c>
      <c r="I26">
        <f>51.61170695</f>
        <v>51.611706949999999</v>
      </c>
      <c r="J26">
        <f>65.589097</f>
        <v>65.589096999999995</v>
      </c>
      <c r="K26">
        <f>8.3273113</f>
        <v>8.3273112999999999</v>
      </c>
      <c r="L26">
        <f>2560.9473</f>
        <v>2560.9472999999998</v>
      </c>
    </row>
    <row r="27" spans="1:12" x14ac:dyDescent="0.25">
      <c r="A27">
        <f>0.85</f>
        <v>0.85</v>
      </c>
      <c r="B27">
        <f>55.18361668</f>
        <v>55.18361668</v>
      </c>
      <c r="C27">
        <f>51.99201946</f>
        <v>51.992019460000002</v>
      </c>
      <c r="D27">
        <f>14.89850339</f>
        <v>14.89850339</v>
      </c>
      <c r="E27">
        <f>66.89052285</f>
        <v>66.890522849999996</v>
      </c>
      <c r="F27">
        <f>51.77986079</f>
        <v>51.779860790000001</v>
      </c>
      <c r="G27">
        <f>48.78512304</f>
        <v>48.785123040000002</v>
      </c>
      <c r="H27">
        <f>3.486061986</f>
        <v>3.4860619860000002</v>
      </c>
      <c r="I27">
        <f>52.27118503</f>
        <v>52.271185029999998</v>
      </c>
      <c r="J27">
        <f>59.689069</f>
        <v>59.689069000000003</v>
      </c>
      <c r="K27">
        <f>8.5882933</f>
        <v>8.5882933000000001</v>
      </c>
      <c r="L27">
        <f>2303.1602</f>
        <v>2303.1601999999998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27"/>
  <sheetViews>
    <sheetView workbookViewId="0"/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>39.44621892</f>
        <v>39.44621892</v>
      </c>
      <c r="C2">
        <f>34.02088456</f>
        <v>34.020884559999999</v>
      </c>
      <c r="D2">
        <f>18.74501635</f>
        <v>18.74501635</v>
      </c>
      <c r="E2">
        <f>52.76590091</f>
        <v>52.765900909999999</v>
      </c>
      <c r="F2">
        <f>37.0131544</f>
        <v>37.013154399999998</v>
      </c>
      <c r="G2">
        <f>31.92245765</f>
        <v>31.922457649999998</v>
      </c>
      <c r="H2">
        <f>4.186785659</f>
        <v>4.1867856589999999</v>
      </c>
      <c r="I2">
        <f>36.10924331</f>
        <v>36.109243309999997</v>
      </c>
      <c r="J2">
        <f>151.00702</f>
        <v>151.00702000000001</v>
      </c>
      <c r="K2">
        <f>5.08184</f>
        <v>5.0818399999999997</v>
      </c>
      <c r="L2">
        <f>8254.5646</f>
        <v>8254.5645999999997</v>
      </c>
    </row>
    <row r="3" spans="1:12" x14ac:dyDescent="0.25">
      <c r="A3">
        <f>0.61</f>
        <v>0.61</v>
      </c>
      <c r="B3">
        <f>40.1036559</f>
        <v>40.1036559</v>
      </c>
      <c r="C3">
        <f>34.76230063</f>
        <v>34.762300629999999</v>
      </c>
      <c r="D3">
        <f>18.55785661</f>
        <v>18.557856610000002</v>
      </c>
      <c r="E3">
        <f>53.32015724</f>
        <v>53.32015724</v>
      </c>
      <c r="F3">
        <f>37.6300403</f>
        <v>37.630040299999997</v>
      </c>
      <c r="G3">
        <f>32.61814276</f>
        <v>32.618142759999998</v>
      </c>
      <c r="H3">
        <f>4.148172249</f>
        <v>4.1481722489999999</v>
      </c>
      <c r="I3">
        <f>36.76631501</f>
        <v>36.76631501</v>
      </c>
      <c r="J3">
        <f>149.18022</f>
        <v>149.18021999999999</v>
      </c>
      <c r="K3">
        <f>5.1625188</f>
        <v>5.1625188</v>
      </c>
      <c r="L3">
        <f>8021.0216</f>
        <v>8021.0216</v>
      </c>
    </row>
    <row r="4" spans="1:12" x14ac:dyDescent="0.25">
      <c r="A4">
        <f>0.62</f>
        <v>0.62</v>
      </c>
      <c r="B4">
        <f>40.76109289</f>
        <v>40.76109289</v>
      </c>
      <c r="C4">
        <f>35.50380009</f>
        <v>35.503800089999999</v>
      </c>
      <c r="D4">
        <f>18.37051226</f>
        <v>18.370512260000002</v>
      </c>
      <c r="E4">
        <f>53.87431235</f>
        <v>53.874312349999997</v>
      </c>
      <c r="F4">
        <f>38.24692621</f>
        <v>38.246926209999998</v>
      </c>
      <c r="G4">
        <f>33.31390613</f>
        <v>33.313906129999999</v>
      </c>
      <c r="H4">
        <f>4.109553198</f>
        <v>4.1095531980000004</v>
      </c>
      <c r="I4">
        <f>37.42345933</f>
        <v>37.42345933</v>
      </c>
      <c r="J4">
        <f>147.20848</f>
        <v>147.20848000000001</v>
      </c>
      <c r="K4">
        <f>5.2458846</f>
        <v>5.2458846000000001</v>
      </c>
      <c r="L4">
        <f>7787.3447</f>
        <v>7787.3446999999996</v>
      </c>
    </row>
    <row r="5" spans="1:12" x14ac:dyDescent="0.25">
      <c r="A5">
        <f>0.63</f>
        <v>0.63</v>
      </c>
      <c r="B5">
        <f>41.41852987</f>
        <v>41.41852987</v>
      </c>
      <c r="C5">
        <f>36.24539086</f>
        <v>36.245390860000001</v>
      </c>
      <c r="D5">
        <f>18.18296574</f>
        <v>18.18296574</v>
      </c>
      <c r="E5">
        <f>54.4283566</f>
        <v>54.428356600000001</v>
      </c>
      <c r="F5">
        <f>38.86381212</f>
        <v>38.863812119999999</v>
      </c>
      <c r="G5">
        <f>34.00975517</f>
        <v>34.009755169999998</v>
      </c>
      <c r="H5">
        <f>4.070926508</f>
        <v>4.0709265080000003</v>
      </c>
      <c r="I5">
        <f>38.08068168</f>
        <v>38.080681679999998</v>
      </c>
      <c r="J5">
        <f>145.09142</f>
        <v>145.09142</v>
      </c>
      <c r="K5">
        <f>5.3320821</f>
        <v>5.3320821</v>
      </c>
      <c r="L5">
        <f>7553.5213</f>
        <v>7553.5213000000003</v>
      </c>
    </row>
    <row r="6" spans="1:12" x14ac:dyDescent="0.25">
      <c r="A6">
        <f>0.64</f>
        <v>0.64</v>
      </c>
      <c r="B6">
        <f>42.07596685</f>
        <v>42.07596685</v>
      </c>
      <c r="C6">
        <f>36.98708187</f>
        <v>36.987081869999997</v>
      </c>
      <c r="D6">
        <f>17.99519719</f>
        <v>17.995197189999999</v>
      </c>
      <c r="E6">
        <f>54.98227906</f>
        <v>54.982279060000003</v>
      </c>
      <c r="F6">
        <f>39.48069802</f>
        <v>39.480698019999998</v>
      </c>
      <c r="G6">
        <f>34.70569828</f>
        <v>34.70569828</v>
      </c>
      <c r="H6">
        <f>4.032289823</f>
        <v>4.0322898230000002</v>
      </c>
      <c r="I6">
        <f>38.7379881</f>
        <v>38.737988100000003</v>
      </c>
      <c r="J6">
        <f>142.82864</f>
        <v>142.82864000000001</v>
      </c>
      <c r="K6">
        <f>5.4212675</f>
        <v>5.4212674999999999</v>
      </c>
      <c r="L6">
        <f>7319.537</f>
        <v>7319.5370000000003</v>
      </c>
    </row>
    <row r="7" spans="1:12" x14ac:dyDescent="0.25">
      <c r="A7">
        <f>0.65</f>
        <v>0.65</v>
      </c>
      <c r="B7">
        <f>42.73340383</f>
        <v>42.73340383</v>
      </c>
      <c r="C7">
        <f>37.72888331</f>
        <v>37.728883310000001</v>
      </c>
      <c r="D7">
        <f>17.807184</f>
        <v>17.807183999999999</v>
      </c>
      <c r="E7">
        <f>55.53606731</f>
        <v>55.53606731</v>
      </c>
      <c r="F7">
        <f>40.09758393</f>
        <v>40.097583929999999</v>
      </c>
      <c r="G7">
        <f>35.40174499</f>
        <v>35.401744989999997</v>
      </c>
      <c r="H7">
        <f>3.993640363</f>
        <v>3.9936403629999999</v>
      </c>
      <c r="I7">
        <f>39.39538536</f>
        <v>39.395385359999999</v>
      </c>
      <c r="J7">
        <f>140.41968</f>
        <v>140.41968</v>
      </c>
      <c r="K7">
        <f>5.51361</f>
        <v>5.5136099999999999</v>
      </c>
      <c r="L7">
        <f>7085.3757</f>
        <v>7085.3756999999996</v>
      </c>
    </row>
    <row r="8" spans="1:12" x14ac:dyDescent="0.25">
      <c r="A8">
        <f>0.66</f>
        <v>0.66</v>
      </c>
      <c r="B8">
        <f>43.39084081</f>
        <v>43.39084081</v>
      </c>
      <c r="C8">
        <f>38.47080678</f>
        <v>38.470806779999997</v>
      </c>
      <c r="D8">
        <f>17.61890038</f>
        <v>17.618900379999999</v>
      </c>
      <c r="E8">
        <f>56.08970716</f>
        <v>56.089707160000003</v>
      </c>
      <c r="F8">
        <f>40.71446984</f>
        <v>40.71446984</v>
      </c>
      <c r="G8">
        <f>36.09790622</f>
        <v>36.097906219999999</v>
      </c>
      <c r="H8">
        <f>3.95497483</f>
        <v>3.9549748299999998</v>
      </c>
      <c r="I8">
        <f>40.05288105</f>
        <v>40.052881050000003</v>
      </c>
      <c r="J8">
        <f>137.86398</f>
        <v>137.86398</v>
      </c>
      <c r="K8">
        <f>5.6092935</f>
        <v>5.6092934999999997</v>
      </c>
      <c r="L8">
        <f>6851.0186</f>
        <v>6851.0186000000003</v>
      </c>
    </row>
    <row r="9" spans="1:12" x14ac:dyDescent="0.25">
      <c r="A9">
        <f>0.67</f>
        <v>0.67</v>
      </c>
      <c r="B9">
        <f>44.0482778</f>
        <v>44.048277800000001</v>
      </c>
      <c r="C9">
        <f>39.21286561</f>
        <v>39.212865610000001</v>
      </c>
      <c r="D9">
        <f>17.43031672</f>
        <v>17.43031672</v>
      </c>
      <c r="E9">
        <f>56.64318233</f>
        <v>56.643182330000002</v>
      </c>
      <c r="F9">
        <f>41.33135574</f>
        <v>41.331355739999999</v>
      </c>
      <c r="G9">
        <f>36.79419445</f>
        <v>36.794194449999999</v>
      </c>
      <c r="H9">
        <f>3.916289312</f>
        <v>3.916289312</v>
      </c>
      <c r="I9">
        <f>40.71048376</f>
        <v>40.710483760000002</v>
      </c>
      <c r="J9">
        <f>135.16094</f>
        <v>135.16094000000001</v>
      </c>
      <c r="K9">
        <f>5.7085181</f>
        <v>5.7085181</v>
      </c>
      <c r="L9">
        <f>6616.4444</f>
        <v>6616.4444000000003</v>
      </c>
    </row>
    <row r="10" spans="1:12" x14ac:dyDescent="0.25">
      <c r="A10">
        <f>0.68</f>
        <v>0.68</v>
      </c>
      <c r="B10">
        <f>44.70571478</f>
        <v>44.705714780000001</v>
      </c>
      <c r="C10">
        <f>39.95507517</f>
        <v>39.955075170000001</v>
      </c>
      <c r="D10">
        <f>17.24139886</f>
        <v>17.24139886</v>
      </c>
      <c r="E10">
        <f>57.19647403</f>
        <v>57.196474029999997</v>
      </c>
      <c r="F10">
        <f>41.94824165</f>
        <v>41.94824165</v>
      </c>
      <c r="G10">
        <f>37.49062411</f>
        <v>37.490624109999999</v>
      </c>
      <c r="H10">
        <f>3.877579145</f>
        <v>3.8775791449999999</v>
      </c>
      <c r="I10">
        <f>41.36820326</f>
        <v>41.368203260000001</v>
      </c>
      <c r="J10">
        <f>132.30984</f>
        <v>132.30984000000001</v>
      </c>
      <c r="K10">
        <f>5.8115028</f>
        <v>5.8115028000000004</v>
      </c>
      <c r="L10">
        <f>6381.6284</f>
        <v>6381.6283999999996</v>
      </c>
    </row>
    <row r="11" spans="1:12" x14ac:dyDescent="0.25">
      <c r="A11">
        <f>0.69</f>
        <v>0.69</v>
      </c>
      <c r="B11">
        <f>45.36315176</f>
        <v>45.363151760000001</v>
      </c>
      <c r="C11">
        <f>40.69745328</f>
        <v>40.697453279999998</v>
      </c>
      <c r="D11">
        <f>17.05210718</f>
        <v>17.05210718</v>
      </c>
      <c r="E11">
        <f>57.74956046</f>
        <v>57.749560459999998</v>
      </c>
      <c r="F11">
        <f>42.56512756</f>
        <v>42.565127560000001</v>
      </c>
      <c r="G11">
        <f>38.18721193</f>
        <v>38.187211929999997</v>
      </c>
      <c r="H11">
        <f>3.838838751</f>
        <v>3.8388387509999999</v>
      </c>
      <c r="I11">
        <f>42.02605069</f>
        <v>42.026050689999998</v>
      </c>
      <c r="J11">
        <f>129.30987</f>
        <v>129.30986999999999</v>
      </c>
      <c r="K11">
        <f>5.9184877</f>
        <v>5.9184877</v>
      </c>
      <c r="L11">
        <f>6146.5421</f>
        <v>6146.5420999999997</v>
      </c>
    </row>
    <row r="12" spans="1:12" x14ac:dyDescent="0.25">
      <c r="A12">
        <f>0.7</f>
        <v>0.7</v>
      </c>
      <c r="B12">
        <f>46.02058874</f>
        <v>46.020588740000001</v>
      </c>
      <c r="C12">
        <f>41.44002076</f>
        <v>41.440020760000003</v>
      </c>
      <c r="D12">
        <f>16.86239542</f>
        <v>16.862395419999999</v>
      </c>
      <c r="E12">
        <f>58.30241618</f>
        <v>58.302416180000002</v>
      </c>
      <c r="F12">
        <f>43.18201346</f>
        <v>43.18201346</v>
      </c>
      <c r="G12">
        <f>38.88397744</f>
        <v>38.883977440000002</v>
      </c>
      <c r="H12">
        <f>3.800061428</f>
        <v>3.8000614279999998</v>
      </c>
      <c r="I12">
        <f>42.68403886</f>
        <v>42.684038860000001</v>
      </c>
      <c r="J12">
        <f>126.16006</f>
        <v>126.16006</v>
      </c>
      <c r="K12">
        <f>6.0297377</f>
        <v>6.0297377000000001</v>
      </c>
      <c r="L12">
        <f>5911.1519</f>
        <v>5911.1518999999998</v>
      </c>
    </row>
    <row r="13" spans="1:12" x14ac:dyDescent="0.25">
      <c r="A13">
        <f>0.71</f>
        <v>0.71</v>
      </c>
      <c r="B13">
        <f>46.67802572</f>
        <v>46.678025720000001</v>
      </c>
      <c r="C13">
        <f>42.18280203</f>
        <v>42.182802029999998</v>
      </c>
      <c r="D13">
        <f>16.67220924</f>
        <v>16.672209240000001</v>
      </c>
      <c r="E13">
        <f>58.85501127</f>
        <v>58.855011269999999</v>
      </c>
      <c r="F13">
        <f>43.79889937</f>
        <v>43.798899370000001</v>
      </c>
      <c r="G13">
        <f>39.58094355</f>
        <v>39.580943550000001</v>
      </c>
      <c r="H13">
        <f>3.761239082</f>
        <v>3.7612390819999999</v>
      </c>
      <c r="I13">
        <f>43.34218263</f>
        <v>43.342182630000003</v>
      </c>
      <c r="J13">
        <f>122.85928</f>
        <v>122.85928</v>
      </c>
      <c r="K13">
        <f>6.1455457</f>
        <v>6.1455456999999996</v>
      </c>
      <c r="L13">
        <f>5675.4185</f>
        <v>5675.4184999999998</v>
      </c>
    </row>
    <row r="14" spans="1:12" x14ac:dyDescent="0.25">
      <c r="A14">
        <f>0.72</f>
        <v>0.72</v>
      </c>
      <c r="B14">
        <f>47.33546271</f>
        <v>47.335462710000002</v>
      </c>
      <c r="C14">
        <f>42.92582604</f>
        <v>42.925826039999997</v>
      </c>
      <c r="D14">
        <f>16.4814843</f>
        <v>16.481484300000002</v>
      </c>
      <c r="E14">
        <f>59.40731033</f>
        <v>59.407310330000001</v>
      </c>
      <c r="F14">
        <f>44.41578528</f>
        <v>44.415785280000001</v>
      </c>
      <c r="G14">
        <f>40.27813743</f>
        <v>40.278137430000001</v>
      </c>
      <c r="H14">
        <f>3.722361884</f>
        <v>3.7223618840000001</v>
      </c>
      <c r="I14">
        <f>44.00049931</f>
        <v>44.000499310000002</v>
      </c>
      <c r="J14">
        <f>119.4062</f>
        <v>119.4062</v>
      </c>
      <c r="K14">
        <f>6.2662383</f>
        <v>6.2662383000000004</v>
      </c>
      <c r="L14">
        <f>5439.2953</f>
        <v>5439.2952999999998</v>
      </c>
    </row>
    <row r="15" spans="1:12" x14ac:dyDescent="0.25">
      <c r="A15">
        <f>0.73</f>
        <v>0.73</v>
      </c>
      <c r="B15">
        <f>47.99289969</f>
        <v>47.992899690000002</v>
      </c>
      <c r="C15">
        <f>43.6691273</f>
        <v>43.6691273</v>
      </c>
      <c r="D15">
        <f>16.2901438</f>
        <v>16.290143799999999</v>
      </c>
      <c r="E15">
        <f>59.95927111</f>
        <v>59.959271110000003</v>
      </c>
      <c r="F15">
        <f>45.03267118</f>
        <v>45.032671180000001</v>
      </c>
      <c r="G15">
        <f>40.97559146</f>
        <v>40.975591459999997</v>
      </c>
      <c r="H15">
        <f>3.683417818</f>
        <v>3.6834178180000001</v>
      </c>
      <c r="I15">
        <f>44.65900928</f>
        <v>44.659009279999999</v>
      </c>
      <c r="J15">
        <f>115.79921</f>
        <v>115.79921</v>
      </c>
      <c r="K15">
        <f>6.3921813</f>
        <v>6.3921812999999998</v>
      </c>
      <c r="L15">
        <f>5202.7265</f>
        <v>5202.7264999999998</v>
      </c>
    </row>
    <row r="16" spans="1:12" x14ac:dyDescent="0.25">
      <c r="A16">
        <f>0.74</f>
        <v>0.74</v>
      </c>
      <c r="B16">
        <f>48.65033667</f>
        <v>48.650336670000002</v>
      </c>
      <c r="C16">
        <f>44.41274646</f>
        <v>44.412746460000001</v>
      </c>
      <c r="D16">
        <f>16.09809736</f>
        <v>16.098097360000001</v>
      </c>
      <c r="E16">
        <f>60.51084382</f>
        <v>60.510843819999998</v>
      </c>
      <c r="F16">
        <f>45.64955709</f>
        <v>45.649557090000002</v>
      </c>
      <c r="G16">
        <f>41.67334378</f>
        <v>41.673343780000003</v>
      </c>
      <c r="H16">
        <f>3.644392503</f>
        <v>3.6443925030000002</v>
      </c>
      <c r="I16">
        <f>45.31773629</f>
        <v>45.317736289999999</v>
      </c>
      <c r="J16">
        <f>112.03771</f>
        <v>112.03771</v>
      </c>
      <c r="K16">
        <f>6.5237861</f>
        <v>6.5237860999999997</v>
      </c>
      <c r="L16">
        <f>4965.7035</f>
        <v>4965.7034999999996</v>
      </c>
    </row>
    <row r="17" spans="1:12" x14ac:dyDescent="0.25">
      <c r="A17">
        <f>0.75</f>
        <v>0.75</v>
      </c>
      <c r="B17">
        <f>49.30777365</f>
        <v>49.307773650000001</v>
      </c>
      <c r="C17">
        <f>45.15673578</f>
        <v>45.156735779999998</v>
      </c>
      <c r="D17">
        <f>15.9052287</f>
        <v>15.9052287</v>
      </c>
      <c r="E17">
        <f>61.06196448</f>
        <v>61.06196448</v>
      </c>
      <c r="F17">
        <f>46.266443</f>
        <v>46.266443000000002</v>
      </c>
      <c r="G17">
        <f>42.37144343</f>
        <v>42.371443429999999</v>
      </c>
      <c r="H17">
        <f>3.605266784</f>
        <v>3.6052667839999999</v>
      </c>
      <c r="I17">
        <f>45.97671021</f>
        <v>45.97671021</v>
      </c>
      <c r="J17">
        <f>108.11682</f>
        <v>108.11682</v>
      </c>
      <c r="K17">
        <f>6.6615253</f>
        <v>6.6615253000000001</v>
      </c>
      <c r="L17">
        <f>4728.0305</f>
        <v>4728.0304999999998</v>
      </c>
    </row>
    <row r="18" spans="1:12" x14ac:dyDescent="0.25">
      <c r="A18">
        <f>0.76</f>
        <v>0.76</v>
      </c>
      <c r="B18">
        <f>49.96521063</f>
        <v>49.965210630000001</v>
      </c>
      <c r="C18">
        <f>45.90115661</f>
        <v>45.901156610000001</v>
      </c>
      <c r="D18">
        <f>15.71140129</f>
        <v>15.71140129</v>
      </c>
      <c r="E18">
        <f>61.6125579</f>
        <v>61.612557899999999</v>
      </c>
      <c r="F18">
        <f>46.8833289</f>
        <v>46.883328900000002</v>
      </c>
      <c r="G18">
        <f>43.06994797</f>
        <v>43.069947970000001</v>
      </c>
      <c r="H18">
        <f>3.566017967</f>
        <v>3.5660179670000001</v>
      </c>
      <c r="I18">
        <f>46.63596594</f>
        <v>46.635965939999998</v>
      </c>
      <c r="J18">
        <f>104.0349</f>
        <v>104.03489999999999</v>
      </c>
      <c r="K18">
        <f>6.8059381</f>
        <v>6.8059380999999997</v>
      </c>
      <c r="L18">
        <f>4489.6628</f>
        <v>4489.6628000000001</v>
      </c>
    </row>
    <row r="19" spans="1:12" x14ac:dyDescent="0.25">
      <c r="A19">
        <f>0.77</f>
        <v>0.77</v>
      </c>
      <c r="B19">
        <f>50.62264762</f>
        <v>50.622647620000002</v>
      </c>
      <c r="C19">
        <f>46.64608642</f>
        <v>46.646086420000003</v>
      </c>
      <c r="D19">
        <f>15.51644275</f>
        <v>15.51644275</v>
      </c>
      <c r="E19">
        <f>62.16252917</f>
        <v>62.162529169999999</v>
      </c>
      <c r="F19">
        <f>47.50021481</f>
        <v>47.500214810000003</v>
      </c>
      <c r="G19">
        <f>43.7689301</f>
        <v>43.768930099999999</v>
      </c>
      <c r="H19">
        <f>3.526616797</f>
        <v>3.526616797</v>
      </c>
      <c r="I19">
        <f>47.2955469</f>
        <v>47.295546899999998</v>
      </c>
      <c r="J19">
        <f>99.788358</f>
        <v>99.788358000000002</v>
      </c>
      <c r="K19">
        <f>6.9576531</f>
        <v>6.9576530999999999</v>
      </c>
      <c r="L19">
        <f>4250.4746</f>
        <v>4250.4745999999996</v>
      </c>
    </row>
    <row r="20" spans="1:12" x14ac:dyDescent="0.25">
      <c r="A20">
        <f>0.78</f>
        <v>0.78</v>
      </c>
      <c r="B20">
        <f>51.2800846</f>
        <v>51.280084600000002</v>
      </c>
      <c r="C20">
        <f>47.39162315</f>
        <v>47.391623150000001</v>
      </c>
      <c r="D20">
        <f>15.32013512</f>
        <v>15.32013512</v>
      </c>
      <c r="E20">
        <f>62.71175826</f>
        <v>62.711758260000003</v>
      </c>
      <c r="F20">
        <f>48.11710072</f>
        <v>48.117100720000003</v>
      </c>
      <c r="G20">
        <f>44.46848171</f>
        <v>44.468481709999999</v>
      </c>
      <c r="H20">
        <f>3.487025657</f>
        <v>3.4870256569999998</v>
      </c>
      <c r="I20">
        <f>47.95550737</f>
        <v>47.955507369999999</v>
      </c>
      <c r="J20">
        <f>95.372665</f>
        <v>95.372664999999998</v>
      </c>
      <c r="K20">
        <f>7.117412</f>
        <v>7.1174119999999998</v>
      </c>
      <c r="L20">
        <f>4010.3067</f>
        <v>4010.3067000000001</v>
      </c>
    </row>
    <row r="21" spans="1:12" x14ac:dyDescent="0.25">
      <c r="A21">
        <f>0.79</f>
        <v>0.79</v>
      </c>
      <c r="B21">
        <f>51.93752158</f>
        <v>51.937521580000002</v>
      </c>
      <c r="C21">
        <f>48.13789272</f>
        <v>48.137892720000004</v>
      </c>
      <c r="D21">
        <f>15.12219808</f>
        <v>15.12219808</v>
      </c>
      <c r="E21">
        <f>63.2600908</f>
        <v>63.2600908</v>
      </c>
      <c r="F21">
        <f>48.73398662</f>
        <v>48.733986620000003</v>
      </c>
      <c r="G21">
        <f>45.16872096</f>
        <v>45.168720960000002</v>
      </c>
      <c r="H21">
        <f>3.447195429</f>
        <v>3.4471954290000002</v>
      </c>
      <c r="I21">
        <f>48.61591639</f>
        <v>48.615916390000002</v>
      </c>
      <c r="J21">
        <f>90.781978</f>
        <v>90.781977999999995</v>
      </c>
      <c r="K21">
        <f>7.2861043</f>
        <v>7.2861042999999999</v>
      </c>
      <c r="L21">
        <f>3768.9539</f>
        <v>3768.9539</v>
      </c>
    </row>
    <row r="22" spans="1:12" x14ac:dyDescent="0.25">
      <c r="A22">
        <f>0.8</f>
        <v>0.8</v>
      </c>
      <c r="B22">
        <f>52.59495856</f>
        <v>52.594958560000002</v>
      </c>
      <c r="C22">
        <f>48.88506035</f>
        <v>48.885060350000003</v>
      </c>
      <c r="D22">
        <f>14.92226387</f>
        <v>14.92226387</v>
      </c>
      <c r="E22">
        <f>63.80732422</f>
        <v>63.807324219999998</v>
      </c>
      <c r="F22">
        <f>49.35087253</f>
        <v>49.350872529999997</v>
      </c>
      <c r="G22">
        <f>45.86980289</f>
        <v>45.869802890000003</v>
      </c>
      <c r="H22">
        <f>3.407060769</f>
        <v>3.4070607690000001</v>
      </c>
      <c r="I22">
        <f>49.27686365</f>
        <v>49.276863650000003</v>
      </c>
      <c r="J22">
        <f>86.008634</f>
        <v>86.008634000000001</v>
      </c>
      <c r="K22">
        <f>7.4648192</f>
        <v>7.4648192</v>
      </c>
      <c r="L22">
        <f>3526.1464</f>
        <v>3526.1464000000001</v>
      </c>
    </row>
    <row r="23" spans="1:12" x14ac:dyDescent="0.25">
      <c r="A23">
        <f>0.81</f>
        <v>0.81</v>
      </c>
      <c r="B23">
        <f>53.25239554</f>
        <v>53.252395540000002</v>
      </c>
      <c r="C23">
        <f>49.63334802</f>
        <v>49.63334802</v>
      </c>
      <c r="D23">
        <f>14.71983833</f>
        <v>14.71983833</v>
      </c>
      <c r="E23">
        <f>64.35318634</f>
        <v>64.353186339999993</v>
      </c>
      <c r="F23">
        <f>49.96775844</f>
        <v>49.967758439999997</v>
      </c>
      <c r="G23">
        <f>46.57193575</f>
        <v>46.571935750000002</v>
      </c>
      <c r="H23">
        <f>3.366532786</f>
        <v>3.3665327860000001</v>
      </c>
      <c r="I23">
        <f>49.93846854</f>
        <v>49.938468540000002</v>
      </c>
      <c r="J23">
        <f>81.042331</f>
        <v>81.042331000000004</v>
      </c>
      <c r="K23">
        <f>7.6549243</f>
        <v>7.6549243000000002</v>
      </c>
      <c r="L23">
        <f>3281.5209</f>
        <v>3281.5209</v>
      </c>
    </row>
    <row r="24" spans="1:12" x14ac:dyDescent="0.25">
      <c r="A24">
        <f>0.82</f>
        <v>0.82</v>
      </c>
      <c r="B24">
        <f>53.90983253</f>
        <v>53.909832530000003</v>
      </c>
      <c r="C24">
        <f>50.38306267</f>
        <v>50.383062670000001</v>
      </c>
      <c r="D24">
        <f>14.51423803</f>
        <v>14.51423803</v>
      </c>
      <c r="E24">
        <f>64.8973007</f>
        <v>64.897300700000002</v>
      </c>
      <c r="F24">
        <f>50.58464434</f>
        <v>50.584644339999997</v>
      </c>
      <c r="G24">
        <f>47.27540759</f>
        <v>47.27540759</v>
      </c>
      <c r="H24">
        <f>3.325487173</f>
        <v>3.325487173</v>
      </c>
      <c r="I24">
        <f>50.60089477</f>
        <v>50.600894769999996</v>
      </c>
      <c r="J24">
        <f>75.868822</f>
        <v>75.868821999999994</v>
      </c>
      <c r="K24">
        <f>7.8581907</f>
        <v>7.8581906999999998</v>
      </c>
      <c r="L24">
        <f>3034.5742</f>
        <v>3034.5742</v>
      </c>
    </row>
    <row r="25" spans="1:12" x14ac:dyDescent="0.25">
      <c r="A25">
        <f>0.83</f>
        <v>0.83</v>
      </c>
      <c r="B25">
        <f>54.56726951</f>
        <v>54.567269510000003</v>
      </c>
      <c r="C25">
        <f>51.13464441</f>
        <v>51.13464441</v>
      </c>
      <c r="D25">
        <f>14.30448305</f>
        <v>14.30448305</v>
      </c>
      <c r="E25">
        <f>65.43912746</f>
        <v>65.439127459999995</v>
      </c>
      <c r="F25">
        <f>51.20153025</f>
        <v>51.201530249999998</v>
      </c>
      <c r="G25">
        <f>47.98063136</f>
        <v>47.980631359999997</v>
      </c>
      <c r="H25">
        <f>3.28374397</f>
        <v>3.2837439700000002</v>
      </c>
      <c r="I25">
        <f>51.26437533</f>
        <v>51.26437533</v>
      </c>
      <c r="J25">
        <f>70.46769</f>
        <v>70.467690000000005</v>
      </c>
      <c r="K25">
        <f>8.0770043</f>
        <v>8.0770043000000005</v>
      </c>
      <c r="L25">
        <f>2784.5833</f>
        <v>2784.5832999999998</v>
      </c>
    </row>
    <row r="26" spans="1:12" x14ac:dyDescent="0.25">
      <c r="A26">
        <f>0.84</f>
        <v>0.84</v>
      </c>
      <c r="B26">
        <f>55.22470649</f>
        <v>55.224706490000003</v>
      </c>
      <c r="C26">
        <f>51.88875418</f>
        <v>51.888754179999999</v>
      </c>
      <c r="D26">
        <f>14.08910166</f>
        <v>14.089101660000001</v>
      </c>
      <c r="E26">
        <f>65.97785585</f>
        <v>65.977855849999997</v>
      </c>
      <c r="F26">
        <f>51.81841616</f>
        <v>51.818416159999998</v>
      </c>
      <c r="G26">
        <f>48.68822723</f>
        <v>48.688227230000003</v>
      </c>
      <c r="H26">
        <f>3.241030661</f>
        <v>3.2410306609999999</v>
      </c>
      <c r="I26">
        <f>51.92925789</f>
        <v>51.929257890000002</v>
      </c>
      <c r="J26">
        <f>64.808324</f>
        <v>64.808323999999999</v>
      </c>
      <c r="K26">
        <f>8.3147481</f>
        <v>8.3147480999999992</v>
      </c>
      <c r="L26">
        <f>2530.4617</f>
        <v>2530.4616999999998</v>
      </c>
    </row>
    <row r="27" spans="1:12" x14ac:dyDescent="0.25">
      <c r="A27">
        <f>0.85</f>
        <v>0.85</v>
      </c>
      <c r="B27">
        <f>55.88214347</f>
        <v>55.882143470000003</v>
      </c>
      <c r="C27">
        <f>52.64644579</f>
        <v>52.646445790000001</v>
      </c>
      <c r="D27">
        <f>13.86574721</f>
        <v>13.86574721</v>
      </c>
      <c r="E27">
        <f>66.512193</f>
        <v>66.512192999999996</v>
      </c>
      <c r="F27">
        <f>52.43530206</f>
        <v>52.435302059999998</v>
      </c>
      <c r="G27">
        <f>49.399184</f>
        <v>49.399183999999998</v>
      </c>
      <c r="H27">
        <f>3.196909758</f>
        <v>3.1969097579999999</v>
      </c>
      <c r="I27">
        <f>52.59609376</f>
        <v>52.596093760000002</v>
      </c>
      <c r="J27">
        <f>58.842775</f>
        <v>58.842775000000003</v>
      </c>
      <c r="K27">
        <f>8.5765492</f>
        <v>8.5765492000000005</v>
      </c>
      <c r="L27">
        <f>2270.5052</f>
        <v>2270.5052000000001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27"/>
  <sheetViews>
    <sheetView workbookViewId="0"/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>39.93929666</f>
        <v>39.939296659999997</v>
      </c>
      <c r="C2">
        <f>34.44022491</f>
        <v>34.440224909999998</v>
      </c>
      <c r="D2">
        <f>17.77846501</f>
        <v>17.778465010000001</v>
      </c>
      <c r="E2">
        <f>52.21868992</f>
        <v>52.218689920000003</v>
      </c>
      <c r="F2">
        <f>37.47581883</f>
        <v>37.475818830000001</v>
      </c>
      <c r="G2">
        <f>32.31593285</f>
        <v>32.315932850000003</v>
      </c>
      <c r="H2">
        <f>3.933647273</f>
        <v>3.9336472730000001</v>
      </c>
      <c r="I2">
        <f>36.24958012</f>
        <v>36.249580119999997</v>
      </c>
      <c r="J2">
        <f>150.61314</f>
        <v>150.61313999999999</v>
      </c>
      <c r="K2">
        <f>5.0757146</f>
        <v>5.0757146000000004</v>
      </c>
      <c r="L2">
        <f>8233.0336</f>
        <v>8233.0336000000007</v>
      </c>
    </row>
    <row r="3" spans="1:12" x14ac:dyDescent="0.25">
      <c r="A3">
        <f>0.61</f>
        <v>0.61</v>
      </c>
      <c r="B3">
        <f>40.6049516</f>
        <v>40.6049516</v>
      </c>
      <c r="C3">
        <f>35.19091667</f>
        <v>35.19091667</v>
      </c>
      <c r="D3">
        <f>17.58894692</f>
        <v>17.588946920000001</v>
      </c>
      <c r="E3">
        <f>52.77986358</f>
        <v>52.779863579999997</v>
      </c>
      <c r="F3">
        <f>38.10041581</f>
        <v>38.100415810000001</v>
      </c>
      <c r="G3">
        <f>33.02032153</f>
        <v>33.020321529999997</v>
      </c>
      <c r="H3">
        <f>3.894190045</f>
        <v>3.8941900450000002</v>
      </c>
      <c r="I3">
        <f>36.91451157</f>
        <v>36.914511570000002</v>
      </c>
      <c r="J3">
        <f>148.778</f>
        <v>148.77799999999999</v>
      </c>
      <c r="K3">
        <f>5.1562051</f>
        <v>5.1562051000000002</v>
      </c>
      <c r="L3">
        <f>7999.3951</f>
        <v>7999.3950999999997</v>
      </c>
    </row>
    <row r="4" spans="1:12" x14ac:dyDescent="0.25">
      <c r="A4">
        <f>0.62</f>
        <v>0.62</v>
      </c>
      <c r="B4">
        <f>41.27060655</f>
        <v>41.270606549999997</v>
      </c>
      <c r="C4">
        <f>35.94169366</f>
        <v>35.941693659999999</v>
      </c>
      <c r="D4">
        <f>17.39924008</f>
        <v>17.399240079999998</v>
      </c>
      <c r="E4">
        <f>53.34093374</f>
        <v>53.340933739999997</v>
      </c>
      <c r="F4">
        <f>38.72501279</f>
        <v>38.725012790000001</v>
      </c>
      <c r="G4">
        <f>33.72479019</f>
        <v>33.72479019</v>
      </c>
      <c r="H4">
        <f>3.854715488</f>
        <v>3.8547154880000001</v>
      </c>
      <c r="I4">
        <f>37.57950568</f>
        <v>37.579505679999997</v>
      </c>
      <c r="J4">
        <f>146.79773</f>
        <v>146.79773</v>
      </c>
      <c r="K4">
        <f>5.2393742</f>
        <v>5.2393742000000003</v>
      </c>
      <c r="L4">
        <f>7765.6162</f>
        <v>7765.6162000000004</v>
      </c>
    </row>
    <row r="5" spans="1:12" x14ac:dyDescent="0.25">
      <c r="A5">
        <f>0.63</f>
        <v>0.63</v>
      </c>
      <c r="B5">
        <f>41.93626149</f>
        <v>41.93626149</v>
      </c>
      <c r="C5">
        <f>36.69256401</f>
        <v>36.692564009999998</v>
      </c>
      <c r="D5">
        <f>17.20932649</f>
        <v>17.209326489999999</v>
      </c>
      <c r="E5">
        <f>53.9018905</f>
        <v>53.9018905</v>
      </c>
      <c r="F5">
        <f>39.34960977</f>
        <v>39.349609770000001</v>
      </c>
      <c r="G5">
        <f>34.42934644</f>
        <v>34.429346440000003</v>
      </c>
      <c r="H5">
        <f>3.815220955</f>
        <v>3.815220955</v>
      </c>
      <c r="I5">
        <f>38.24456739</f>
        <v>38.24456739</v>
      </c>
      <c r="J5">
        <f>144.67195</f>
        <v>144.67195000000001</v>
      </c>
      <c r="K5">
        <f>5.3253661</f>
        <v>5.3253661000000001</v>
      </c>
      <c r="L5">
        <f>7531.6835</f>
        <v>7531.6835000000001</v>
      </c>
    </row>
    <row r="6" spans="1:12" x14ac:dyDescent="0.25">
      <c r="A6">
        <f>0.64</f>
        <v>0.64</v>
      </c>
      <c r="B6">
        <f>42.60191644</f>
        <v>42.601916439999997</v>
      </c>
      <c r="C6">
        <f>37.4435369</f>
        <v>37.443536899999998</v>
      </c>
      <c r="D6">
        <f>17.01918574</f>
        <v>17.019185740000001</v>
      </c>
      <c r="E6">
        <f>54.46272264</f>
        <v>54.462722640000003</v>
      </c>
      <c r="F6">
        <f>39.97420675</f>
        <v>39.97420675</v>
      </c>
      <c r="G6">
        <f>35.13399891</f>
        <v>35.133998910000003</v>
      </c>
      <c r="H6">
        <f>3.775703382</f>
        <v>3.7757033820000001</v>
      </c>
      <c r="I6">
        <f>38.90970229</f>
        <v>38.909702289999998</v>
      </c>
      <c r="J6">
        <f>142.40023</f>
        <v>142.40022999999999</v>
      </c>
      <c r="K6">
        <f>5.4143365</f>
        <v>5.4143365000000001</v>
      </c>
      <c r="L6">
        <f>7297.5819</f>
        <v>7297.5819000000001</v>
      </c>
    </row>
    <row r="7" spans="1:12" x14ac:dyDescent="0.25">
      <c r="A7">
        <f>0.65</f>
        <v>0.65</v>
      </c>
      <c r="B7">
        <f>43.26757138</f>
        <v>43.26757138</v>
      </c>
      <c r="C7">
        <f>38.19462278</f>
        <v>38.194622780000003</v>
      </c>
      <c r="D7">
        <f>16.8287946</f>
        <v>16.828794599999998</v>
      </c>
      <c r="E7">
        <f>55.02341738</f>
        <v>55.023417379999998</v>
      </c>
      <c r="F7">
        <f>40.59880373</f>
        <v>40.59880373</v>
      </c>
      <c r="G7">
        <f>35.8387574</f>
        <v>35.838757399999999</v>
      </c>
      <c r="H7">
        <f>3.736159212</f>
        <v>3.736159212</v>
      </c>
      <c r="I7">
        <f>39.57491661</f>
        <v>39.574916610000002</v>
      </c>
      <c r="J7">
        <f>139.98206</f>
        <v>139.98205999999999</v>
      </c>
      <c r="K7">
        <f>5.5064541</f>
        <v>5.5064541</v>
      </c>
      <c r="L7">
        <f>7063.294</f>
        <v>7063.2939999999999</v>
      </c>
    </row>
    <row r="8" spans="1:12" x14ac:dyDescent="0.25">
      <c r="A8">
        <f>0.66</f>
        <v>0.66</v>
      </c>
      <c r="B8">
        <f>43.93322632</f>
        <v>43.933226320000003</v>
      </c>
      <c r="C8">
        <f>38.9458336</f>
        <v>38.9458336</v>
      </c>
      <c r="D8">
        <f>16.63812653</f>
        <v>16.638126530000001</v>
      </c>
      <c r="E8">
        <f>55.58396013</f>
        <v>55.583960130000001</v>
      </c>
      <c r="F8">
        <f>41.22340071</f>
        <v>41.22340071</v>
      </c>
      <c r="G8">
        <f>36.54363312</f>
        <v>36.543633120000003</v>
      </c>
      <c r="H8">
        <f>3.696584299</f>
        <v>3.696584299</v>
      </c>
      <c r="I8">
        <f>40.24021742</f>
        <v>40.24021742</v>
      </c>
      <c r="J8">
        <f>137.41688</f>
        <v>137.41687999999999</v>
      </c>
      <c r="K8">
        <f>5.6019023</f>
        <v>5.6019022999999999</v>
      </c>
      <c r="L8">
        <f>6828.8002</f>
        <v>6828.8001999999997</v>
      </c>
    </row>
    <row r="9" spans="1:12" x14ac:dyDescent="0.25">
      <c r="A9">
        <f>0.67</f>
        <v>0.67</v>
      </c>
      <c r="B9">
        <f>44.59888127</f>
        <v>44.59888127</v>
      </c>
      <c r="C9">
        <f>39.69718308</f>
        <v>39.697183080000002</v>
      </c>
      <c r="D9">
        <f>16.44715105</f>
        <v>16.447151049999999</v>
      </c>
      <c r="E9">
        <f>56.14433413</f>
        <v>56.144334129999997</v>
      </c>
      <c r="F9">
        <f>41.84799769</f>
        <v>41.84799769</v>
      </c>
      <c r="G9">
        <f>37.24863894</f>
        <v>37.248638939999999</v>
      </c>
      <c r="H9">
        <f>3.656973792</f>
        <v>3.6569737920000001</v>
      </c>
      <c r="I9">
        <f>40.90561274</f>
        <v>40.905612740000002</v>
      </c>
      <c r="J9">
        <f>134.70403</f>
        <v>134.70402999999999</v>
      </c>
      <c r="K9">
        <f>5.7008809</f>
        <v>5.7008808999999996</v>
      </c>
      <c r="L9">
        <f>6594.0779</f>
        <v>6594.0779000000002</v>
      </c>
    </row>
    <row r="10" spans="1:12" x14ac:dyDescent="0.25">
      <c r="A10">
        <f>0.68</f>
        <v>0.68</v>
      </c>
      <c r="B10">
        <f>45.26453621</f>
        <v>45.264536210000003</v>
      </c>
      <c r="C10">
        <f>40.44868703</f>
        <v>40.448687030000002</v>
      </c>
      <c r="D10">
        <f>16.25583298</f>
        <v>16.255832980000001</v>
      </c>
      <c r="E10">
        <f>56.70452001</f>
        <v>56.704520010000003</v>
      </c>
      <c r="F10">
        <f>42.47259467</f>
        <v>42.472594669999999</v>
      </c>
      <c r="G10">
        <f>37.95378972</f>
        <v>37.953789720000003</v>
      </c>
      <c r="H10">
        <f>3.617321987</f>
        <v>3.617321987</v>
      </c>
      <c r="I10">
        <f>41.57111171</f>
        <v>41.571111709999997</v>
      </c>
      <c r="J10">
        <f>131.84278</f>
        <v>131.84278</v>
      </c>
      <c r="K10">
        <f>5.8036081</f>
        <v>5.8036080999999999</v>
      </c>
      <c r="L10">
        <f>6359.1008</f>
        <v>6359.1008000000002</v>
      </c>
    </row>
    <row r="11" spans="1:12" x14ac:dyDescent="0.25">
      <c r="A11">
        <f>0.69</f>
        <v>0.69</v>
      </c>
      <c r="B11">
        <f>45.93019116</f>
        <v>45.93019116</v>
      </c>
      <c r="C11">
        <f>41.20036385</f>
        <v>41.200363850000002</v>
      </c>
      <c r="D11">
        <f>16.06413146</f>
        <v>16.064131459999999</v>
      </c>
      <c r="E11">
        <f>57.26449531</f>
        <v>57.264495310000001</v>
      </c>
      <c r="F11">
        <f>43.09719165</f>
        <v>43.097191649999999</v>
      </c>
      <c r="G11">
        <f>38.6591027</f>
        <v>38.659102699999998</v>
      </c>
      <c r="H11">
        <f>3.577622147</f>
        <v>3.577622147</v>
      </c>
      <c r="I11">
        <f>42.23672484</f>
        <v>42.236724840000001</v>
      </c>
      <c r="J11">
        <f>128.83224</f>
        <v>128.83224000000001</v>
      </c>
      <c r="K11">
        <f>5.9103239</f>
        <v>5.9103238999999999</v>
      </c>
      <c r="L11">
        <f>6123.8386</f>
        <v>6123.8386</v>
      </c>
    </row>
    <row r="12" spans="1:12" x14ac:dyDescent="0.25">
      <c r="A12">
        <f>0.7</f>
        <v>0.7</v>
      </c>
      <c r="B12">
        <f>46.5958461</f>
        <v>46.595846100000003</v>
      </c>
      <c r="C12">
        <f>41.952235</f>
        <v>41.952235000000002</v>
      </c>
      <c r="D12">
        <f>15.87199874</f>
        <v>15.87199874</v>
      </c>
      <c r="E12">
        <f>57.82423374</f>
        <v>57.824233739999997</v>
      </c>
      <c r="F12">
        <f>43.72178863</f>
        <v>43.721788629999999</v>
      </c>
      <c r="G12">
        <f>39.36459802</f>
        <v>39.364598020000003</v>
      </c>
      <c r="H12">
        <f>3.537866268</f>
        <v>3.5378662680000001</v>
      </c>
      <c r="I12">
        <f>42.90246429</f>
        <v>42.902464289999998</v>
      </c>
      <c r="J12">
        <f>125.67139</f>
        <v>125.67139</v>
      </c>
      <c r="K12">
        <f>6.0212926</f>
        <v>6.0212925999999998</v>
      </c>
      <c r="L12">
        <f>5888.2556</f>
        <v>5888.2556000000004</v>
      </c>
    </row>
    <row r="13" spans="1:12" x14ac:dyDescent="0.25">
      <c r="A13">
        <f>0.71</f>
        <v>0.71</v>
      </c>
      <c r="B13">
        <f>47.26150105</f>
        <v>47.26150105</v>
      </c>
      <c r="C13">
        <f>42.70432575</f>
        <v>42.704325750000002</v>
      </c>
      <c r="D13">
        <f>15.67937867</f>
        <v>15.67937867</v>
      </c>
      <c r="E13">
        <f>58.38370441</f>
        <v>58.38370441</v>
      </c>
      <c r="F13">
        <f>44.34638561</f>
        <v>44.346385609999999</v>
      </c>
      <c r="G13">
        <f>40.0702994</f>
        <v>40.070299400000003</v>
      </c>
      <c r="H13">
        <f>3.498044784</f>
        <v>3.4980447840000002</v>
      </c>
      <c r="I13">
        <f>43.56834418</f>
        <v>43.568344179999997</v>
      </c>
      <c r="J13">
        <f>122.35903</f>
        <v>122.35903</v>
      </c>
      <c r="K13">
        <f>6.136807</f>
        <v>6.1368070000000001</v>
      </c>
      <c r="L13">
        <f>5652.3099</f>
        <v>5652.3099000000002</v>
      </c>
    </row>
    <row r="14" spans="1:12" x14ac:dyDescent="0.25">
      <c r="A14">
        <f>0.72</f>
        <v>0.72</v>
      </c>
      <c r="B14">
        <f>47.92715599</f>
        <v>47.927155990000003</v>
      </c>
      <c r="C14">
        <f>43.45666519</f>
        <v>43.456665190000002</v>
      </c>
      <c r="D14">
        <f>15.4862065</f>
        <v>15.4862065</v>
      </c>
      <c r="E14">
        <f>58.94287168</f>
        <v>58.942871680000003</v>
      </c>
      <c r="F14">
        <f>44.97098259</f>
        <v>44.970982589999998</v>
      </c>
      <c r="G14">
        <f>40.77623413</f>
        <v>40.776234129999999</v>
      </c>
      <c r="H14">
        <f>3.458146567</f>
        <v>3.458146567</v>
      </c>
      <c r="I14">
        <f>44.23438069</f>
        <v>44.234380690000002</v>
      </c>
      <c r="J14">
        <f>118.89509</f>
        <v>118.89509</v>
      </c>
      <c r="K14">
        <f>6.2571924</f>
        <v>6.2571924000000001</v>
      </c>
      <c r="L14">
        <f>5416.013</f>
        <v>5416.0129999999999</v>
      </c>
    </row>
    <row r="15" spans="1:12" x14ac:dyDescent="0.25">
      <c r="A15">
        <f>0.73</f>
        <v>0.73</v>
      </c>
      <c r="B15">
        <f>48.59281093</f>
        <v>48.592810929999999</v>
      </c>
      <c r="C15">
        <f>44.20929063</f>
        <v>44.209290629999998</v>
      </c>
      <c r="D15">
        <f>15.29239925</f>
        <v>15.292399250000001</v>
      </c>
      <c r="E15">
        <f>59.50168988</f>
        <v>59.501689880000001</v>
      </c>
      <c r="F15">
        <f>45.59557957</f>
        <v>45.595579569999998</v>
      </c>
      <c r="G15">
        <f>41.48243722</f>
        <v>41.482437220000001</v>
      </c>
      <c r="H15">
        <f>3.418156959</f>
        <v>3.4181569590000001</v>
      </c>
      <c r="I15">
        <f>44.90059418</f>
        <v>44.900594179999999</v>
      </c>
      <c r="J15">
        <f>115.27524</f>
        <v>115.27524</v>
      </c>
      <c r="K15">
        <f>6.3828168</f>
        <v>6.3828167999999996</v>
      </c>
      <c r="L15">
        <f>5179.1853</f>
        <v>5179.1853000000001</v>
      </c>
    </row>
    <row r="16" spans="1:12" x14ac:dyDescent="0.25">
      <c r="A16">
        <f>0.74</f>
        <v>0.74</v>
      </c>
      <c r="B16">
        <f>49.25846588</f>
        <v>49.258465880000003</v>
      </c>
      <c r="C16">
        <f>44.96224448</f>
        <v>44.962244480000003</v>
      </c>
      <c r="D16">
        <f>15.09786261</f>
        <v>15.09786261</v>
      </c>
      <c r="E16">
        <f>60.06010708</f>
        <v>60.060107080000002</v>
      </c>
      <c r="F16">
        <f>46.22017655</f>
        <v>46.220176549999998</v>
      </c>
      <c r="G16">
        <f>42.18894845</f>
        <v>42.188948449999998</v>
      </c>
      <c r="H16">
        <f>3.378059244</f>
        <v>3.3780592440000001</v>
      </c>
      <c r="I16">
        <f>45.5670077</f>
        <v>45.567007699999998</v>
      </c>
      <c r="J16">
        <f>111.49871</f>
        <v>111.49871</v>
      </c>
      <c r="K16">
        <f>6.5140929</f>
        <v>6.5140928999999996</v>
      </c>
      <c r="L16">
        <f>4941.8141</f>
        <v>4941.8140999999996</v>
      </c>
    </row>
    <row r="17" spans="1:12" x14ac:dyDescent="0.25">
      <c r="A17">
        <f>0.75</f>
        <v>0.75</v>
      </c>
      <c r="B17">
        <f>49.92412082</f>
        <v>49.924120819999999</v>
      </c>
      <c r="C17">
        <f>45.71557928</f>
        <v>45.71557928</v>
      </c>
      <c r="D17">
        <f>14.90247963</f>
        <v>14.90247963</v>
      </c>
      <c r="E17">
        <f>60.6180589</f>
        <v>60.618058900000001</v>
      </c>
      <c r="F17">
        <f>46.84477353</f>
        <v>46.844773529999998</v>
      </c>
      <c r="G17">
        <f>42.89581715</f>
        <v>42.895817149999999</v>
      </c>
      <c r="H17">
        <f>3.337832377</f>
        <v>3.3378323769999998</v>
      </c>
      <c r="I17">
        <f>46.23364953</f>
        <v>46.233649530000001</v>
      </c>
      <c r="J17">
        <f>107.563</f>
        <v>107.563</v>
      </c>
      <c r="K17">
        <f>6.6514918</f>
        <v>6.6514917999999996</v>
      </c>
      <c r="L17">
        <f>4703.8115</f>
        <v>4703.8114999999998</v>
      </c>
    </row>
    <row r="18" spans="1:12" x14ac:dyDescent="0.25">
      <c r="A18">
        <f>0.76</f>
        <v>0.76</v>
      </c>
      <c r="B18">
        <f>50.58977577</f>
        <v>50.589775770000003</v>
      </c>
      <c r="C18">
        <f>46.46935981</f>
        <v>46.46935981</v>
      </c>
      <c r="D18">
        <f>14.70610616</f>
        <v>14.706106159999999</v>
      </c>
      <c r="E18">
        <f>61.17546597</f>
        <v>61.175465969999998</v>
      </c>
      <c r="F18">
        <f>47.46937051</f>
        <v>47.469370509999997</v>
      </c>
      <c r="G18">
        <f>43.60310409</f>
        <v>43.603104090000002</v>
      </c>
      <c r="H18">
        <f>3.297450102</f>
        <v>3.297450102</v>
      </c>
      <c r="I18">
        <f>46.90055419</f>
        <v>46.900554190000001</v>
      </c>
      <c r="J18">
        <f>103.46501</f>
        <v>103.46501000000001</v>
      </c>
      <c r="K18">
        <f>6.7955561</f>
        <v>6.7955560999999998</v>
      </c>
      <c r="L18">
        <f>4465.069</f>
        <v>4465.0690000000004</v>
      </c>
    </row>
    <row r="19" spans="1:12" x14ac:dyDescent="0.25">
      <c r="A19">
        <f>0.77</f>
        <v>0.77</v>
      </c>
      <c r="B19">
        <f>51.25543071</f>
        <v>51.255430709999999</v>
      </c>
      <c r="C19">
        <f>47.223667</f>
        <v>47.223666999999999</v>
      </c>
      <c r="D19">
        <f>14.50856212</f>
        <v>14.508562120000001</v>
      </c>
      <c r="E19">
        <f>61.73222913</f>
        <v>61.73222913</v>
      </c>
      <c r="F19">
        <f>48.09396749</f>
        <v>48.093967489999997</v>
      </c>
      <c r="G19">
        <f>44.3108852</f>
        <v>44.310885200000001</v>
      </c>
      <c r="H19">
        <f>3.256879261</f>
        <v>3.2568792609999999</v>
      </c>
      <c r="I19">
        <f>47.56776446</f>
        <v>47.567764459999999</v>
      </c>
      <c r="J19">
        <f>99.200874</f>
        <v>99.200873999999999</v>
      </c>
      <c r="K19">
        <f>6.9469182</f>
        <v>6.9469181999999998</v>
      </c>
      <c r="L19">
        <f>4225.4508</f>
        <v>4225.4507999999996</v>
      </c>
    </row>
    <row r="20" spans="1:12" x14ac:dyDescent="0.25">
      <c r="A20">
        <f>0.78</f>
        <v>0.78</v>
      </c>
      <c r="B20">
        <f>51.92108566</f>
        <v>51.921085660000003</v>
      </c>
      <c r="C20">
        <f>47.97860345</f>
        <v>47.978603450000001</v>
      </c>
      <c r="D20">
        <f>14.30961914</f>
        <v>14.309619140000001</v>
      </c>
      <c r="E20">
        <f>62.2882226</f>
        <v>62.288222599999997</v>
      </c>
      <c r="F20">
        <f>48.71856447</f>
        <v>48.718564469999997</v>
      </c>
      <c r="G20">
        <f>45.01925675</f>
        <v>45.019256749999997</v>
      </c>
      <c r="H20">
        <f>3.216077366</f>
        <v>3.2160773659999999</v>
      </c>
      <c r="I20">
        <f>48.23533412</f>
        <v>48.235334119999997</v>
      </c>
      <c r="J20">
        <f>94.76569</f>
        <v>94.765690000000006</v>
      </c>
      <c r="K20">
        <f>7.1063259</f>
        <v>7.1063258999999999</v>
      </c>
      <c r="L20">
        <f>3984.7841</f>
        <v>3984.7840999999999</v>
      </c>
    </row>
    <row r="21" spans="1:12" x14ac:dyDescent="0.25">
      <c r="A21">
        <f>0.79</f>
        <v>0.79</v>
      </c>
      <c r="B21">
        <f>52.5867406</f>
        <v>52.586740599999999</v>
      </c>
      <c r="C21">
        <f>48.73430159</f>
        <v>48.734301590000001</v>
      </c>
      <c r="D21">
        <f>14.10898244</f>
        <v>14.10898244</v>
      </c>
      <c r="E21">
        <f>62.84328403</f>
        <v>62.84328403</v>
      </c>
      <c r="F21">
        <f>49.34316146</f>
        <v>49.343161459999997</v>
      </c>
      <c r="G21">
        <f>45.72834301</f>
        <v>45.728343010000003</v>
      </c>
      <c r="H21">
        <f>3.17498906</f>
        <v>3.1749890600000001</v>
      </c>
      <c r="I21">
        <f>48.90333207</f>
        <v>48.903332069999998</v>
      </c>
      <c r="J21">
        <f>90.153113</f>
        <v>90.153113000000005</v>
      </c>
      <c r="K21">
        <f>7.2746786</f>
        <v>7.2746785999999997</v>
      </c>
      <c r="L21">
        <f>3742.8456</f>
        <v>3742.8456000000001</v>
      </c>
    </row>
    <row r="22" spans="1:12" x14ac:dyDescent="0.25">
      <c r="A22">
        <f>0.8</f>
        <v>0.8</v>
      </c>
      <c r="B22">
        <f>53.25239554</f>
        <v>53.252395540000002</v>
      </c>
      <c r="C22">
        <f>49.49093589</f>
        <v>49.490935890000003</v>
      </c>
      <c r="D22">
        <f>13.90626358</f>
        <v>13.906263579999999</v>
      </c>
      <c r="E22">
        <f>63.39719947</f>
        <v>63.397199469999997</v>
      </c>
      <c r="F22">
        <f>49.96775844</f>
        <v>49.967758439999997</v>
      </c>
      <c r="G22">
        <f>46.43830769</f>
        <v>46.438307690000002</v>
      </c>
      <c r="H22">
        <f>3.133540767</f>
        <v>3.1335407669999999</v>
      </c>
      <c r="I22">
        <f>49.57184845</f>
        <v>49.571848449999997</v>
      </c>
      <c r="J22">
        <f>85.354775</f>
        <v>85.354775000000004</v>
      </c>
      <c r="K22">
        <f>7.453082</f>
        <v>7.4530820000000002</v>
      </c>
      <c r="L22">
        <f>3499.3397</f>
        <v>3499.3397</v>
      </c>
    </row>
    <row r="23" spans="1:12" x14ac:dyDescent="0.25">
      <c r="A23">
        <f>0.81</f>
        <v>0.81</v>
      </c>
      <c r="B23">
        <f>53.91805049</f>
        <v>53.918050489999999</v>
      </c>
      <c r="C23">
        <f>50.24874205</f>
        <v>50.248742049999997</v>
      </c>
      <c r="D23">
        <f>13.70093783</f>
        <v>13.700937830000001</v>
      </c>
      <c r="E23">
        <f>63.94967987</f>
        <v>63.949679869999997</v>
      </c>
      <c r="F23">
        <f>50.59235542</f>
        <v>50.592355419999997</v>
      </c>
      <c r="G23">
        <f>47.14937194</f>
        <v>47.149371940000002</v>
      </c>
      <c r="H23">
        <f>3.091632323</f>
        <v>3.0916323229999998</v>
      </c>
      <c r="I23">
        <f>50.24100427</f>
        <v>50.241004269999998</v>
      </c>
      <c r="J23">
        <f>80.359361</f>
        <v>80.359361000000007</v>
      </c>
      <c r="K23">
        <f>7.6429305</f>
        <v>7.6429305000000003</v>
      </c>
      <c r="L23">
        <f>3253.8665</f>
        <v>3253.8665000000001</v>
      </c>
    </row>
    <row r="24" spans="1:12" x14ac:dyDescent="0.25">
      <c r="A24">
        <f>0.82</f>
        <v>0.82</v>
      </c>
      <c r="B24">
        <f>54.58370543</f>
        <v>54.583705430000002</v>
      </c>
      <c r="C24">
        <f>51.00804825</f>
        <v>51.008048250000002</v>
      </c>
      <c r="D24">
        <f>13.49227445</f>
        <v>13.49227445</v>
      </c>
      <c r="E24">
        <f>64.5003227</f>
        <v>64.500322699999998</v>
      </c>
      <c r="F24">
        <f>51.2169524</f>
        <v>51.216952399999997</v>
      </c>
      <c r="G24">
        <f>47.86184372</f>
        <v>47.861843720000003</v>
      </c>
      <c r="H24">
        <f>3.049123279</f>
        <v>3.0491232789999998</v>
      </c>
      <c r="I24">
        <f>50.910967</f>
        <v>50.910966999999999</v>
      </c>
      <c r="J24">
        <f>75.1511</f>
        <v>75.1511</v>
      </c>
      <c r="K24">
        <f>7.846042</f>
        <v>7.8460419999999997</v>
      </c>
      <c r="L24">
        <f>3005.867</f>
        <v>3005.8670000000002</v>
      </c>
    </row>
    <row r="25" spans="1:12" x14ac:dyDescent="0.25">
      <c r="A25">
        <f>0.83</f>
        <v>0.83</v>
      </c>
      <c r="B25">
        <f>55.24936038</f>
        <v>55.249360379999999</v>
      </c>
      <c r="C25">
        <f>51.76932927</f>
        <v>51.76932927</v>
      </c>
      <c r="D25">
        <f>13.27921627</f>
        <v>13.279216269999999</v>
      </c>
      <c r="E25">
        <f>65.04854553</f>
        <v>65.048545529999998</v>
      </c>
      <c r="F25">
        <f>51.84154938</f>
        <v>51.841549379999996</v>
      </c>
      <c r="G25">
        <f>48.5761685</f>
        <v>48.576168500000001</v>
      </c>
      <c r="H25">
        <f>3.005809205</f>
        <v>3.0058092049999998</v>
      </c>
      <c r="I25">
        <f>51.58197771</f>
        <v>51.581977709999997</v>
      </c>
      <c r="J25">
        <f>69.707171</f>
        <v>69.707171000000002</v>
      </c>
      <c r="K25">
        <f>8.0648865</f>
        <v>8.0648865000000001</v>
      </c>
      <c r="L25">
        <f>2754.5308</f>
        <v>2754.5308</v>
      </c>
    </row>
    <row r="26" spans="1:12" x14ac:dyDescent="0.25">
      <c r="A26">
        <f>0.84</f>
        <v>0.84</v>
      </c>
      <c r="B26">
        <f>55.91501532</f>
        <v>55.915015320000002</v>
      </c>
      <c r="C26">
        <f>52.53330506</f>
        <v>52.533305060000004</v>
      </c>
      <c r="D26">
        <f>13.06016003</f>
        <v>13.06016003</v>
      </c>
      <c r="E26">
        <f>65.5934651</f>
        <v>65.593465100000003</v>
      </c>
      <c r="F26">
        <f>52.46614636</f>
        <v>52.466146360000003</v>
      </c>
      <c r="G26">
        <f>49.29302185</f>
        <v>49.293021850000002</v>
      </c>
      <c r="H26">
        <f>2.961378497</f>
        <v>2.9613784970000001</v>
      </c>
      <c r="I26">
        <f>52.25440035</f>
        <v>52.254400349999997</v>
      </c>
      <c r="J26">
        <f>63.993619</f>
        <v>63.993619000000002</v>
      </c>
      <c r="K26">
        <f>8.303003</f>
        <v>8.3030030000000004</v>
      </c>
      <c r="L26">
        <f>2498.6513</f>
        <v>2498.6513</v>
      </c>
    </row>
    <row r="27" spans="1:12" x14ac:dyDescent="0.25">
      <c r="A27">
        <f>0.85</f>
        <v>0.85</v>
      </c>
      <c r="B27">
        <f>56.58067027</f>
        <v>56.580670269999999</v>
      </c>
      <c r="C27">
        <f>53.30115117</f>
        <v>53.301151169999997</v>
      </c>
      <c r="D27">
        <f>12.83248791</f>
        <v>12.832487909999999</v>
      </c>
      <c r="E27">
        <f>66.13363907</f>
        <v>66.133639070000001</v>
      </c>
      <c r="F27">
        <f>53.09074334</f>
        <v>53.090743340000003</v>
      </c>
      <c r="G27">
        <f>50.01350678</f>
        <v>50.01350678</v>
      </c>
      <c r="H27">
        <f>2.915320053</f>
        <v>2.9153200529999999</v>
      </c>
      <c r="I27">
        <f>52.92882684</f>
        <v>52.928826839999999</v>
      </c>
      <c r="J27">
        <f>57.953131</f>
        <v>57.953130999999999</v>
      </c>
      <c r="K27">
        <f>8.5658664</f>
        <v>8.5658664000000009</v>
      </c>
      <c r="L27">
        <f>2236.1774</f>
        <v>2236.1774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27"/>
  <sheetViews>
    <sheetView workbookViewId="0"/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>40.43237439</f>
        <v>40.43237439</v>
      </c>
      <c r="C2">
        <f>34.85958601</f>
        <v>34.859586010000001</v>
      </c>
      <c r="D2">
        <f>16.81198666</f>
        <v>16.811986659999999</v>
      </c>
      <c r="E2">
        <f>51.67157267</f>
        <v>51.671572670000003</v>
      </c>
      <c r="F2">
        <f>37.93848326</f>
        <v>37.938483259999998</v>
      </c>
      <c r="G2">
        <f>32.70942753</f>
        <v>32.709427529999999</v>
      </c>
      <c r="H2">
        <f>3.685223065</f>
        <v>3.6852230650000002</v>
      </c>
      <c r="I2">
        <f>36.3946506</f>
        <v>36.394650599999999</v>
      </c>
      <c r="J2">
        <f>150.21085</f>
        <v>150.21084999999999</v>
      </c>
      <c r="K2">
        <f>5.0697719</f>
        <v>5.0697719000000001</v>
      </c>
      <c r="L2">
        <f>8211.0428</f>
        <v>8211.0427999999993</v>
      </c>
    </row>
    <row r="3" spans="1:12" x14ac:dyDescent="0.25">
      <c r="A3">
        <f>0.61</f>
        <v>0.61</v>
      </c>
      <c r="B3">
        <f>41.1062473</f>
        <v>41.1062473</v>
      </c>
      <c r="C3">
        <f>35.61955393</f>
        <v>35.619553930000002</v>
      </c>
      <c r="D3">
        <f>16.62010918</f>
        <v>16.62010918</v>
      </c>
      <c r="E3">
        <f>52.23966311</f>
        <v>52.239663110000002</v>
      </c>
      <c r="F3">
        <f>38.57079131</f>
        <v>38.570791309999997</v>
      </c>
      <c r="G3">
        <f>33.42252021</f>
        <v>33.422520210000002</v>
      </c>
      <c r="H3">
        <f>3.644990793</f>
        <v>3.6449907929999998</v>
      </c>
      <c r="I3">
        <f>37.067511</f>
        <v>37.067511000000003</v>
      </c>
      <c r="J3">
        <f>148.3671</f>
        <v>148.36709999999999</v>
      </c>
      <c r="K3">
        <f>5.1500804</f>
        <v>5.1500804000000002</v>
      </c>
      <c r="L3">
        <f>7977.3024</f>
        <v>7977.3023999999996</v>
      </c>
    </row>
    <row r="4" spans="1:12" x14ac:dyDescent="0.25">
      <c r="A4">
        <f>0.62</f>
        <v>0.62</v>
      </c>
      <c r="B4">
        <f>41.78012021</f>
        <v>41.78012021</v>
      </c>
      <c r="C4">
        <f>36.37960898</f>
        <v>36.37960898</v>
      </c>
      <c r="D4">
        <f>16.42803872</f>
        <v>16.42803872</v>
      </c>
      <c r="E4">
        <f>52.8076477</f>
        <v>52.807647699999997</v>
      </c>
      <c r="F4">
        <f>39.20309937</f>
        <v>39.203099369999997</v>
      </c>
      <c r="G4">
        <f>34.13569465</f>
        <v>34.135694649999998</v>
      </c>
      <c r="H4">
        <f>3.604731604</f>
        <v>3.6047316039999999</v>
      </c>
      <c r="I4">
        <f>37.74042625</f>
        <v>37.740426249999999</v>
      </c>
      <c r="J4">
        <f>146.37804</f>
        <v>146.37804</v>
      </c>
      <c r="K4">
        <f>5.2330595</f>
        <v>5.2330595000000004</v>
      </c>
      <c r="L4">
        <f>7743.4144</f>
        <v>7743.4143999999997</v>
      </c>
    </row>
    <row r="5" spans="1:12" x14ac:dyDescent="0.25">
      <c r="A5">
        <f>0.63</f>
        <v>0.63</v>
      </c>
      <c r="B5">
        <f>42.45399311</f>
        <v>42.453993109999999</v>
      </c>
      <c r="C5">
        <f>37.13975949</f>
        <v>37.139759490000003</v>
      </c>
      <c r="D5">
        <f>16.23575679</f>
        <v>16.23575679</v>
      </c>
      <c r="E5">
        <f>53.37551627</f>
        <v>53.375516269999999</v>
      </c>
      <c r="F5">
        <f>39.83540742</f>
        <v>39.835407420000003</v>
      </c>
      <c r="G5">
        <f>34.84895865</f>
        <v>34.84895865</v>
      </c>
      <c r="H5">
        <f>3.564442301</f>
        <v>3.5644423010000001</v>
      </c>
      <c r="I5">
        <f>38.41340095</f>
        <v>38.413400950000003</v>
      </c>
      <c r="J5">
        <f>144.24324</f>
        <v>144.24323999999999</v>
      </c>
      <c r="K5">
        <f>5.3188528</f>
        <v>5.3188528000000002</v>
      </c>
      <c r="L5">
        <f>7509.3648</f>
        <v>7509.3648000000003</v>
      </c>
    </row>
    <row r="6" spans="1:12" x14ac:dyDescent="0.25">
      <c r="A6">
        <f>0.64</f>
        <v>0.64</v>
      </c>
      <c r="B6">
        <f>43.12786602</f>
        <v>43.127866019999999</v>
      </c>
      <c r="C6">
        <f>37.9000149</f>
        <v>37.900014900000002</v>
      </c>
      <c r="D6">
        <f>16.0432424</f>
        <v>16.0432424</v>
      </c>
      <c r="E6">
        <f>53.9432573</f>
        <v>53.943257299999999</v>
      </c>
      <c r="F6">
        <f>40.46771547</f>
        <v>40.467715470000002</v>
      </c>
      <c r="G6">
        <f>35.56232109</f>
        <v>35.562321089999998</v>
      </c>
      <c r="H6">
        <f>3.524119221</f>
        <v>3.5241192209999999</v>
      </c>
      <c r="I6">
        <f>39.08644031</f>
        <v>39.08644031</v>
      </c>
      <c r="J6">
        <f>141.96226</f>
        <v>141.96225999999999</v>
      </c>
      <c r="K6">
        <f>5.4076156</f>
        <v>5.4076155999999997</v>
      </c>
      <c r="L6">
        <f>7275.1374</f>
        <v>7275.1373999999996</v>
      </c>
    </row>
    <row r="7" spans="1:12" x14ac:dyDescent="0.25">
      <c r="A7">
        <f>0.65</f>
        <v>0.65</v>
      </c>
      <c r="B7">
        <f>43.80173893</f>
        <v>43.801738929999999</v>
      </c>
      <c r="C7">
        <f>38.66038596</f>
        <v>38.660385959999999</v>
      </c>
      <c r="D7">
        <f>15.85047169</f>
        <v>15.850471689999999</v>
      </c>
      <c r="E7">
        <f>54.51085765</f>
        <v>54.510857649999998</v>
      </c>
      <c r="F7">
        <f>41.10002353</f>
        <v>41.100023530000001</v>
      </c>
      <c r="G7">
        <f>36.27579205</f>
        <v>36.27579205</v>
      </c>
      <c r="H7">
        <f>3.483758148</f>
        <v>3.4837581480000002</v>
      </c>
      <c r="I7">
        <f>39.75955019</f>
        <v>39.759550189999999</v>
      </c>
      <c r="J7">
        <f>139.53456</f>
        <v>139.53456</v>
      </c>
      <c r="K7">
        <f>5.4995163</f>
        <v>5.4995162999999998</v>
      </c>
      <c r="L7">
        <f>7040.7139</f>
        <v>7040.7138999999997</v>
      </c>
    </row>
    <row r="8" spans="1:12" x14ac:dyDescent="0.25">
      <c r="A8">
        <f>0.66</f>
        <v>0.66</v>
      </c>
      <c r="B8">
        <f>44.47561183</f>
        <v>44.475611829999998</v>
      </c>
      <c r="C8">
        <f>39.42088496</f>
        <v>39.420884960000002</v>
      </c>
      <c r="D8">
        <f>15.65741735</f>
        <v>15.657417349999999</v>
      </c>
      <c r="E8">
        <f>55.0783023</f>
        <v>55.078302299999997</v>
      </c>
      <c r="F8">
        <f>41.73233158</f>
        <v>41.73233158</v>
      </c>
      <c r="G8">
        <f>36.98938305</f>
        <v>36.989383050000001</v>
      </c>
      <c r="H8">
        <f>3.443354211</f>
        <v>3.4433542109999999</v>
      </c>
      <c r="I8">
        <f>40.43273726</f>
        <v>40.432737260000003</v>
      </c>
      <c r="J8">
        <f>136.95955</f>
        <v>136.95955000000001</v>
      </c>
      <c r="K8">
        <f>5.5947377</f>
        <v>5.5947376999999996</v>
      </c>
      <c r="L8">
        <f>6806.0736</f>
        <v>6806.0735999999997</v>
      </c>
    </row>
    <row r="9" spans="1:12" x14ac:dyDescent="0.25">
      <c r="A9">
        <f>0.67</f>
        <v>0.67</v>
      </c>
      <c r="B9">
        <f>45.14948474</f>
        <v>45.149484739999998</v>
      </c>
      <c r="C9">
        <f>40.18152602</f>
        <v>40.18152602</v>
      </c>
      <c r="D9">
        <f>15.46404797</f>
        <v>15.464047969999999</v>
      </c>
      <c r="E9">
        <f>55.64557399</f>
        <v>55.645573990000003</v>
      </c>
      <c r="F9">
        <f>42.36463964</f>
        <v>42.36463964</v>
      </c>
      <c r="G9">
        <f>37.70310734</f>
        <v>37.703107340000003</v>
      </c>
      <c r="H9">
        <f>3.402901756</f>
        <v>3.4029017559999999</v>
      </c>
      <c r="I9">
        <f>41.1060091</f>
        <v>41.106009100000001</v>
      </c>
      <c r="J9">
        <f>134.23653</f>
        <v>134.23652999999999</v>
      </c>
      <c r="K9">
        <f>5.6934791</f>
        <v>5.6934791000000002</v>
      </c>
      <c r="L9">
        <f>6571.1923</f>
        <v>6571.1922999999997</v>
      </c>
    </row>
    <row r="10" spans="1:12" x14ac:dyDescent="0.25">
      <c r="A10">
        <f>0.68</f>
        <v>0.68</v>
      </c>
      <c r="B10">
        <f>45.82335765</f>
        <v>45.823357649999998</v>
      </c>
      <c r="C10">
        <f>40.94232545</f>
        <v>40.942325449999998</v>
      </c>
      <c r="D10">
        <f>15.27032731</f>
        <v>15.270327310000001</v>
      </c>
      <c r="E10">
        <f>56.21265276</f>
        <v>56.212652759999997</v>
      </c>
      <c r="F10">
        <f>42.99694769</f>
        <v>42.996947689999999</v>
      </c>
      <c r="G10">
        <f>38.41698025</f>
        <v>38.416980250000002</v>
      </c>
      <c r="H10">
        <f>3.362394184</f>
        <v>3.3623941839999998</v>
      </c>
      <c r="I10">
        <f>41.77937443</f>
        <v>41.779374429999997</v>
      </c>
      <c r="J10">
        <f>131.36471</f>
        <v>131.36471</v>
      </c>
      <c r="K10">
        <f>5.7959585</f>
        <v>5.7959585000000002</v>
      </c>
      <c r="L10">
        <f>6336.0421</f>
        <v>6336.0420999999997</v>
      </c>
    </row>
    <row r="11" spans="1:12" x14ac:dyDescent="0.25">
      <c r="A11">
        <f>0.69</f>
        <v>0.69</v>
      </c>
      <c r="B11">
        <f>46.49723055</f>
        <v>46.497230549999998</v>
      </c>
      <c r="C11">
        <f>41.70330222</f>
        <v>41.703302219999998</v>
      </c>
      <c r="D11">
        <f>15.07621319</f>
        <v>15.076213190000001</v>
      </c>
      <c r="E11">
        <f>56.77951541</f>
        <v>56.779515410000002</v>
      </c>
      <c r="F11">
        <f>43.62925575</f>
        <v>43.629255749999999</v>
      </c>
      <c r="G11">
        <f>39.13101955</f>
        <v>39.131019549999998</v>
      </c>
      <c r="H11">
        <f>3.321823754</f>
        <v>3.321823754</v>
      </c>
      <c r="I11">
        <f>42.4528433</f>
        <v>42.452843299999998</v>
      </c>
      <c r="J11">
        <f>128.34315</f>
        <v>128.34315000000001</v>
      </c>
      <c r="K11">
        <f>5.9024155</f>
        <v>5.9024155</v>
      </c>
      <c r="L11">
        <f>6100.5907</f>
        <v>6100.5906999999997</v>
      </c>
    </row>
    <row r="12" spans="1:12" x14ac:dyDescent="0.25">
      <c r="A12">
        <f>0.7</f>
        <v>0.7</v>
      </c>
      <c r="B12">
        <f>47.17110346</f>
        <v>47.171103459999998</v>
      </c>
      <c r="C12">
        <f>42.46447773</f>
        <v>42.464477729999999</v>
      </c>
      <c r="D12">
        <f>14.88165802</f>
        <v>14.88165802</v>
      </c>
      <c r="E12">
        <f>57.34613575</f>
        <v>57.346135750000002</v>
      </c>
      <c r="F12">
        <f>44.2615638</f>
        <v>44.261563799999998</v>
      </c>
      <c r="G12">
        <f>39.84524534</f>
        <v>39.845245339999998</v>
      </c>
      <c r="H12">
        <f>3.281181683</f>
        <v>3.2811816829999998</v>
      </c>
      <c r="I12">
        <f>43.12642702</f>
        <v>43.126427020000001</v>
      </c>
      <c r="J12">
        <f>125.17219</f>
        <v>125.17219</v>
      </c>
      <c r="K12">
        <f>6.013113</f>
        <v>6.0131129999999997</v>
      </c>
      <c r="L12">
        <f>5864.8657</f>
        <v>5864.8657000000003</v>
      </c>
    </row>
    <row r="13" spans="1:12" x14ac:dyDescent="0.25">
      <c r="A13">
        <f>0.71</f>
        <v>0.71</v>
      </c>
      <c r="B13">
        <f>47.84497637</f>
        <v>47.844976369999998</v>
      </c>
      <c r="C13">
        <f>43.22587954</f>
        <v>43.225879540000001</v>
      </c>
      <c r="D13">
        <f>14.68660052</f>
        <v>14.686600520000001</v>
      </c>
      <c r="E13">
        <f>57.91248005</f>
        <v>57.912480049999999</v>
      </c>
      <c r="F13">
        <f>44.89387185</f>
        <v>44.893871849999996</v>
      </c>
      <c r="G13">
        <f>40.55968346</f>
        <v>40.559683460000002</v>
      </c>
      <c r="H13">
        <f>3.240456452</f>
        <v>3.2404564520000001</v>
      </c>
      <c r="I13">
        <f>43.80013991</f>
        <v>43.800139909999999</v>
      </c>
      <c r="J13">
        <f>121.8478</f>
        <v>121.84780000000001</v>
      </c>
      <c r="K13">
        <f>6.1283457</f>
        <v>6.1283456999999997</v>
      </c>
      <c r="L13">
        <f>5628.6935</f>
        <v>5628.6935000000003</v>
      </c>
    </row>
    <row r="14" spans="1:12" x14ac:dyDescent="0.25">
      <c r="A14">
        <f>0.72</f>
        <v>0.72</v>
      </c>
      <c r="B14">
        <f>48.51884927</f>
        <v>48.518849269999997</v>
      </c>
      <c r="C14">
        <f>43.98753794</f>
        <v>43.987537940000003</v>
      </c>
      <c r="D14">
        <f>14.49097329</f>
        <v>14.490973289999999</v>
      </c>
      <c r="E14">
        <f>58.47851123</f>
        <v>58.478511230000002</v>
      </c>
      <c r="F14">
        <f>45.52617991</f>
        <v>45.526179910000003</v>
      </c>
      <c r="G14">
        <f>41.27436235</f>
        <v>41.274362349999997</v>
      </c>
      <c r="H14">
        <f>3.199635388</f>
        <v>3.1996353879999999</v>
      </c>
      <c r="I14">
        <f>44.47399774</f>
        <v>44.473997740000001</v>
      </c>
      <c r="J14">
        <f>118.3698</f>
        <v>118.3698</v>
      </c>
      <c r="K14">
        <f>6.248439</f>
        <v>6.2484390000000003</v>
      </c>
      <c r="L14">
        <f>5392.0845</f>
        <v>5392.0844999999999</v>
      </c>
    </row>
    <row r="15" spans="1:12" x14ac:dyDescent="0.25">
      <c r="A15">
        <f>0.73</f>
        <v>0.73</v>
      </c>
      <c r="B15">
        <f>49.19272218</f>
        <v>49.192722179999997</v>
      </c>
      <c r="C15">
        <f>44.74949002</f>
        <v>44.749490020000003</v>
      </c>
      <c r="D15">
        <f>14.29469384</f>
        <v>14.294693840000001</v>
      </c>
      <c r="E15">
        <f>59.04418386</f>
        <v>59.044183859999997</v>
      </c>
      <c r="F15">
        <f>46.15848796</f>
        <v>46.158487960000002</v>
      </c>
      <c r="G15">
        <f>41.98931681</f>
        <v>41.989316809999998</v>
      </c>
      <c r="H15">
        <f>3.158702819</f>
        <v>3.1587028190000002</v>
      </c>
      <c r="I15">
        <f>45.14801963</f>
        <v>45.14801963</v>
      </c>
      <c r="J15">
        <f>114.73638</f>
        <v>114.73638</v>
      </c>
      <c r="K15">
        <f>6.3737595</f>
        <v>6.3737595000000002</v>
      </c>
      <c r="L15">
        <f>5154.9747</f>
        <v>5154.9746999999998</v>
      </c>
    </row>
    <row r="16" spans="1:12" x14ac:dyDescent="0.25">
      <c r="A16">
        <f>0.74</f>
        <v>0.74</v>
      </c>
      <c r="B16">
        <f>49.86659509</f>
        <v>49.866595089999997</v>
      </c>
      <c r="C16">
        <f>45.51178059</f>
        <v>45.511780590000001</v>
      </c>
      <c r="D16">
        <f>14.09766247</f>
        <v>14.09766247</v>
      </c>
      <c r="E16">
        <f>59.60944306</f>
        <v>59.609443059999997</v>
      </c>
      <c r="F16">
        <f>46.79079602</f>
        <v>46.790796020000002</v>
      </c>
      <c r="G16">
        <f>42.70458888</f>
        <v>42.704588880000003</v>
      </c>
      <c r="H16">
        <f>3.117639667</f>
        <v>3.1176396670000002</v>
      </c>
      <c r="I16">
        <f>45.82222854</f>
        <v>45.822228539999998</v>
      </c>
      <c r="J16">
        <f>110.94532</f>
        <v>110.94532</v>
      </c>
      <c r="K16">
        <f>6.5047214</f>
        <v>6.5047214000000002</v>
      </c>
      <c r="L16">
        <f>4917.287</f>
        <v>4917.2870000000003</v>
      </c>
    </row>
    <row r="17" spans="1:12" x14ac:dyDescent="0.25">
      <c r="A17">
        <f>0.75</f>
        <v>0.75</v>
      </c>
      <c r="B17">
        <f>50.54046799</f>
        <v>50.540467990000003</v>
      </c>
      <c r="C17">
        <f>46.27446434</f>
        <v>46.274464340000002</v>
      </c>
      <c r="D17">
        <f>13.89975748</f>
        <v>13.89975748</v>
      </c>
      <c r="E17">
        <f>60.17422182</f>
        <v>60.17422182</v>
      </c>
      <c r="F17">
        <f>47.42310407</f>
        <v>47.423104070000001</v>
      </c>
      <c r="G17">
        <f>43.42022987</f>
        <v>43.42022987</v>
      </c>
      <c r="H17">
        <f>3.076422467</f>
        <v>3.076422467</v>
      </c>
      <c r="I17">
        <f>46.49665234</f>
        <v>46.496652339999997</v>
      </c>
      <c r="J17">
        <f>106.99395</f>
        <v>106.99395</v>
      </c>
      <c r="K17">
        <f>6.6417975</f>
        <v>6.6417975</v>
      </c>
      <c r="L17">
        <f>4678.9267</f>
        <v>4678.9267</v>
      </c>
    </row>
    <row r="18" spans="1:12" x14ac:dyDescent="0.25">
      <c r="A18">
        <f>0.76</f>
        <v>0.76</v>
      </c>
      <c r="B18">
        <f>51.2143409</f>
        <v>51.214340900000003</v>
      </c>
      <c r="C18">
        <f>47.03760886</f>
        <v>47.037608859999999</v>
      </c>
      <c r="D18">
        <f>13.70082844</f>
        <v>13.70082844</v>
      </c>
      <c r="E18">
        <f>60.73843731</f>
        <v>60.738437310000002</v>
      </c>
      <c r="F18">
        <f>48.05541213</f>
        <v>48.055412130000001</v>
      </c>
      <c r="G18">
        <f>44.13630322</f>
        <v>44.136303220000002</v>
      </c>
      <c r="H18">
        <f>3.035022032</f>
        <v>3.0350220320000001</v>
      </c>
      <c r="I18">
        <f>47.17132526</f>
        <v>47.171325260000003</v>
      </c>
      <c r="J18">
        <f>102.87893</f>
        <v>102.87893</v>
      </c>
      <c r="K18">
        <f>6.7855332</f>
        <v>6.7855331999999997</v>
      </c>
      <c r="L18">
        <f>4439.7766</f>
        <v>4439.7766000000001</v>
      </c>
    </row>
    <row r="19" spans="1:12" x14ac:dyDescent="0.25">
      <c r="A19">
        <f>0.77</f>
        <v>0.77</v>
      </c>
      <c r="B19">
        <f>51.88821381</f>
        <v>51.888213810000003</v>
      </c>
      <c r="C19">
        <f>47.80129881</f>
        <v>47.801298809999999</v>
      </c>
      <c r="D19">
        <f>13.50068697</f>
        <v>13.50068697</v>
      </c>
      <c r="E19">
        <f>61.30198578</f>
        <v>61.301985780000003</v>
      </c>
      <c r="F19">
        <f>48.68772018</f>
        <v>48.687720179999999</v>
      </c>
      <c r="G19">
        <f>44.85288835</f>
        <v>44.852888350000001</v>
      </c>
      <c r="H19">
        <f>2.993401569</f>
        <v>2.993401569</v>
      </c>
      <c r="I19">
        <f>47.84628992</f>
        <v>47.846289919999997</v>
      </c>
      <c r="J19">
        <f>98.596075</f>
        <v>98.596074999999999</v>
      </c>
      <c r="K19">
        <f>6.9365651</f>
        <v>6.9365651000000002</v>
      </c>
      <c r="L19">
        <f>4199.6894</f>
        <v>4199.6894000000002</v>
      </c>
    </row>
    <row r="20" spans="1:12" x14ac:dyDescent="0.25">
      <c r="A20">
        <f>0.78</f>
        <v>0.78</v>
      </c>
      <c r="B20">
        <f>52.56208671</f>
        <v>52.562086710000003</v>
      </c>
      <c r="C20">
        <f>48.56564187</f>
        <v>48.56564187</v>
      </c>
      <c r="D20">
        <f>13.29909334</f>
        <v>13.299093340000001</v>
      </c>
      <c r="E20">
        <f>61.8647352</f>
        <v>61.864735199999998</v>
      </c>
      <c r="F20">
        <f>49.32002823</f>
        <v>49.320028229999998</v>
      </c>
      <c r="G20">
        <f>45.57008631</f>
        <v>45.570086310000001</v>
      </c>
      <c r="H20">
        <f>2.951513992</f>
        <v>2.9515139920000002</v>
      </c>
      <c r="I20">
        <f>48.5216003</f>
        <v>48.521600300000003</v>
      </c>
      <c r="J20">
        <f>94.14006</f>
        <v>94.140060000000005</v>
      </c>
      <c r="K20">
        <f>7.095648</f>
        <v>7.0956479999999997</v>
      </c>
      <c r="L20">
        <f>3958.4772</f>
        <v>3958.4771999999998</v>
      </c>
    </row>
    <row r="21" spans="1:12" x14ac:dyDescent="0.25">
      <c r="A21">
        <f>0.79</f>
        <v>0.79</v>
      </c>
      <c r="B21">
        <f>53.23595962</f>
        <v>53.235959620000003</v>
      </c>
      <c r="C21">
        <f>49.33077756</f>
        <v>49.330777560000001</v>
      </c>
      <c r="D21">
        <f>13.09573694</f>
        <v>13.09573694</v>
      </c>
      <c r="E21">
        <f>62.4265145</f>
        <v>62.426514500000003</v>
      </c>
      <c r="F21">
        <f>49.95233629</f>
        <v>49.952336289999998</v>
      </c>
      <c r="G21">
        <f>46.28802801</f>
        <v>46.288028009999998</v>
      </c>
      <c r="H21">
        <f>2.909297957</f>
        <v>2.9092979570000002</v>
      </c>
      <c r="I21">
        <f>49.19732597</f>
        <v>49.197325970000001</v>
      </c>
      <c r="J21">
        <f>89.503969</f>
        <v>89.503968999999998</v>
      </c>
      <c r="K21">
        <f>7.2636927</f>
        <v>7.2636927</v>
      </c>
      <c r="L21">
        <f>3715.8954</f>
        <v>3715.8953999999999</v>
      </c>
    </row>
    <row r="22" spans="1:12" x14ac:dyDescent="0.25">
      <c r="A22">
        <f>0.8</f>
        <v>0.8</v>
      </c>
      <c r="B22">
        <f>53.90983253</f>
        <v>53.909832530000003</v>
      </c>
      <c r="C22">
        <f>50.09689062</f>
        <v>50.096890620000003</v>
      </c>
      <c r="D22">
        <f>12.89020653</f>
        <v>12.89020653</v>
      </c>
      <c r="E22">
        <f>62.98709715</f>
        <v>62.987097149999997</v>
      </c>
      <c r="F22">
        <f>50.58464434</f>
        <v>50.584644339999997</v>
      </c>
      <c r="G22">
        <f>47.00688679</f>
        <v>47.006886790000003</v>
      </c>
      <c r="H22">
        <f>2.866671842</f>
        <v>2.8666718420000001</v>
      </c>
      <c r="I22">
        <f>49.87355863</f>
        <v>49.873558629999998</v>
      </c>
      <c r="J22">
        <f>84.678626</f>
        <v>84.678625999999994</v>
      </c>
      <c r="K22">
        <f>7.4418232</f>
        <v>7.4418232</v>
      </c>
      <c r="L22">
        <f>3471.6193</f>
        <v>3471.6192999999998</v>
      </c>
    </row>
    <row r="23" spans="1:12" x14ac:dyDescent="0.25">
      <c r="A23">
        <f>0.81</f>
        <v>0.81</v>
      </c>
      <c r="B23">
        <f>54.58370543</f>
        <v>54.583705430000002</v>
      </c>
      <c r="C23">
        <f>50.86423205</f>
        <v>50.864232049999998</v>
      </c>
      <c r="D23">
        <f>12.68194322</f>
        <v>12.681943220000001</v>
      </c>
      <c r="E23">
        <f>63.54617526</f>
        <v>63.546175259999998</v>
      </c>
      <c r="F23">
        <f>51.2169524</f>
        <v>51.216952399999997</v>
      </c>
      <c r="G23">
        <f>47.72689818</f>
        <v>47.726898179999999</v>
      </c>
      <c r="H23">
        <f>2.823524229</f>
        <v>2.8235242290000002</v>
      </c>
      <c r="I23">
        <f>50.55042241</f>
        <v>50.550422410000003</v>
      </c>
      <c r="J23">
        <f>79.651537</f>
        <v>79.651537000000005</v>
      </c>
      <c r="K23">
        <f>7.631465</f>
        <v>7.6314650000000004</v>
      </c>
      <c r="L23">
        <f>3225.2057</f>
        <v>3225.2057</v>
      </c>
    </row>
    <row r="24" spans="1:12" x14ac:dyDescent="0.25">
      <c r="A24">
        <f>0.82</f>
        <v>0.82</v>
      </c>
      <c r="B24">
        <f>55.25757834</f>
        <v>55.257578340000002</v>
      </c>
      <c r="C24">
        <f>51.63315405</f>
        <v>51.633154050000002</v>
      </c>
      <c r="D24">
        <f>12.47016276</f>
        <v>12.470162759999999</v>
      </c>
      <c r="E24">
        <f>64.10331681</f>
        <v>64.103316809999995</v>
      </c>
      <c r="F24">
        <f>51.84926045</f>
        <v>51.849260450000003</v>
      </c>
      <c r="G24">
        <f>48.44839265</f>
        <v>48.448392650000002</v>
      </c>
      <c r="H24">
        <f>2.779698151</f>
        <v>2.7796981509999998</v>
      </c>
      <c r="I24">
        <f>51.2280908</f>
        <v>51.228090799999997</v>
      </c>
      <c r="J24">
        <f>74.40514</f>
        <v>74.405140000000003</v>
      </c>
      <c r="K24">
        <f>7.8344894</f>
        <v>7.8344893999999998</v>
      </c>
      <c r="L24">
        <f>2976.0304</f>
        <v>2976.0304000000001</v>
      </c>
    </row>
    <row r="25" spans="1:12" x14ac:dyDescent="0.25">
      <c r="A25">
        <f>0.83</f>
        <v>0.83</v>
      </c>
      <c r="B25">
        <f>55.93145125</f>
        <v>55.931451250000002</v>
      </c>
      <c r="C25">
        <f>52.40416984</f>
        <v>52.404169840000002</v>
      </c>
      <c r="D25">
        <f>12.25372231</f>
        <v>12.253722310000001</v>
      </c>
      <c r="E25">
        <f>64.65789215</f>
        <v>64.657892149999995</v>
      </c>
      <c r="F25">
        <f>52.48156851</f>
        <v>52.481568510000002</v>
      </c>
      <c r="G25">
        <f>49.17185176</f>
        <v>49.171851760000003</v>
      </c>
      <c r="H25">
        <f>2.734964074</f>
        <v>2.7349640740000001</v>
      </c>
      <c r="I25">
        <f>51.90681583</f>
        <v>51.906815829999999</v>
      </c>
      <c r="J25">
        <f>68.914412</f>
        <v>68.914411999999999</v>
      </c>
      <c r="K25">
        <f>8.0534599</f>
        <v>8.0534599</v>
      </c>
      <c r="L25">
        <f>2723.2044</f>
        <v>2723.2044000000001</v>
      </c>
    </row>
    <row r="26" spans="1:12" x14ac:dyDescent="0.25">
      <c r="A26">
        <f>0.84</f>
        <v>0.84</v>
      </c>
      <c r="B26">
        <f>56.60532415</f>
        <v>56.605324150000001</v>
      </c>
      <c r="C26">
        <f>53.17807461</f>
        <v>53.178074610000003</v>
      </c>
      <c r="D26">
        <f>12.03085101</f>
        <v>12.030851009999999</v>
      </c>
      <c r="E26">
        <f>65.20892562</f>
        <v>65.208925620000002</v>
      </c>
      <c r="F26">
        <f>53.11387656</f>
        <v>53.113876560000001</v>
      </c>
      <c r="G26">
        <f>49.89802166</f>
        <v>49.898021659999998</v>
      </c>
      <c r="H26">
        <f>2.688965214</f>
        <v>2.688965214</v>
      </c>
      <c r="I26">
        <f>52.58698687</f>
        <v>52.586986869999997</v>
      </c>
      <c r="J26">
        <f>63.138627</f>
        <v>63.138627</v>
      </c>
      <c r="K26">
        <f>8.2921134</f>
        <v>8.2921133999999999</v>
      </c>
      <c r="L26">
        <f>2465.2679</f>
        <v>2465.2678999999998</v>
      </c>
    </row>
    <row r="27" spans="1:12" x14ac:dyDescent="0.25">
      <c r="A27">
        <f>0.85</f>
        <v>0.85</v>
      </c>
      <c r="B27">
        <f>57.27919706</f>
        <v>57.279197060000001</v>
      </c>
      <c r="C27">
        <f>53.95618229</f>
        <v>53.956182290000001</v>
      </c>
      <c r="D27">
        <f>11.79862267</f>
        <v>11.79862267</v>
      </c>
      <c r="E27">
        <f>65.75480496</f>
        <v>65.754804960000001</v>
      </c>
      <c r="F27">
        <f>53.74618461</f>
        <v>53.74618461</v>
      </c>
      <c r="G27">
        <f>50.62813522</f>
        <v>50.628135219999997</v>
      </c>
      <c r="H27">
        <f>2.64111058</f>
        <v>2.6411105799999999</v>
      </c>
      <c r="I27">
        <f>53.2692458</f>
        <v>53.2692458</v>
      </c>
      <c r="J27">
        <f>57.012875</f>
        <v>57.012875000000001</v>
      </c>
      <c r="K27">
        <f>8.5563217</f>
        <v>8.5563216999999998</v>
      </c>
      <c r="L27">
        <f>2199.8967</f>
        <v>2199.8966999999998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27"/>
  <sheetViews>
    <sheetView workbookViewId="0"/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>40.92545213</f>
        <v>40.925452129999996</v>
      </c>
      <c r="C2">
        <f>35.27896844</f>
        <v>35.27896844</v>
      </c>
      <c r="D2">
        <f>15.84558118</f>
        <v>15.84558118</v>
      </c>
      <c r="E2">
        <f>51.12454962</f>
        <v>51.124549620000003</v>
      </c>
      <c r="F2">
        <f>38.40114769</f>
        <v>38.401147690000002</v>
      </c>
      <c r="G2">
        <f>33.10294223</f>
        <v>33.102942229999996</v>
      </c>
      <c r="H2">
        <f>3.441383798</f>
        <v>3.4413837979999999</v>
      </c>
      <c r="I2">
        <f>36.54432602</f>
        <v>36.54432602</v>
      </c>
      <c r="J2">
        <f>149.79937</f>
        <v>149.79937000000001</v>
      </c>
      <c r="K2">
        <f>5.064005</f>
        <v>5.0640049999999999</v>
      </c>
      <c r="L2">
        <f>8188.55</f>
        <v>8188.55</v>
      </c>
    </row>
    <row r="3" spans="1:12" x14ac:dyDescent="0.25">
      <c r="A3">
        <f>0.61</f>
        <v>0.61</v>
      </c>
      <c r="B3">
        <f>41.607543</f>
        <v>41.607543</v>
      </c>
      <c r="C3">
        <f>36.04821303</f>
        <v>36.048213029999999</v>
      </c>
      <c r="D3">
        <f>15.6513432</f>
        <v>15.651343199999999</v>
      </c>
      <c r="E3">
        <f>51.69955622</f>
        <v>51.699556219999998</v>
      </c>
      <c r="F3">
        <f>39.04116681</f>
        <v>39.04116681</v>
      </c>
      <c r="G3">
        <f>33.82473938</f>
        <v>33.824739379999997</v>
      </c>
      <c r="H3">
        <f>3.400444</f>
        <v>3.4004439999999998</v>
      </c>
      <c r="I3">
        <f>37.22518338</f>
        <v>37.225183379999997</v>
      </c>
      <c r="J3">
        <f>147.94673</f>
        <v>147.94673</v>
      </c>
      <c r="K3">
        <f>5.1441377</f>
        <v>5.1441376999999999</v>
      </c>
      <c r="L3">
        <f>7954.7003</f>
        <v>7954.7003000000004</v>
      </c>
    </row>
    <row r="4" spans="1:12" x14ac:dyDescent="0.25">
      <c r="A4">
        <f>0.62</f>
        <v>0.62</v>
      </c>
      <c r="B4">
        <f>42.28963387</f>
        <v>42.289633870000003</v>
      </c>
      <c r="C4">
        <f>36.81754669</f>
        <v>36.81754669</v>
      </c>
      <c r="D4">
        <f>15.45690788</f>
        <v>15.456907879999999</v>
      </c>
      <c r="E4">
        <f>52.27445457</f>
        <v>52.274454570000003</v>
      </c>
      <c r="F4">
        <f>39.68118594</f>
        <v>39.681185939999999</v>
      </c>
      <c r="G4">
        <f>34.54662012</f>
        <v>34.54662012</v>
      </c>
      <c r="H4">
        <f>3.359469775</f>
        <v>3.359469775</v>
      </c>
      <c r="I4">
        <f>37.90608989</f>
        <v>37.906089889999997</v>
      </c>
      <c r="J4">
        <f>145.94856</f>
        <v>145.94855999999999</v>
      </c>
      <c r="K4">
        <f>5.2269332</f>
        <v>5.2269332000000004</v>
      </c>
      <c r="L4">
        <f>7720.6953</f>
        <v>7720.6953000000003</v>
      </c>
    </row>
    <row r="5" spans="1:12" x14ac:dyDescent="0.25">
      <c r="A5">
        <f>0.63</f>
        <v>0.63</v>
      </c>
      <c r="B5">
        <f>42.97172474</f>
        <v>42.971724739999999</v>
      </c>
      <c r="C5">
        <f>37.58697799</f>
        <v>37.586977990000001</v>
      </c>
      <c r="D5">
        <f>15.26225623</f>
        <v>15.26225623</v>
      </c>
      <c r="E5">
        <f>52.84923421</f>
        <v>52.849234209999999</v>
      </c>
      <c r="F5">
        <f>40.32120507</f>
        <v>40.321205069999998</v>
      </c>
      <c r="G5">
        <f>35.26859247</f>
        <v>35.268592470000002</v>
      </c>
      <c r="H5">
        <f>3.31845748</f>
        <v>3.3184574800000002</v>
      </c>
      <c r="I5">
        <f>38.58704995</f>
        <v>38.587049950000001</v>
      </c>
      <c r="J5">
        <f>143.80443</f>
        <v>143.80443</v>
      </c>
      <c r="K5">
        <f>5.3125347</f>
        <v>5.3125346999999996</v>
      </c>
      <c r="L5">
        <f>7486.5201</f>
        <v>7486.5200999999997</v>
      </c>
    </row>
    <row r="6" spans="1:12" x14ac:dyDescent="0.25">
      <c r="A6">
        <f>0.64</f>
        <v>0.64</v>
      </c>
      <c r="B6">
        <f>43.65381561</f>
        <v>43.653815610000002</v>
      </c>
      <c r="C6">
        <f>38.35651662</f>
        <v>38.356516620000001</v>
      </c>
      <c r="D6">
        <f>15.06736667</f>
        <v>15.06736667</v>
      </c>
      <c r="E6">
        <f>53.42388329</f>
        <v>53.423883289999999</v>
      </c>
      <c r="F6">
        <f>40.9612242</f>
        <v>40.961224199999997</v>
      </c>
      <c r="G6">
        <f>35.99066554</f>
        <v>35.990665540000002</v>
      </c>
      <c r="H6">
        <f>3.277402962</f>
        <v>3.277402962</v>
      </c>
      <c r="I6">
        <f>39.2680685</f>
        <v>39.268068499999998</v>
      </c>
      <c r="J6">
        <f>141.51385</f>
        <v>141.51384999999999</v>
      </c>
      <c r="K6">
        <f>5.4010971</f>
        <v>5.4010971000000003</v>
      </c>
      <c r="L6">
        <f>7252.1576</f>
        <v>7252.1575999999995</v>
      </c>
    </row>
    <row r="7" spans="1:12" x14ac:dyDescent="0.25">
      <c r="A7">
        <f>0.65</f>
        <v>0.65</v>
      </c>
      <c r="B7">
        <f>44.33590648</f>
        <v>44.335906479999998</v>
      </c>
      <c r="C7">
        <f>39.12617365</f>
        <v>39.126173649999998</v>
      </c>
      <c r="D7">
        <f>14.87221464</f>
        <v>14.872214639999999</v>
      </c>
      <c r="E7">
        <f>53.99838829</f>
        <v>53.998388290000001</v>
      </c>
      <c r="F7">
        <f>41.60124333</f>
        <v>41.601243330000003</v>
      </c>
      <c r="G7">
        <f>36.7128497</f>
        <v>36.7128497</v>
      </c>
      <c r="H7">
        <f>3.236301462</f>
        <v>3.2363014620000001</v>
      </c>
      <c r="I7">
        <f>39.94915116</f>
        <v>39.94915116</v>
      </c>
      <c r="J7">
        <f>139.07625</f>
        <v>139.07624999999999</v>
      </c>
      <c r="K7">
        <f>5.4927885</f>
        <v>5.4927884999999996</v>
      </c>
      <c r="L7">
        <f>7017.5884</f>
        <v>7017.5883999999996</v>
      </c>
    </row>
    <row r="8" spans="1:12" x14ac:dyDescent="0.25">
      <c r="A8">
        <f>0.66</f>
        <v>0.66</v>
      </c>
      <c r="B8">
        <f>45.01799734</f>
        <v>45.017997340000001</v>
      </c>
      <c r="C8">
        <f>39.89596173</f>
        <v>39.895961730000003</v>
      </c>
      <c r="D8">
        <f>14.67677203</f>
        <v>14.67677203</v>
      </c>
      <c r="E8">
        <f>54.57273376</f>
        <v>54.572733759999998</v>
      </c>
      <c r="F8">
        <f>42.24126246</f>
        <v>42.241262460000002</v>
      </c>
      <c r="G8">
        <f>37.43515682</f>
        <v>37.435156820000003</v>
      </c>
      <c r="H8">
        <f>3.195147511</f>
        <v>3.1951475110000001</v>
      </c>
      <c r="I8">
        <f>40.63030433</f>
        <v>40.630304330000001</v>
      </c>
      <c r="J8">
        <f>136.49101</f>
        <v>136.49100999999999</v>
      </c>
      <c r="K8">
        <f>5.5877913</f>
        <v>5.5877913000000001</v>
      </c>
      <c r="L8">
        <f>6782.7904</f>
        <v>6782.7903999999999</v>
      </c>
    </row>
    <row r="9" spans="1:12" x14ac:dyDescent="0.25">
      <c r="A9">
        <f>0.67</f>
        <v>0.67</v>
      </c>
      <c r="B9">
        <f>45.70008821</f>
        <v>45.700088209999997</v>
      </c>
      <c r="C9">
        <f>40.6658954</f>
        <v>40.665895399999997</v>
      </c>
      <c r="D9">
        <f>14.4810065</f>
        <v>14.481006499999999</v>
      </c>
      <c r="E9">
        <f>55.14690189</f>
        <v>55.146901890000002</v>
      </c>
      <c r="F9">
        <f>42.88128158</f>
        <v>42.88128158</v>
      </c>
      <c r="G9">
        <f>38.15760055</f>
        <v>38.157600549999998</v>
      </c>
      <c r="H9">
        <f>3.153934785</f>
        <v>3.1539347850000001</v>
      </c>
      <c r="I9">
        <f>41.31153534</f>
        <v>41.311535339999999</v>
      </c>
      <c r="J9">
        <f>133.7574</f>
        <v>133.75739999999999</v>
      </c>
      <c r="K9">
        <f>5.6863043</f>
        <v>5.6863042999999998</v>
      </c>
      <c r="L9">
        <f>6547.7378</f>
        <v>6547.7377999999999</v>
      </c>
    </row>
    <row r="10" spans="1:12" x14ac:dyDescent="0.25">
      <c r="A10">
        <f>0.68</f>
        <v>0.68</v>
      </c>
      <c r="B10">
        <f>46.38217908</f>
        <v>46.38217908</v>
      </c>
      <c r="C10">
        <f>41.43599075</f>
        <v>41.435990750000002</v>
      </c>
      <c r="D10">
        <f>14.28488225</f>
        <v>14.284882250000001</v>
      </c>
      <c r="E10">
        <f>55.72087301</f>
        <v>55.720873009999998</v>
      </c>
      <c r="F10">
        <f>43.52130071</f>
        <v>43.521300709999998</v>
      </c>
      <c r="G10">
        <f>38.88019601</f>
        <v>38.880196009999999</v>
      </c>
      <c r="H10">
        <f>3.112656275</f>
        <v>3.112656275</v>
      </c>
      <c r="I10">
        <f>41.99285228</f>
        <v>41.992852280000001</v>
      </c>
      <c r="J10">
        <f>130.87603</f>
        <v>130.87602999999999</v>
      </c>
      <c r="K10">
        <f>5.7885445</f>
        <v>5.7885445000000004</v>
      </c>
      <c r="L10">
        <f>6312.4722</f>
        <v>6312.4722000000002</v>
      </c>
    </row>
    <row r="11" spans="1:12" x14ac:dyDescent="0.25">
      <c r="A11">
        <f>0.69</f>
        <v>0.69</v>
      </c>
      <c r="B11">
        <f>47.06426995</f>
        <v>47.064269950000003</v>
      </c>
      <c r="C11">
        <f>42.20626874</f>
        <v>42.206268739999999</v>
      </c>
      <c r="D11">
        <f>14.08835273</f>
        <v>14.08835273</v>
      </c>
      <c r="E11">
        <f>56.29462147</f>
        <v>56.294621470000003</v>
      </c>
      <c r="F11">
        <f>44.16131984</f>
        <v>44.161319839999997</v>
      </c>
      <c r="G11">
        <f>39.60296282</f>
        <v>39.602962820000002</v>
      </c>
      <c r="H11">
        <f>3.071302753</f>
        <v>3.0713027529999999</v>
      </c>
      <c r="I11">
        <f>42.67426557</f>
        <v>42.674265570000003</v>
      </c>
      <c r="J11">
        <f>127.84305</f>
        <v>127.84305000000001</v>
      </c>
      <c r="K11">
        <f>5.8947525</f>
        <v>5.8947525000000001</v>
      </c>
      <c r="L11">
        <f>6076.819</f>
        <v>6076.8190000000004</v>
      </c>
    </row>
    <row r="12" spans="1:12" x14ac:dyDescent="0.25">
      <c r="A12">
        <f>0.7</f>
        <v>0.7</v>
      </c>
      <c r="B12">
        <f>47.74636082</f>
        <v>47.74636082</v>
      </c>
      <c r="C12">
        <f>42.97675162</f>
        <v>42.976751620000002</v>
      </c>
      <c r="D12">
        <f>13.89136843</f>
        <v>13.89136843</v>
      </c>
      <c r="E12">
        <f>56.86812005</f>
        <v>56.868120050000002</v>
      </c>
      <c r="F12">
        <f>44.80133897</f>
        <v>44.801338970000003</v>
      </c>
      <c r="G12">
        <f>40.32592189</f>
        <v>40.325921889999996</v>
      </c>
      <c r="H12">
        <f>3.029864425</f>
        <v>3.029864425</v>
      </c>
      <c r="I12">
        <f>43.35578632</f>
        <v>43.35578632</v>
      </c>
      <c r="J12">
        <f>124.6587</f>
        <v>124.6587</v>
      </c>
      <c r="K12">
        <f>6.0051916</f>
        <v>6.0051915999999999</v>
      </c>
      <c r="L12">
        <f>5840.8068</f>
        <v>5840.8068000000003</v>
      </c>
    </row>
    <row r="13" spans="1:12" x14ac:dyDescent="0.25">
      <c r="A13">
        <f>0.71</f>
        <v>0.71</v>
      </c>
      <c r="B13">
        <f>48.42845169</f>
        <v>48.428451690000003</v>
      </c>
      <c r="C13">
        <f>43.7474664</f>
        <v>43.7474664</v>
      </c>
      <c r="D13">
        <f>13.69386926</f>
        <v>13.69386926</v>
      </c>
      <c r="E13">
        <f>57.44133566</f>
        <v>57.44133566</v>
      </c>
      <c r="F13">
        <f>45.4413581</f>
        <v>45.441358100000002</v>
      </c>
      <c r="G13">
        <f>41.04909856</f>
        <v>41.049098559999997</v>
      </c>
      <c r="H13">
        <f>2.98832933</f>
        <v>2.98832933</v>
      </c>
      <c r="I13">
        <f>44.03742789</f>
        <v>44.037427889999996</v>
      </c>
      <c r="J13">
        <f>121.32163</f>
        <v>121.32163</v>
      </c>
      <c r="K13">
        <f>6.1201544</f>
        <v>6.1201543999999997</v>
      </c>
      <c r="L13">
        <f>5604.3876</f>
        <v>5604.3876</v>
      </c>
    </row>
    <row r="14" spans="1:12" x14ac:dyDescent="0.25">
      <c r="A14">
        <f>0.72</f>
        <v>0.72</v>
      </c>
      <c r="B14">
        <f>49.11054256</f>
        <v>49.110542559999999</v>
      </c>
      <c r="C14">
        <f>44.51844521</f>
        <v>44.518445210000003</v>
      </c>
      <c r="D14">
        <f>13.49578378</f>
        <v>13.49578378</v>
      </c>
      <c r="E14">
        <f>58.01422899</f>
        <v>58.014228989999999</v>
      </c>
      <c r="F14">
        <f>46.08137722</f>
        <v>46.08137722</v>
      </c>
      <c r="G14">
        <f>41.77252297</f>
        <v>41.772522969999997</v>
      </c>
      <c r="H14">
        <f>2.946683193</f>
        <v>2.9466831930000001</v>
      </c>
      <c r="I14">
        <f>44.71920617</f>
        <v>44.71920617</v>
      </c>
      <c r="J14">
        <f>117.8302</f>
        <v>117.8302</v>
      </c>
      <c r="K14">
        <f>6.2399677</f>
        <v>6.2399677000000002</v>
      </c>
      <c r="L14">
        <f>5367.5043</f>
        <v>5367.5042999999996</v>
      </c>
    </row>
    <row r="15" spans="1:12" x14ac:dyDescent="0.25">
      <c r="A15">
        <f>0.73</f>
        <v>0.73</v>
      </c>
      <c r="B15">
        <f>49.79263343</f>
        <v>49.792633430000002</v>
      </c>
      <c r="C15">
        <f>45.28972653</f>
        <v>45.289726530000003</v>
      </c>
      <c r="D15">
        <f>13.29702635</f>
        <v>13.297026349999999</v>
      </c>
      <c r="E15">
        <f>58.58675288</f>
        <v>58.586752879999999</v>
      </c>
      <c r="F15">
        <f>46.72139635</f>
        <v>46.721396349999999</v>
      </c>
      <c r="G15">
        <f>42.49623124</f>
        <v>42.49623124</v>
      </c>
      <c r="H15">
        <f>2.904908832</f>
        <v>2.9049088319999998</v>
      </c>
      <c r="I15">
        <f>45.40114007</f>
        <v>45.401140069999997</v>
      </c>
      <c r="J15">
        <f>114.18247</f>
        <v>114.18247</v>
      </c>
      <c r="K15">
        <f>6.3649983</f>
        <v>6.3649982999999999</v>
      </c>
      <c r="L15">
        <f>5130.0884</f>
        <v>5130.0883999999996</v>
      </c>
    </row>
    <row r="16" spans="1:12" x14ac:dyDescent="0.25">
      <c r="A16">
        <f>0.74</f>
        <v>0.74</v>
      </c>
      <c r="B16">
        <f>50.4747243</f>
        <v>50.474724299999998</v>
      </c>
      <c r="C16">
        <f>46.06135696</f>
        <v>46.061356959999998</v>
      </c>
      <c r="D16">
        <f>13.0974933</f>
        <v>13.0974933</v>
      </c>
      <c r="E16">
        <f>59.15885026</f>
        <v>59.158850260000001</v>
      </c>
      <c r="F16">
        <f>47.36141548</f>
        <v>47.361415479999998</v>
      </c>
      <c r="G16">
        <f>43.22026707</f>
        <v>43.220267069999998</v>
      </c>
      <c r="H16">
        <f>2.862985371</f>
        <v>2.8629853710000002</v>
      </c>
      <c r="I16">
        <f>46.08325244</f>
        <v>46.083252440000003</v>
      </c>
      <c r="J16">
        <f>110.37607</f>
        <v>110.37607</v>
      </c>
      <c r="K16">
        <f>6.4956616</f>
        <v>6.4956616</v>
      </c>
      <c r="L16">
        <f>4892.0565</f>
        <v>4892.0564999999997</v>
      </c>
    </row>
    <row r="17" spans="1:12" x14ac:dyDescent="0.25">
      <c r="A17">
        <f>0.75</f>
        <v>0.75</v>
      </c>
      <c r="B17">
        <f>51.15681516</f>
        <v>51.156815160000001</v>
      </c>
      <c r="C17">
        <f>46.83339349</f>
        <v>46.833393489999999</v>
      </c>
      <c r="D17">
        <f>12.89705777</f>
        <v>12.89705777</v>
      </c>
      <c r="E17">
        <f>59.73045127</f>
        <v>59.730451270000003</v>
      </c>
      <c r="F17">
        <f>48.00143461</f>
        <v>48.001434609999997</v>
      </c>
      <c r="G17">
        <f>43.94468397</f>
        <v>43.94468397</v>
      </c>
      <c r="H17">
        <f>2.820887172</f>
        <v>2.8208871719999999</v>
      </c>
      <c r="I17">
        <f>46.76557114</f>
        <v>46.765571139999999</v>
      </c>
      <c r="J17">
        <f>106.40809</f>
        <v>106.40809</v>
      </c>
      <c r="K17">
        <f>6.6324326</f>
        <v>6.6324325999999996</v>
      </c>
      <c r="L17">
        <f>4653.3064</f>
        <v>4653.3064000000004</v>
      </c>
    </row>
    <row r="18" spans="1:12" x14ac:dyDescent="0.25">
      <c r="A18">
        <f>0.76</f>
        <v>0.76</v>
      </c>
      <c r="B18">
        <f>51.83890603</f>
        <v>51.838906029999997</v>
      </c>
      <c r="C18">
        <f>47.60590676</f>
        <v>47.605906760000003</v>
      </c>
      <c r="D18">
        <f>12.6955626</f>
        <v>12.695562600000001</v>
      </c>
      <c r="E18">
        <f>60.30146936</f>
        <v>60.301469359999999</v>
      </c>
      <c r="F18">
        <f>48.64145374</f>
        <v>48.641453740000003</v>
      </c>
      <c r="G18">
        <f>44.66954819</f>
        <v>44.66954819</v>
      </c>
      <c r="H18">
        <f>2.778582371</f>
        <v>2.7785823710000002</v>
      </c>
      <c r="I18">
        <f>47.44813056</f>
        <v>47.448130560000003</v>
      </c>
      <c r="J18">
        <f>102.27493</f>
        <v>102.27493</v>
      </c>
      <c r="K18">
        <f>6.7758595</f>
        <v>6.7758595000000001</v>
      </c>
      <c r="L18">
        <f>4413.7109</f>
        <v>4413.7109</v>
      </c>
    </row>
    <row r="19" spans="1:12" x14ac:dyDescent="0.25">
      <c r="A19">
        <f>0.77</f>
        <v>0.77</v>
      </c>
      <c r="B19">
        <f>52.5209969</f>
        <v>52.5209969</v>
      </c>
      <c r="C19">
        <f>48.37898546</f>
        <v>48.378985460000003</v>
      </c>
      <c r="D19">
        <f>12.49281034</f>
        <v>12.49281034</v>
      </c>
      <c r="E19">
        <f>60.8717958</f>
        <v>60.871795800000001</v>
      </c>
      <c r="F19">
        <f>49.28147286</f>
        <v>49.281472860000001</v>
      </c>
      <c r="G19">
        <f>45.39494297</f>
        <v>45.394942970000002</v>
      </c>
      <c r="H19">
        <f>2.73603081</f>
        <v>2.7360308099999999</v>
      </c>
      <c r="I19">
        <f>48.13097378</f>
        <v>48.130973779999998</v>
      </c>
      <c r="J19">
        <f>97.972066</f>
        <v>97.972065999999998</v>
      </c>
      <c r="K19">
        <f>6.926584</f>
        <v>6.9265840000000001</v>
      </c>
      <c r="L19">
        <f>4173.1098</f>
        <v>4173.1098000000002</v>
      </c>
    </row>
    <row r="20" spans="1:12" x14ac:dyDescent="0.25">
      <c r="A20">
        <f>0.78</f>
        <v>0.78</v>
      </c>
      <c r="B20">
        <f>53.20308777</f>
        <v>53.203087770000003</v>
      </c>
      <c r="C20">
        <f>49.15274284</f>
        <v>49.152742840000002</v>
      </c>
      <c r="D20">
        <f>12.28854888</f>
        <v>12.28854888</v>
      </c>
      <c r="E20">
        <f>61.44129173</f>
        <v>61.441291730000003</v>
      </c>
      <c r="F20">
        <f>49.92149199</f>
        <v>49.92149199</v>
      </c>
      <c r="G20">
        <f>46.12097457</f>
        <v>46.120974570000001</v>
      </c>
      <c r="H20">
        <f>2.693181063</f>
        <v>2.6931810629999999</v>
      </c>
      <c r="I20">
        <f>48.81415564</f>
        <v>48.814155640000003</v>
      </c>
      <c r="J20">
        <f>93.493678</f>
        <v>93.493678000000003</v>
      </c>
      <c r="K20">
        <f>7.0853691</f>
        <v>7.0853691000000003</v>
      </c>
      <c r="L20">
        <f>3931.2976</f>
        <v>3931.2975999999999</v>
      </c>
    </row>
    <row r="21" spans="1:12" x14ac:dyDescent="0.25">
      <c r="A21">
        <f>0.79</f>
        <v>0.79</v>
      </c>
      <c r="B21">
        <f>53.88517864</f>
        <v>53.885178639999999</v>
      </c>
      <c r="C21">
        <f>49.92732627</f>
        <v>49.927326270000002</v>
      </c>
      <c r="D21">
        <f>12.08245018</f>
        <v>12.08245018</v>
      </c>
      <c r="E21">
        <f>62.00977644</f>
        <v>62.009776440000003</v>
      </c>
      <c r="F21">
        <f>50.56151112</f>
        <v>50.561511119999999</v>
      </c>
      <c r="G21">
        <f>46.84778126</f>
        <v>46.847781259999998</v>
      </c>
      <c r="H21">
        <f>2.649966031</f>
        <v>2.6499660309999999</v>
      </c>
      <c r="I21">
        <f>49.49774729</f>
        <v>49.49774729</v>
      </c>
      <c r="J21">
        <f>88.832193</f>
        <v>88.832193000000004</v>
      </c>
      <c r="K21">
        <f>7.2531384</f>
        <v>7.2531384000000001</v>
      </c>
      <c r="L21">
        <f>3688.0056</f>
        <v>3688.0056</v>
      </c>
    </row>
    <row r="22" spans="1:12" x14ac:dyDescent="0.25">
      <c r="A22">
        <f>0.8</f>
        <v>0.8</v>
      </c>
      <c r="B22">
        <f>54.56726951</f>
        <v>54.567269510000003</v>
      </c>
      <c r="C22">
        <f>50.70293185</f>
        <v>50.702931849999999</v>
      </c>
      <c r="D22">
        <f>11.87407756</f>
        <v>11.87407756</v>
      </c>
      <c r="E22">
        <f>62.57700941</f>
        <v>62.577009410000002</v>
      </c>
      <c r="F22">
        <f>51.20153025</f>
        <v>51.201530249999998</v>
      </c>
      <c r="G22">
        <f>47.57554707</f>
        <v>47.575547069999999</v>
      </c>
      <c r="H22">
        <f>2.60629618</f>
        <v>2.6062961800000002</v>
      </c>
      <c r="I22">
        <f>50.18184325</f>
        <v>50.18184325</v>
      </c>
      <c r="J22">
        <f>83.977497</f>
        <v>83.977497</v>
      </c>
      <c r="K22">
        <f>7.431037</f>
        <v>7.4310369999999999</v>
      </c>
      <c r="L22">
        <f>3442.8746</f>
        <v>3442.8746000000001</v>
      </c>
    </row>
    <row r="23" spans="1:12" x14ac:dyDescent="0.25">
      <c r="A23">
        <f>0.81</f>
        <v>0.81</v>
      </c>
      <c r="B23">
        <f>55.24936038</f>
        <v>55.249360379999999</v>
      </c>
      <c r="C23">
        <f>51.47982786</f>
        <v>51.47982786</v>
      </c>
      <c r="D23">
        <f>11.6628337</f>
        <v>11.6628337</v>
      </c>
      <c r="E23">
        <f>63.14266156</f>
        <v>63.142661560000001</v>
      </c>
      <c r="F23">
        <f>51.84154938</f>
        <v>51.841549379999996</v>
      </c>
      <c r="G23">
        <f>48.3045237</f>
        <v>48.304523699999997</v>
      </c>
      <c r="H23">
        <f>2.562048758</f>
        <v>2.562048758</v>
      </c>
      <c r="I23">
        <f>50.86657246</f>
        <v>50.86657246</v>
      </c>
      <c r="J23">
        <f>78.915711</f>
        <v>78.915711000000002</v>
      </c>
      <c r="K23">
        <f>7.6205258</f>
        <v>7.6205258000000002</v>
      </c>
      <c r="L23">
        <f>3195.411</f>
        <v>3195.4110000000001</v>
      </c>
    </row>
    <row r="24" spans="1:12" x14ac:dyDescent="0.25">
      <c r="A24">
        <f>0.82</f>
        <v>0.82</v>
      </c>
      <c r="B24">
        <f>55.93145125</f>
        <v>55.931451250000002</v>
      </c>
      <c r="C24">
        <f>52.25839392</f>
        <v>52.258393920000003</v>
      </c>
      <c r="D24">
        <f>11.44787323</f>
        <v>11.447873230000001</v>
      </c>
      <c r="E24">
        <f>63.70626715</f>
        <v>63.706267150000002</v>
      </c>
      <c r="F24">
        <f>52.48156851</f>
        <v>52.481568510000002</v>
      </c>
      <c r="G24">
        <f>49.03506738</f>
        <v>49.035067380000001</v>
      </c>
      <c r="H24">
        <f>2.517049692</f>
        <v>2.5170496920000001</v>
      </c>
      <c r="I24">
        <f>51.55211707</f>
        <v>51.552117070000001</v>
      </c>
      <c r="J24">
        <f>73.627142</f>
        <v>73.627142000000006</v>
      </c>
      <c r="K24">
        <f>7.8235375</f>
        <v>7.8235374999999996</v>
      </c>
      <c r="L24">
        <f>2944.9123</f>
        <v>2944.9123</v>
      </c>
    </row>
    <row r="25" spans="1:12" x14ac:dyDescent="0.25">
      <c r="A25">
        <f>0.83</f>
        <v>0.83</v>
      </c>
      <c r="B25">
        <f>56.61354211</f>
        <v>56.613542109999997</v>
      </c>
      <c r="C25">
        <f>53.03918926</f>
        <v>53.039189260000001</v>
      </c>
      <c r="D25">
        <f>11.22795079</f>
        <v>11.22795079</v>
      </c>
      <c r="E25">
        <f>64.26714005</f>
        <v>64.267140049999995</v>
      </c>
      <c r="F25">
        <f>53.12158763</f>
        <v>53.121587630000001</v>
      </c>
      <c r="G25">
        <f>49.76770283</f>
        <v>49.767702829999998</v>
      </c>
      <c r="H25">
        <f>2.471042108</f>
        <v>2.4710421079999998</v>
      </c>
      <c r="I25">
        <f>52.23874494</f>
        <v>52.238744939999997</v>
      </c>
      <c r="J25">
        <f>68.083461</f>
        <v>68.083461</v>
      </c>
      <c r="K25">
        <f>8.0427482</f>
        <v>8.0427482000000001</v>
      </c>
      <c r="L25">
        <f>2690.3687</f>
        <v>2690.3687</v>
      </c>
    </row>
    <row r="26" spans="1:12" x14ac:dyDescent="0.25">
      <c r="A26">
        <f>0.84</f>
        <v>0.84</v>
      </c>
      <c r="B26">
        <f>57.29563298</f>
        <v>57.295632980000001</v>
      </c>
      <c r="C26">
        <f>53.82309489</f>
        <v>53.82309489</v>
      </c>
      <c r="D26">
        <f>11.00110429</f>
        <v>11.001104290000001</v>
      </c>
      <c r="E26">
        <f>64.82419918</f>
        <v>64.824199179999994</v>
      </c>
      <c r="F26">
        <f>53.76160676</f>
        <v>53.761606759999999</v>
      </c>
      <c r="G26">
        <f>50.50325673</f>
        <v>50.503256729999997</v>
      </c>
      <c r="H26">
        <f>2.423620639</f>
        <v>2.4236206390000001</v>
      </c>
      <c r="I26">
        <f>52.92687737</f>
        <v>52.92687737</v>
      </c>
      <c r="J26">
        <f>62.237556</f>
        <v>62.237555999999998</v>
      </c>
      <c r="K26">
        <f>8.2821206</f>
        <v>8.2821206000000007</v>
      </c>
      <c r="L26">
        <f>2430.0853</f>
        <v>2430.0853000000002</v>
      </c>
    </row>
    <row r="27" spans="1:12" x14ac:dyDescent="0.25">
      <c r="A27">
        <f>0.85</f>
        <v>0.85</v>
      </c>
      <c r="B27">
        <f>57.97772385</f>
        <v>57.977723849999997</v>
      </c>
      <c r="C27">
        <f>54.61160008</f>
        <v>54.611600080000002</v>
      </c>
      <c r="D27">
        <f>10.76401688</f>
        <v>10.76401688</v>
      </c>
      <c r="E27">
        <f>65.37561696</f>
        <v>65.375616960000002</v>
      </c>
      <c r="F27">
        <f>54.40162589</f>
        <v>54.401625889999998</v>
      </c>
      <c r="G27">
        <f>51.24312648</f>
        <v>51.243126480000001</v>
      </c>
      <c r="H27">
        <f>2.374099199</f>
        <v>2.3740991990000002</v>
      </c>
      <c r="I27">
        <f>53.61722568</f>
        <v>53.617225679999997</v>
      </c>
      <c r="J27">
        <f>56.012673</f>
        <v>56.012672999999999</v>
      </c>
      <c r="K27">
        <f>8.5480245</f>
        <v>8.5480245000000004</v>
      </c>
      <c r="L27">
        <f>2161.3029</f>
        <v>2161.3029000000001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zoomScale="85" zoomScaleNormal="85" workbookViewId="0">
      <selection activeCell="B1" sqref="B1:Q1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'MeOH FU 0.7'!A2</f>
        <v>0.6</v>
      </c>
      <c r="B2" s="15">
        <f>'MeOH FU 0.7'!$C2</f>
        <v>29.828510430000001</v>
      </c>
      <c r="C2" s="15">
        <f>'MeOH FU 0.71'!$C2</f>
        <v>30.247671270000001</v>
      </c>
      <c r="D2" s="15">
        <f>'MeOH FU 0.72'!$C2</f>
        <v>30.666847220000001</v>
      </c>
      <c r="E2" s="15">
        <f>'MeOH FU 0.73'!$C2</f>
        <v>31.086039889999999</v>
      </c>
      <c r="F2" s="15">
        <f>'MeOH FU 0.74'!$C2</f>
        <v>31.505249280000001</v>
      </c>
      <c r="G2" s="15">
        <f>'MeOH FU 0.75'!$C2</f>
        <v>31.92447589</v>
      </c>
      <c r="H2" s="15">
        <f>'MeOH FU 0.76'!$C2</f>
        <v>32.343720220000002</v>
      </c>
      <c r="I2" s="15">
        <f>'MeOH FU 0.77'!$C2</f>
        <v>32.76298276</v>
      </c>
      <c r="J2" s="15">
        <f>'MeOH FU 0.78'!$C2</f>
        <v>33.182264000000004</v>
      </c>
      <c r="K2" s="15">
        <f>'MeOH FU 0.79'!$C2</f>
        <v>33.601564430000003</v>
      </c>
      <c r="L2" s="15">
        <f>'MeOH FU 0.8'!$C2</f>
        <v>34.020884559999999</v>
      </c>
      <c r="M2" s="15">
        <f>'MeOH FU 0.81'!$C2</f>
        <v>34.440224909999998</v>
      </c>
      <c r="N2" s="15">
        <f>'MeOH FU 0.82'!$C2</f>
        <v>34.859586010000001</v>
      </c>
      <c r="O2" s="15">
        <f>'MeOH FU 0.83'!$C2</f>
        <v>35.27896844</v>
      </c>
      <c r="P2" s="15">
        <f>'MeOH FU 0.84'!$C2</f>
        <v>35.698372829999997</v>
      </c>
      <c r="Q2" s="15">
        <f>'MeOH FU 0.85'!$C2</f>
        <v>36.117799830000003</v>
      </c>
    </row>
    <row r="3" spans="1:17" x14ac:dyDescent="0.25">
      <c r="A3">
        <f>'MeOH FU 0.7'!A3</f>
        <v>0.61</v>
      </c>
      <c r="B3" s="15">
        <f>'MeOH FU 0.7'!$C3</f>
        <v>30.47718983</v>
      </c>
      <c r="C3" s="15">
        <f>'MeOH FU 0.71'!$C3</f>
        <v>30.905622409999999</v>
      </c>
      <c r="D3" s="15">
        <f>'MeOH FU 0.72'!$C3</f>
        <v>31.334071439999999</v>
      </c>
      <c r="E3" s="15">
        <f>'MeOH FU 0.73'!$C3</f>
        <v>31.76253694</v>
      </c>
      <c r="F3" s="15">
        <f>'MeOH FU 0.74'!$C3</f>
        <v>32.19101946</v>
      </c>
      <c r="G3" s="15">
        <f>'MeOH FU 0.75'!$C3</f>
        <v>32.619519510000003</v>
      </c>
      <c r="H3" s="15">
        <f>'MeOH FU 0.76'!$C3</f>
        <v>33.048037610000002</v>
      </c>
      <c r="I3" s="15">
        <f>'MeOH FU 0.77'!$C3</f>
        <v>33.476574249999999</v>
      </c>
      <c r="J3" s="15">
        <f>'MeOH FU 0.78'!$C3</f>
        <v>33.905129959999996</v>
      </c>
      <c r="K3" s="15">
        <f>'MeOH FU 0.79'!$C3</f>
        <v>34.33370524</v>
      </c>
      <c r="L3" s="15">
        <f>'MeOH FU 0.8'!$C3</f>
        <v>34.762300629999999</v>
      </c>
      <c r="M3" s="15">
        <f>'MeOH FU 0.81'!$C3</f>
        <v>35.19091667</v>
      </c>
      <c r="N3" s="15">
        <f>'MeOH FU 0.82'!$C3</f>
        <v>35.619553930000002</v>
      </c>
      <c r="O3" s="15">
        <f>'MeOH FU 0.83'!$C3</f>
        <v>36.048213029999999</v>
      </c>
      <c r="P3" s="15">
        <f>'MeOH FU 0.84'!$C3</f>
        <v>36.476894620000003</v>
      </c>
      <c r="Q3" s="15">
        <f>'MeOH FU 0.85'!$C3</f>
        <v>36.905599420000001</v>
      </c>
    </row>
    <row r="4" spans="1:17" x14ac:dyDescent="0.25">
      <c r="A4">
        <f>'MeOH FU 0.7'!A4</f>
        <v>0.62</v>
      </c>
      <c r="B4" s="15">
        <f>'MeOH FU 0.7'!$C4</f>
        <v>31.12593644</v>
      </c>
      <c r="C4" s="15">
        <f>'MeOH FU 0.71'!$C4</f>
        <v>31.56364275</v>
      </c>
      <c r="D4" s="15">
        <f>'MeOH FU 0.72'!$C4</f>
        <v>32.001365829999997</v>
      </c>
      <c r="E4" s="15">
        <f>'MeOH FU 0.73'!$C4</f>
        <v>32.439105699999999</v>
      </c>
      <c r="F4" s="15">
        <f>'MeOH FU 0.74'!$C4</f>
        <v>32.87686291</v>
      </c>
      <c r="G4" s="15">
        <f>'MeOH FU 0.75'!$C4</f>
        <v>33.314638000000002</v>
      </c>
      <c r="H4" s="15">
        <f>'MeOH FU 0.76'!$C4</f>
        <v>33.752431479999998</v>
      </c>
      <c r="I4" s="15">
        <f>'MeOH FU 0.77'!$C4</f>
        <v>34.190243899999999</v>
      </c>
      <c r="J4" s="15">
        <f>'MeOH FU 0.78'!$C4</f>
        <v>34.628075770000002</v>
      </c>
      <c r="K4" s="15">
        <f>'MeOH FU 0.79'!$C4</f>
        <v>35.065927649999999</v>
      </c>
      <c r="L4" s="15">
        <f>'MeOH FU 0.8'!$C4</f>
        <v>35.503800089999999</v>
      </c>
      <c r="M4" s="15">
        <f>'MeOH FU 0.81'!$C4</f>
        <v>35.941693659999999</v>
      </c>
      <c r="N4" s="15">
        <f>'MeOH FU 0.82'!$C4</f>
        <v>36.37960898</v>
      </c>
      <c r="O4" s="15">
        <f>'MeOH FU 0.83'!$C4</f>
        <v>36.81754669</v>
      </c>
      <c r="P4" s="15">
        <f>'MeOH FU 0.84'!$C4</f>
        <v>37.2555075</v>
      </c>
      <c r="Q4" s="15">
        <f>'MeOH FU 0.85'!$C4</f>
        <v>37.69349218</v>
      </c>
    </row>
    <row r="5" spans="1:17" x14ac:dyDescent="0.25">
      <c r="A5">
        <f>'MeOH FU 0.7'!A5</f>
        <v>0.63</v>
      </c>
      <c r="B5" s="15">
        <f>'MeOH FU 0.7'!$C5</f>
        <v>31.774755809999998</v>
      </c>
      <c r="C5" s="15">
        <f>'MeOH FU 0.71'!$C5</f>
        <v>32.221738049999999</v>
      </c>
      <c r="D5" s="15">
        <f>'MeOH FU 0.72'!$C5</f>
        <v>32.668736850000002</v>
      </c>
      <c r="E5" s="15">
        <f>'MeOH FU 0.73'!$C5</f>
        <v>33.115752790000002</v>
      </c>
      <c r="F5" s="15">
        <f>'MeOH FU 0.74'!$C5</f>
        <v>33.562786420000002</v>
      </c>
      <c r="G5" s="15">
        <f>'MeOH FU 0.75'!$C5</f>
        <v>34.009838309999999</v>
      </c>
      <c r="H5" s="15">
        <f>'MeOH FU 0.76'!$C5</f>
        <v>34.456908990000002</v>
      </c>
      <c r="I5" s="15">
        <f>'MeOH FU 0.77'!$C5</f>
        <v>34.903999020000001</v>
      </c>
      <c r="J5" s="15">
        <f>'MeOH FU 0.78'!$C5</f>
        <v>35.351108959999998</v>
      </c>
      <c r="K5" s="15">
        <f>'MeOH FU 0.79'!$C5</f>
        <v>35.798239379999998</v>
      </c>
      <c r="L5" s="15">
        <f>'MeOH FU 0.8'!$C5</f>
        <v>36.245390860000001</v>
      </c>
      <c r="M5" s="15">
        <f>'MeOH FU 0.81'!$C5</f>
        <v>36.692564009999998</v>
      </c>
      <c r="N5" s="15">
        <f>'MeOH FU 0.82'!$C5</f>
        <v>37.139759490000003</v>
      </c>
      <c r="O5" s="15">
        <f>'MeOH FU 0.83'!$C5</f>
        <v>37.586977990000001</v>
      </c>
      <c r="P5" s="15">
        <f>'MeOH FU 0.84'!$C5</f>
        <v>38.034220259999998</v>
      </c>
      <c r="Q5" s="15">
        <f>'MeOH FU 0.85'!$C5</f>
        <v>38.481486510000003</v>
      </c>
    </row>
    <row r="6" spans="1:17" x14ac:dyDescent="0.25">
      <c r="A6">
        <f>'MeOH FU 0.7'!A6</f>
        <v>0.64</v>
      </c>
      <c r="B6" s="15">
        <f>'MeOH FU 0.7'!$C6</f>
        <v>32.42365599</v>
      </c>
      <c r="C6" s="15">
        <f>'MeOH FU 0.71'!$C6</f>
        <v>32.879915420000003</v>
      </c>
      <c r="D6" s="15">
        <f>'MeOH FU 0.72'!$C6</f>
        <v>33.336191790000001</v>
      </c>
      <c r="E6" s="15">
        <f>'MeOH FU 0.73'!$C6</f>
        <v>33.792485669999998</v>
      </c>
      <c r="F6" s="15">
        <f>'MeOH FU 0.74'!$C6</f>
        <v>34.248797639999999</v>
      </c>
      <c r="G6" s="15">
        <f>'MeOH FU 0.75'!$C6</f>
        <v>34.705128289999998</v>
      </c>
      <c r="H6" s="15">
        <f>'MeOH FU 0.76'!$C6</f>
        <v>35.161478180000003</v>
      </c>
      <c r="I6" s="15">
        <f>'MeOH FU 0.77'!$C6</f>
        <v>35.61784789</v>
      </c>
      <c r="J6" s="15">
        <f>'MeOH FU 0.78'!$C6</f>
        <v>36.074238010000002</v>
      </c>
      <c r="K6" s="15">
        <f>'MeOH FU 0.79'!$C6</f>
        <v>36.53064913</v>
      </c>
      <c r="L6" s="15">
        <f>'MeOH FU 0.8'!$C6</f>
        <v>36.987081869999997</v>
      </c>
      <c r="M6" s="15">
        <f>'MeOH FU 0.81'!$C6</f>
        <v>37.443536899999998</v>
      </c>
      <c r="N6" s="15">
        <f>'MeOH FU 0.82'!$C6</f>
        <v>37.900014900000002</v>
      </c>
      <c r="O6" s="15">
        <f>'MeOH FU 0.83'!$C6</f>
        <v>38.356516620000001</v>
      </c>
      <c r="P6" s="15">
        <f>'MeOH FU 0.84'!$C6</f>
        <v>38.813042889999998</v>
      </c>
      <c r="Q6" s="15">
        <f>'MeOH FU 0.85'!$C6</f>
        <v>39.269593899999997</v>
      </c>
    </row>
    <row r="7" spans="1:17" x14ac:dyDescent="0.25">
      <c r="A7">
        <f>'MeOH FU 0.7'!A7</f>
        <v>0.65</v>
      </c>
      <c r="B7" s="15">
        <f>'MeOH FU 0.7'!$C7</f>
        <v>33.072644259999997</v>
      </c>
      <c r="C7" s="15">
        <f>'MeOH FU 0.71'!$C7</f>
        <v>33.538182900000002</v>
      </c>
      <c r="D7" s="15">
        <f>'MeOH FU 0.72'!$C7</f>
        <v>34.00373888</v>
      </c>
      <c r="E7" s="15">
        <f>'MeOH FU 0.73'!$C7</f>
        <v>34.469312789999996</v>
      </c>
      <c r="F7" s="15">
        <f>'MeOH FU 0.74'!$C7</f>
        <v>34.934905260000001</v>
      </c>
      <c r="G7" s="15">
        <f>'MeOH FU 0.75'!$C7</f>
        <v>35.400516860000003</v>
      </c>
      <c r="H7" s="15">
        <f>'MeOH FU 0.76'!$C7</f>
        <v>35.866148209999999</v>
      </c>
      <c r="I7" s="15">
        <f>'MeOH FU 0.77'!$C7</f>
        <v>36.3317999</v>
      </c>
      <c r="J7" s="15">
        <f>'MeOH FU 0.78'!$C7</f>
        <v>36.797472550000002</v>
      </c>
      <c r="K7" s="15">
        <f>'MeOH FU 0.79'!$C7</f>
        <v>37.2631668</v>
      </c>
      <c r="L7" s="15">
        <f>'MeOH FU 0.8'!$C7</f>
        <v>37.728883310000001</v>
      </c>
      <c r="M7" s="15">
        <f>'MeOH FU 0.81'!$C7</f>
        <v>38.194622780000003</v>
      </c>
      <c r="N7" s="15">
        <f>'MeOH FU 0.82'!$C7</f>
        <v>38.660385959999999</v>
      </c>
      <c r="O7" s="15">
        <f>'MeOH FU 0.83'!$C7</f>
        <v>39.126173649999998</v>
      </c>
      <c r="P7" s="15">
        <f>'MeOH FU 0.84'!$C7</f>
        <v>39.591986749999997</v>
      </c>
      <c r="Q7" s="15">
        <f>'MeOH FU 0.85'!$C7</f>
        <v>40.057825459999997</v>
      </c>
    </row>
    <row r="8" spans="1:17" x14ac:dyDescent="0.25">
      <c r="A8">
        <f>'MeOH FU 0.7'!A8</f>
        <v>0.66</v>
      </c>
      <c r="B8" s="15">
        <f>'MeOH FU 0.7'!$C8</f>
        <v>33.721729500000002</v>
      </c>
      <c r="C8" s="15">
        <f>'MeOH FU 0.71'!$C8</f>
        <v>34.196549599999997</v>
      </c>
      <c r="D8" s="15">
        <f>'MeOH FU 0.72'!$C8</f>
        <v>34.67138748</v>
      </c>
      <c r="E8" s="15">
        <f>'MeOH FU 0.73'!$C8</f>
        <v>35.146243779999999</v>
      </c>
      <c r="F8" s="15">
        <f>'MeOH FU 0.74'!$C8</f>
        <v>35.621119129999997</v>
      </c>
      <c r="G8" s="15">
        <f>'MeOH FU 0.75'!$C8</f>
        <v>36.096014160000003</v>
      </c>
      <c r="H8" s="15">
        <f>'MeOH FU 0.76'!$C8</f>
        <v>36.570929470000003</v>
      </c>
      <c r="I8" s="15">
        <f>'MeOH FU 0.77'!$C8</f>
        <v>37.045865730000003</v>
      </c>
      <c r="J8" s="15">
        <f>'MeOH FU 0.78'!$C8</f>
        <v>37.520823579999998</v>
      </c>
      <c r="K8" s="15">
        <f>'MeOH FU 0.79'!$C8</f>
        <v>37.995803690000002</v>
      </c>
      <c r="L8" s="15">
        <f>'MeOH FU 0.8'!$C8</f>
        <v>38.470806779999997</v>
      </c>
      <c r="M8" s="15">
        <f>'MeOH FU 0.81'!$C8</f>
        <v>38.9458336</v>
      </c>
      <c r="N8" s="15">
        <f>'MeOH FU 0.82'!$C8</f>
        <v>39.420884960000002</v>
      </c>
      <c r="O8" s="15">
        <f>'MeOH FU 0.83'!$C8</f>
        <v>39.895961730000003</v>
      </c>
      <c r="P8" s="15">
        <f>'MeOH FU 0.84'!$C8</f>
        <v>40.371064169999997</v>
      </c>
      <c r="Q8" s="15">
        <f>'MeOH FU 0.85'!$C8</f>
        <v>40.84619464</v>
      </c>
    </row>
    <row r="9" spans="1:17" x14ac:dyDescent="0.25">
      <c r="A9">
        <f>'MeOH FU 0.7'!A9</f>
        <v>0.67</v>
      </c>
      <c r="B9" s="15">
        <f>'MeOH FU 0.7'!$C9</f>
        <v>34.370921860000003</v>
      </c>
      <c r="C9" s="15">
        <f>'MeOH FU 0.71'!$C9</f>
        <v>34.855025929999996</v>
      </c>
      <c r="D9" s="15">
        <f>'MeOH FU 0.72'!$C9</f>
        <v>35.339148299999998</v>
      </c>
      <c r="E9" s="15">
        <f>'MeOH FU 0.73'!$C9</f>
        <v>35.823289619999997</v>
      </c>
      <c r="F9" s="15">
        <f>'MeOH FU 0.74'!$C9</f>
        <v>36.307450559999999</v>
      </c>
      <c r="G9" s="15">
        <f>'MeOH FU 0.75'!$C9</f>
        <v>36.791631770000002</v>
      </c>
      <c r="H9" s="15">
        <f>'MeOH FU 0.76'!$C9</f>
        <v>37.275833900000002</v>
      </c>
      <c r="I9" s="15">
        <f>'MeOH FU 0.77'!$C9</f>
        <v>37.760057639999999</v>
      </c>
      <c r="J9" s="15">
        <f>'MeOH FU 0.78'!$C9</f>
        <v>38.244303680000002</v>
      </c>
      <c r="K9" s="15">
        <f>'MeOH FU 0.79'!$C9</f>
        <v>38.728572749999998</v>
      </c>
      <c r="L9" s="15">
        <f>'MeOH FU 0.8'!$C9</f>
        <v>39.212865610000001</v>
      </c>
      <c r="M9" s="15">
        <f>'MeOH FU 0.81'!$C9</f>
        <v>39.697183080000002</v>
      </c>
      <c r="N9" s="15">
        <f>'MeOH FU 0.82'!$C9</f>
        <v>40.18152602</v>
      </c>
      <c r="O9" s="15">
        <f>'MeOH FU 0.83'!$C9</f>
        <v>40.665895399999997</v>
      </c>
      <c r="P9" s="15">
        <f>'MeOH FU 0.84'!$C9</f>
        <v>41.150291490000001</v>
      </c>
      <c r="Q9" s="15">
        <f>'MeOH FU 0.85'!$C9</f>
        <v>41.63471689</v>
      </c>
    </row>
    <row r="10" spans="1:17" x14ac:dyDescent="0.25">
      <c r="A10">
        <f>'MeOH FU 0.7'!A10</f>
        <v>0.68</v>
      </c>
      <c r="B10" s="15">
        <f>'MeOH FU 0.7'!$C10</f>
        <v>35.02023294</v>
      </c>
      <c r="C10" s="15">
        <f>'MeOH FU 0.71'!$C10</f>
        <v>35.513623819999999</v>
      </c>
      <c r="D10" s="15">
        <f>'MeOH FU 0.72'!$C10</f>
        <v>36.007033579999998</v>
      </c>
      <c r="E10" s="15">
        <f>'MeOH FU 0.73'!$C10</f>
        <v>36.500462910000003</v>
      </c>
      <c r="F10" s="15">
        <f>'MeOH FU 0.74'!$C10</f>
        <v>36.99391249</v>
      </c>
      <c r="G10" s="15">
        <f>'MeOH FU 0.75'!$C10</f>
        <v>37.487383020000003</v>
      </c>
      <c r="H10" s="15">
        <f>'MeOH FU 0.76'!$C10</f>
        <v>37.980875189999999</v>
      </c>
      <c r="I10" s="15">
        <f>'MeOH FU 0.77'!$C10</f>
        <v>38.474389729999999</v>
      </c>
      <c r="J10" s="15">
        <f>'MeOH FU 0.78'!$C10</f>
        <v>38.967927369999998</v>
      </c>
      <c r="K10" s="15">
        <f>'MeOH FU 0.79'!$C10</f>
        <v>39.46148891</v>
      </c>
      <c r="L10" s="15">
        <f>'MeOH FU 0.8'!$C10</f>
        <v>39.955075170000001</v>
      </c>
      <c r="M10" s="15">
        <f>'MeOH FU 0.81'!$C10</f>
        <v>40.448687030000002</v>
      </c>
      <c r="N10" s="15">
        <f>'MeOH FU 0.82'!$C10</f>
        <v>40.942325449999998</v>
      </c>
      <c r="O10" s="15">
        <f>'MeOH FU 0.83'!$C10</f>
        <v>41.435990750000002</v>
      </c>
      <c r="P10" s="15">
        <f>'MeOH FU 0.84'!$C10</f>
        <v>41.929685419999998</v>
      </c>
      <c r="Q10" s="15">
        <f>'MeOH FU 0.85'!$C10</f>
        <v>42.423410140000001</v>
      </c>
    </row>
    <row r="11" spans="1:17" x14ac:dyDescent="0.25">
      <c r="A11">
        <f>'MeOH FU 0.7'!A11</f>
        <v>0.69</v>
      </c>
      <c r="B11" s="15">
        <f>'MeOH FU 0.7'!$C11</f>
        <v>35.669676119999998</v>
      </c>
      <c r="C11" s="15">
        <f>'MeOH FU 0.71'!$C11</f>
        <v>36.172357030000001</v>
      </c>
      <c r="D11" s="15">
        <f>'MeOH FU 0.72'!$C11</f>
        <v>36.67505749</v>
      </c>
      <c r="E11" s="15">
        <f>'MeOH FU 0.73'!$C11</f>
        <v>37.177778199999999</v>
      </c>
      <c r="F11" s="15">
        <f>'MeOH FU 0.74'!$C11</f>
        <v>37.6805199</v>
      </c>
      <c r="G11" s="15">
        <f>'MeOH FU 0.75'!$C11</f>
        <v>38.18328331</v>
      </c>
      <c r="H11" s="15">
        <f>'MeOH FU 0.76'!$C11</f>
        <v>38.686069179999997</v>
      </c>
      <c r="I11" s="15">
        <f>'MeOH FU 0.77'!$C11</f>
        <v>39.188878289999998</v>
      </c>
      <c r="J11" s="15">
        <f>'MeOH FU 0.78'!$C11</f>
        <v>39.691711439999999</v>
      </c>
      <c r="K11" s="15">
        <f>'MeOH FU 0.79'!$C11</f>
        <v>40.194569469999998</v>
      </c>
      <c r="L11" s="15">
        <f>'MeOH FU 0.8'!$C11</f>
        <v>40.697453279999998</v>
      </c>
      <c r="M11" s="15">
        <f>'MeOH FU 0.81'!$C11</f>
        <v>41.200363850000002</v>
      </c>
      <c r="N11" s="15">
        <f>'MeOH FU 0.82'!$C11</f>
        <v>41.703302219999998</v>
      </c>
      <c r="O11" s="15">
        <f>'MeOH FU 0.83'!$C11</f>
        <v>42.206268739999999</v>
      </c>
      <c r="P11" s="15">
        <f>'MeOH FU 0.84'!$C11</f>
        <v>42.709266169999999</v>
      </c>
      <c r="Q11" s="15">
        <f>'MeOH FU 0.85'!$C11</f>
        <v>43.21229529</v>
      </c>
    </row>
    <row r="12" spans="1:17" x14ac:dyDescent="0.25">
      <c r="A12">
        <f>'MeOH FU 0.7'!A12</f>
        <v>0.7</v>
      </c>
      <c r="B12" s="15">
        <f>'MeOH FU 0.7'!$C12</f>
        <v>36.31926687</v>
      </c>
      <c r="C12" s="15">
        <f>'MeOH FU 0.71'!$C12</f>
        <v>36.831241489999996</v>
      </c>
      <c r="D12" s="15">
        <f>'MeOH FU 0.72'!$C12</f>
        <v>37.343236400000002</v>
      </c>
      <c r="E12" s="15">
        <f>'MeOH FU 0.73'!$C12</f>
        <v>37.855252360000001</v>
      </c>
      <c r="F12" s="15">
        <f>'MeOH FU 0.74'!$C12</f>
        <v>38.367290140000001</v>
      </c>
      <c r="G12" s="15">
        <f>'MeOH FU 0.75'!$C12</f>
        <v>38.879350520000003</v>
      </c>
      <c r="H12" s="15">
        <f>'MeOH FU 0.76'!$C12</f>
        <v>39.3914343</v>
      </c>
      <c r="I12" s="15">
        <f>'MeOH FU 0.77'!$C12</f>
        <v>39.90354232</v>
      </c>
      <c r="J12" s="15">
        <f>'MeOH FU 0.78'!$C12</f>
        <v>40.415675440000001</v>
      </c>
      <c r="K12" s="15">
        <f>'MeOH FU 0.79'!$C12</f>
        <v>40.927834590000003</v>
      </c>
      <c r="L12" s="15">
        <f>'MeOH FU 0.8'!$C12</f>
        <v>41.440020760000003</v>
      </c>
      <c r="M12" s="15">
        <f>'MeOH FU 0.81'!$C12</f>
        <v>41.952235000000002</v>
      </c>
      <c r="N12" s="15">
        <f>'MeOH FU 0.82'!$C12</f>
        <v>42.464477729999999</v>
      </c>
      <c r="O12" s="15">
        <f>'MeOH FU 0.83'!$C12</f>
        <v>42.976751620000002</v>
      </c>
      <c r="P12" s="15">
        <f>'MeOH FU 0.84'!$C12</f>
        <v>43.489057449999997</v>
      </c>
      <c r="Q12" s="15">
        <f>'MeOH FU 0.85'!$C12</f>
        <v>44.001396880000001</v>
      </c>
    </row>
    <row r="13" spans="1:17" x14ac:dyDescent="0.25">
      <c r="A13">
        <f>'MeOH FU 0.7'!A13</f>
        <v>0.71</v>
      </c>
      <c r="B13" s="15">
        <f>'MeOH FU 0.7'!$C13</f>
        <v>36.969023229999998</v>
      </c>
      <c r="C13" s="15">
        <f>'MeOH FU 0.71'!$C13</f>
        <v>37.490295760000002</v>
      </c>
      <c r="D13" s="15">
        <f>'MeOH FU 0.72'!$C13</f>
        <v>38.011589440000002</v>
      </c>
      <c r="E13" s="15">
        <f>'MeOH FU 0.73'!$C13</f>
        <v>38.532905079999999</v>
      </c>
      <c r="F13" s="15">
        <f>'MeOH FU 0.74'!$C13</f>
        <v>39.054243509999999</v>
      </c>
      <c r="G13" s="15">
        <f>'MeOH FU 0.75'!$C13</f>
        <v>39.57560556</v>
      </c>
      <c r="H13" s="15">
        <f>'MeOH FU 0.76'!$C13</f>
        <v>40.096992100000001</v>
      </c>
      <c r="I13" s="15">
        <f>'MeOH FU 0.77'!$C13</f>
        <v>40.618404030000001</v>
      </c>
      <c r="J13" s="15">
        <f>'MeOH FU 0.78'!$C13</f>
        <v>41.139842309999999</v>
      </c>
      <c r="K13" s="15">
        <f>'MeOH FU 0.79'!$C13</f>
        <v>41.661307950000001</v>
      </c>
      <c r="L13" s="15">
        <f>'MeOH FU 0.8'!$C13</f>
        <v>42.182802029999998</v>
      </c>
      <c r="M13" s="15">
        <f>'MeOH FU 0.81'!$C13</f>
        <v>42.704325750000002</v>
      </c>
      <c r="N13" s="15">
        <f>'MeOH FU 0.82'!$C13</f>
        <v>43.225879540000001</v>
      </c>
      <c r="O13" s="15">
        <f>'MeOH FU 0.83'!$C13</f>
        <v>43.7474664</v>
      </c>
      <c r="P13" s="15">
        <f>'MeOH FU 0.84'!$C13</f>
        <v>44.269087239999998</v>
      </c>
      <c r="Q13" s="15">
        <f>'MeOH FU 0.85'!$C13</f>
        <v>44.790743910000003</v>
      </c>
    </row>
    <row r="14" spans="1:17" x14ac:dyDescent="0.25">
      <c r="A14">
        <f>'MeOH FU 0.7'!A14</f>
        <v>0.72</v>
      </c>
      <c r="B14" s="15">
        <f>'MeOH FU 0.7'!$C14</f>
        <v>37.618966329999999</v>
      </c>
      <c r="C14" s="15">
        <f>'MeOH FU 0.71'!$C14</f>
        <v>38.14954161</v>
      </c>
      <c r="D14" s="15">
        <f>'MeOH FU 0.72'!$C14</f>
        <v>38.680139050000001</v>
      </c>
      <c r="E14" s="15">
        <f>'MeOH FU 0.73'!$C14</f>
        <v>39.210759510000003</v>
      </c>
      <c r="F14" s="15">
        <f>'MeOH FU 0.74'!$C14</f>
        <v>39.741403869999999</v>
      </c>
      <c r="G14" s="15">
        <f>'MeOH FU 0.75'!$C14</f>
        <v>40.272073050000003</v>
      </c>
      <c r="H14" s="15">
        <f>'MeOH FU 0.76'!$C14</f>
        <v>40.802767979999999</v>
      </c>
      <c r="I14" s="15">
        <f>'MeOH FU 0.77'!$C14</f>
        <v>41.333489659999998</v>
      </c>
      <c r="J14" s="15">
        <f>'MeOH FU 0.78'!$C14</f>
        <v>41.864239130000001</v>
      </c>
      <c r="K14" s="15">
        <f>'MeOH FU 0.79'!$C14</f>
        <v>42.395017520000003</v>
      </c>
      <c r="L14" s="15">
        <f>'MeOH FU 0.8'!$C14</f>
        <v>42.925826039999997</v>
      </c>
      <c r="M14" s="15">
        <f>'MeOH FU 0.81'!$C14</f>
        <v>43.456665190000002</v>
      </c>
      <c r="N14" s="15">
        <f>'MeOH FU 0.82'!$C14</f>
        <v>43.987537940000003</v>
      </c>
      <c r="O14" s="15">
        <f>'MeOH FU 0.83'!$C14</f>
        <v>44.518445210000003</v>
      </c>
      <c r="P14" s="15">
        <f>'MeOH FU 0.84'!$C14</f>
        <v>45.04938885</v>
      </c>
      <c r="Q14" s="15">
        <f>'MeOH FU 0.85'!$C14</f>
        <v>45.580370989999999</v>
      </c>
    </row>
    <row r="15" spans="1:17" x14ac:dyDescent="0.25">
      <c r="A15">
        <f>'MeOH FU 0.7'!A15</f>
        <v>0.73</v>
      </c>
      <c r="B15" s="15">
        <f>'MeOH FU 0.7'!$C15</f>
        <v>38.2691211</v>
      </c>
      <c r="C15" s="15">
        <f>'MeOH FU 0.71'!$C15</f>
        <v>38.809004770000001</v>
      </c>
      <c r="D15" s="15">
        <f>'MeOH FU 0.72'!$C15</f>
        <v>39.348911770000001</v>
      </c>
      <c r="E15" s="15">
        <f>'MeOH FU 0.73'!$C15</f>
        <v>39.888843029999997</v>
      </c>
      <c r="F15" s="15">
        <f>'MeOH FU 0.74'!$C15</f>
        <v>40.428799499999997</v>
      </c>
      <c r="G15" s="15">
        <f>'MeOH FU 0.75'!$C15</f>
        <v>40.968782179999998</v>
      </c>
      <c r="H15" s="15">
        <f>'MeOH FU 0.76'!$C15</f>
        <v>41.508792100000001</v>
      </c>
      <c r="I15" s="15">
        <f>'MeOH FU 0.77'!$C15</f>
        <v>42.048830359999997</v>
      </c>
      <c r="J15" s="15">
        <f>'MeOH FU 0.78'!$C15</f>
        <v>42.588898129999997</v>
      </c>
      <c r="K15" s="15">
        <f>'MeOH FU 0.79'!$C15</f>
        <v>43.128996649999998</v>
      </c>
      <c r="L15" s="15">
        <f>'MeOH FU 0.8'!$C15</f>
        <v>43.6691273</v>
      </c>
      <c r="M15" s="15">
        <f>'MeOH FU 0.81'!$C15</f>
        <v>44.209290629999998</v>
      </c>
      <c r="N15" s="15">
        <f>'MeOH FU 0.82'!$C15</f>
        <v>44.749490020000003</v>
      </c>
      <c r="O15" s="15">
        <f>'MeOH FU 0.83'!$C15</f>
        <v>45.289726530000003</v>
      </c>
      <c r="P15" s="15">
        <f>'MeOH FU 0.84'!$C15</f>
        <v>45.830002280000002</v>
      </c>
      <c r="Q15" s="15">
        <f>'MeOH FU 0.85'!$C15</f>
        <v>46.370319719999998</v>
      </c>
    </row>
    <row r="16" spans="1:17" x14ac:dyDescent="0.25">
      <c r="A16">
        <f>'MeOH FU 0.7'!A16</f>
        <v>0.74</v>
      </c>
      <c r="B16" s="15">
        <f>'MeOH FU 0.7'!$C16</f>
        <v>38.919517210000002</v>
      </c>
      <c r="C16" s="15">
        <f>'MeOH FU 0.71'!$C16</f>
        <v>39.468715869999997</v>
      </c>
      <c r="D16" s="15">
        <f>'MeOH FU 0.72'!$C16</f>
        <v>40.017939230000003</v>
      </c>
      <c r="E16" s="15">
        <f>'MeOH FU 0.73'!$C16</f>
        <v>40.567188309999999</v>
      </c>
      <c r="F16" s="15">
        <f>'MeOH FU 0.74'!$C16</f>
        <v>41.11646416</v>
      </c>
      <c r="G16" s="15">
        <f>'MeOH FU 0.75'!$C16</f>
        <v>41.665767860000003</v>
      </c>
      <c r="H16" s="15">
        <f>'MeOH FU 0.76'!$C16</f>
        <v>42.215100579999998</v>
      </c>
      <c r="I16" s="15">
        <f>'MeOH FU 0.77'!$C16</f>
        <v>42.76446352</v>
      </c>
      <c r="J16" s="15">
        <f>'MeOH FU 0.78'!$C16</f>
        <v>43.313858000000003</v>
      </c>
      <c r="K16" s="15">
        <f>'MeOH FU 0.79'!$C16</f>
        <v>43.863285439999999</v>
      </c>
      <c r="L16" s="15">
        <f>'MeOH FU 0.8'!$C16</f>
        <v>44.412746460000001</v>
      </c>
      <c r="M16" s="15">
        <f>'MeOH FU 0.81'!$C16</f>
        <v>44.962244480000003</v>
      </c>
      <c r="N16" s="15">
        <f>'MeOH FU 0.82'!$C16</f>
        <v>45.511780590000001</v>
      </c>
      <c r="O16" s="15">
        <f>'MeOH FU 0.83'!$C16</f>
        <v>46.061356959999998</v>
      </c>
      <c r="P16" s="15">
        <f>'MeOH FU 0.84'!$C16</f>
        <v>46.610976049999998</v>
      </c>
      <c r="Q16" s="15">
        <f>'MeOH FU 0.85'!$C16</f>
        <v>47.160640710000003</v>
      </c>
    </row>
    <row r="17" spans="1:17" x14ac:dyDescent="0.25">
      <c r="A17">
        <f>'MeOH FU 0.7'!A17</f>
        <v>0.75</v>
      </c>
      <c r="B17" s="15">
        <f>'MeOH FU 0.7'!$C17</f>
        <v>39.570190220000001</v>
      </c>
      <c r="C17" s="15">
        <f>'MeOH FU 0.71'!$C17</f>
        <v>40.128711670000001</v>
      </c>
      <c r="D17" s="15">
        <f>'MeOH FU 0.72'!$C17</f>
        <v>40.687259449999999</v>
      </c>
      <c r="E17" s="15">
        <f>'MeOH FU 0.73'!$C17</f>
        <v>41.245834690000002</v>
      </c>
      <c r="F17" s="15">
        <f>'MeOH FU 0.74'!$C17</f>
        <v>41.80443854</v>
      </c>
      <c r="G17" s="15">
        <f>'MeOH FU 0.75'!$C17</f>
        <v>42.363072219999999</v>
      </c>
      <c r="H17" s="15">
        <f>'MeOH FU 0.76'!$C17</f>
        <v>42.921737030000003</v>
      </c>
      <c r="I17" s="15">
        <f>'MeOH FU 0.77'!$C17</f>
        <v>43.480434330000001</v>
      </c>
      <c r="J17" s="15">
        <f>'MeOH FU 0.78'!$C17</f>
        <v>44.039165629999999</v>
      </c>
      <c r="K17" s="15">
        <f>'MeOH FU 0.79'!$C17</f>
        <v>44.597931619999997</v>
      </c>
      <c r="L17" s="15">
        <f>'MeOH FU 0.8'!$C17</f>
        <v>45.156735779999998</v>
      </c>
      <c r="M17" s="15">
        <f>'MeOH FU 0.81'!$C17</f>
        <v>45.71557928</v>
      </c>
      <c r="N17" s="15">
        <f>'MeOH FU 0.82'!$C17</f>
        <v>46.274464340000002</v>
      </c>
      <c r="O17" s="15">
        <f>'MeOH FU 0.83'!$C17</f>
        <v>46.833393489999999</v>
      </c>
      <c r="P17" s="15">
        <f>'MeOH FU 0.84'!$C17</f>
        <v>47.392369639999998</v>
      </c>
      <c r="Q17" s="15">
        <f>'MeOH FU 0.85'!$C17</f>
        <v>47.951396160000002</v>
      </c>
    </row>
    <row r="18" spans="1:17" x14ac:dyDescent="0.25">
      <c r="A18">
        <f>'MeOH FU 0.7'!A18</f>
        <v>0.76</v>
      </c>
      <c r="B18" s="15">
        <f>'MeOH FU 0.7'!$C18</f>
        <v>40.221183189999998</v>
      </c>
      <c r="C18" s="15">
        <f>'MeOH FU 0.71'!$C18</f>
        <v>40.789036719999999</v>
      </c>
      <c r="D18" s="15">
        <f>'MeOH FU 0.72'!$C18</f>
        <v>41.356918559999997</v>
      </c>
      <c r="E18" s="15">
        <f>'MeOH FU 0.73'!$C18</f>
        <v>41.924829940000002</v>
      </c>
      <c r="F18" s="15">
        <f>'MeOH FU 0.74'!$C18</f>
        <v>42.492772160000001</v>
      </c>
      <c r="G18" s="15">
        <f>'MeOH FU 0.75'!$C18</f>
        <v>43.060746600000002</v>
      </c>
      <c r="H18" s="15">
        <f>'MeOH FU 0.76'!$C18</f>
        <v>43.628754729999997</v>
      </c>
      <c r="I18" s="15">
        <f>'MeOH FU 0.77'!$C18</f>
        <v>44.196798119999997</v>
      </c>
      <c r="J18" s="15">
        <f>'MeOH FU 0.78'!$C18</f>
        <v>44.76487848</v>
      </c>
      <c r="K18" s="15">
        <f>'MeOH FU 0.79'!$C18</f>
        <v>45.332996629999997</v>
      </c>
      <c r="L18" s="15">
        <f>'MeOH FU 0.8'!$C18</f>
        <v>45.901156610000001</v>
      </c>
      <c r="M18" s="15">
        <f>'MeOH FU 0.81'!$C18</f>
        <v>46.46935981</v>
      </c>
      <c r="N18" s="15">
        <f>'MeOH FU 0.82'!$C18</f>
        <v>47.037608859999999</v>
      </c>
      <c r="O18" s="15">
        <f>'MeOH FU 0.83'!$C18</f>
        <v>47.605906760000003</v>
      </c>
      <c r="P18" s="15">
        <f>'MeOH FU 0.84'!$C18</f>
        <v>48.174256970000002</v>
      </c>
      <c r="Q18" s="15">
        <f>'MeOH FU 0.85'!$C18</f>
        <v>48.742663569999998</v>
      </c>
    </row>
    <row r="19" spans="1:17" x14ac:dyDescent="0.25">
      <c r="A19">
        <f>'MeOH FU 0.7'!A19</f>
        <v>0.77</v>
      </c>
      <c r="B19" s="15">
        <f>'MeOH FU 0.7'!$C19</f>
        <v>40.872548780000002</v>
      </c>
      <c r="C19" s="15">
        <f>'MeOH FU 0.71'!$C19</f>
        <v>41.449745630000002</v>
      </c>
      <c r="D19" s="15">
        <f>'MeOH FU 0.72'!$C19</f>
        <v>42.026973169999998</v>
      </c>
      <c r="E19" s="15">
        <f>'MeOH FU 0.73'!$C19</f>
        <v>42.604232789999998</v>
      </c>
      <c r="F19" s="15">
        <f>'MeOH FU 0.74'!$C19</f>
        <v>43.181525980000004</v>
      </c>
      <c r="G19" s="15">
        <f>'MeOH FU 0.75'!$C19</f>
        <v>43.758854319999998</v>
      </c>
      <c r="H19" s="15">
        <f>'MeOH FU 0.76'!$C19</f>
        <v>44.336219479999997</v>
      </c>
      <c r="I19" s="15">
        <f>'MeOH FU 0.77'!$C19</f>
        <v>44.913623309999998</v>
      </c>
      <c r="J19" s="15">
        <f>'MeOH FU 0.78'!$C19</f>
        <v>45.491066709999998</v>
      </c>
      <c r="K19" s="15">
        <f>'MeOH FU 0.79'!$C19</f>
        <v>46.068553919999999</v>
      </c>
      <c r="L19" s="15">
        <f>'MeOH FU 0.8'!$C19</f>
        <v>46.646086420000003</v>
      </c>
      <c r="M19" s="15">
        <f>'MeOH FU 0.81'!$C19</f>
        <v>47.223666999999999</v>
      </c>
      <c r="N19" s="15">
        <f>'MeOH FU 0.82'!$C19</f>
        <v>47.801298809999999</v>
      </c>
      <c r="O19" s="15">
        <f>'MeOH FU 0.83'!$C19</f>
        <v>48.378985460000003</v>
      </c>
      <c r="P19" s="15">
        <f>'MeOH FU 0.84'!$C19</f>
        <v>48.956731179999998</v>
      </c>
      <c r="Q19" s="15">
        <f>'MeOH FU 0.85'!$C19</f>
        <v>49.534540939999999</v>
      </c>
    </row>
    <row r="20" spans="1:17" x14ac:dyDescent="0.25">
      <c r="A20">
        <f>'MeOH FU 0.7'!A20</f>
        <v>0.78</v>
      </c>
      <c r="B20" s="15">
        <f>'MeOH FU 0.7'!$C20</f>
        <v>41.524352159999999</v>
      </c>
      <c r="C20" s="15">
        <f>'MeOH FU 0.71'!$C20</f>
        <v>42.110906049999997</v>
      </c>
      <c r="D20" s="15">
        <f>'MeOH FU 0.72'!$C20</f>
        <v>42.697493549999997</v>
      </c>
      <c r="E20" s="15">
        <f>'MeOH FU 0.73'!$C20</f>
        <v>43.284116300000001</v>
      </c>
      <c r="F20" s="15">
        <f>'MeOH FU 0.74'!$C20</f>
        <v>43.870775979999998</v>
      </c>
      <c r="G20" s="15">
        <f>'MeOH FU 0.75'!$C20</f>
        <v>44.457474429999998</v>
      </c>
      <c r="H20" s="15">
        <f>'MeOH FU 0.76'!$C20</f>
        <v>45.044213640000002</v>
      </c>
      <c r="I20" s="15">
        <f>'MeOH FU 0.77'!$C20</f>
        <v>45.630994649999998</v>
      </c>
      <c r="J20" s="15">
        <f>'MeOH FU 0.78'!$C20</f>
        <v>46.217821909999998</v>
      </c>
      <c r="K20" s="15">
        <f>'MeOH FU 0.79'!$C20</f>
        <v>46.804697089999998</v>
      </c>
      <c r="L20" s="15">
        <f>'MeOH FU 0.8'!$C20</f>
        <v>47.391623150000001</v>
      </c>
      <c r="M20" s="15">
        <f>'MeOH FU 0.81'!$C20</f>
        <v>47.978603450000001</v>
      </c>
      <c r="N20" s="15">
        <f>'MeOH FU 0.82'!$C20</f>
        <v>48.56564187</v>
      </c>
      <c r="O20" s="15">
        <f>'MeOH FU 0.83'!$C20</f>
        <v>49.152742840000002</v>
      </c>
      <c r="P20" s="15">
        <f>'MeOH FU 0.84'!$C20</f>
        <v>49.739911630000002</v>
      </c>
      <c r="Q20" s="15">
        <f>'MeOH FU 0.85'!$C20</f>
        <v>50.327154440000001</v>
      </c>
    </row>
    <row r="21" spans="1:17" x14ac:dyDescent="0.25">
      <c r="A21">
        <f>'MeOH FU 0.7'!A21</f>
        <v>0.79</v>
      </c>
      <c r="B21" s="15">
        <f>'MeOH FU 0.7'!$C21</f>
        <v>42.176675060000001</v>
      </c>
      <c r="C21" s="15">
        <f>'MeOH FU 0.71'!$C21</f>
        <v>42.772602980000002</v>
      </c>
      <c r="D21" s="15">
        <f>'MeOH FU 0.72'!$C21</f>
        <v>43.368568209999999</v>
      </c>
      <c r="E21" s="15">
        <f>'MeOH FU 0.73'!$C21</f>
        <v>43.964572619999998</v>
      </c>
      <c r="F21" s="15">
        <f>'MeOH FU 0.74'!$C21</f>
        <v>44.560618210000001</v>
      </c>
      <c r="G21" s="15">
        <f>'MeOH FU 0.75'!$C21</f>
        <v>45.156707179999998</v>
      </c>
      <c r="H21" s="15">
        <f>'MeOH FU 0.76'!$C21</f>
        <v>45.752840689999999</v>
      </c>
      <c r="I21" s="15">
        <f>'MeOH FU 0.77'!$C21</f>
        <v>46.349023559999999</v>
      </c>
      <c r="J21" s="15">
        <f>'MeOH FU 0.78'!$C21</f>
        <v>46.94525762</v>
      </c>
      <c r="K21" s="15">
        <f>'MeOH FU 0.79'!$C21</f>
        <v>47.54154612</v>
      </c>
      <c r="L21" s="15">
        <f>'MeOH FU 0.8'!$C21</f>
        <v>48.137892720000004</v>
      </c>
      <c r="M21" s="15">
        <f>'MeOH FU 0.81'!$C21</f>
        <v>48.734301590000001</v>
      </c>
      <c r="N21" s="15">
        <f>'MeOH FU 0.82'!$C21</f>
        <v>49.330777560000001</v>
      </c>
      <c r="O21" s="15">
        <f>'MeOH FU 0.83'!$C21</f>
        <v>49.927326270000002</v>
      </c>
      <c r="P21" s="15">
        <f>'MeOH FU 0.84'!$C21</f>
        <v>50.523954369999998</v>
      </c>
      <c r="Q21" s="15">
        <f>'MeOH FU 0.85'!$C21</f>
        <v>51.12066987</v>
      </c>
    </row>
    <row r="22" spans="1:17" x14ac:dyDescent="0.25">
      <c r="A22">
        <f>'MeOH FU 0.7'!A22</f>
        <v>0.8</v>
      </c>
      <c r="B22" s="15">
        <f>'MeOH FU 0.7'!$C22</f>
        <v>42.829621510000003</v>
      </c>
      <c r="C22" s="15">
        <f>'MeOH FU 0.71'!$C22</f>
        <v>43.434944909999999</v>
      </c>
      <c r="D22" s="15">
        <f>'MeOH FU 0.72'!$C22</f>
        <v>44.040310310000002</v>
      </c>
      <c r="E22" s="15">
        <f>'MeOH FU 0.73'!$C22</f>
        <v>44.645719929999998</v>
      </c>
      <c r="F22" s="15">
        <f>'MeOH FU 0.74'!$C22</f>
        <v>45.251176209999997</v>
      </c>
      <c r="G22" s="15">
        <f>'MeOH FU 0.75'!$C22</f>
        <v>45.856680509999997</v>
      </c>
      <c r="H22" s="15">
        <f>'MeOH FU 0.76'!$C22</f>
        <v>46.462238069999998</v>
      </c>
      <c r="I22" s="15">
        <f>'MeOH FU 0.77'!$C22</f>
        <v>47.067850999999997</v>
      </c>
      <c r="J22" s="15">
        <f>'MeOH FU 0.78'!$C22</f>
        <v>47.673522890000001</v>
      </c>
      <c r="K22" s="15">
        <f>'MeOH FU 0.79'!$C22</f>
        <v>48.279257790000003</v>
      </c>
      <c r="L22" s="15">
        <f>'MeOH FU 0.8'!$C22</f>
        <v>48.885060350000003</v>
      </c>
      <c r="M22" s="15">
        <f>'MeOH FU 0.81'!$C22</f>
        <v>49.490935890000003</v>
      </c>
      <c r="N22" s="15">
        <f>'MeOH FU 0.82'!$C22</f>
        <v>50.096890620000003</v>
      </c>
      <c r="O22" s="15">
        <f>'MeOH FU 0.83'!$C22</f>
        <v>50.702931849999999</v>
      </c>
      <c r="P22" s="15">
        <f>'MeOH FU 0.84'!$C22</f>
        <v>51.309068330000002</v>
      </c>
      <c r="Q22" s="15">
        <f>'MeOH FU 0.85'!$C22</f>
        <v>51.915310640000001</v>
      </c>
    </row>
    <row r="23" spans="1:17" x14ac:dyDescent="0.25">
      <c r="A23">
        <f>'MeOH FU 0.7'!A23</f>
        <v>0.81</v>
      </c>
      <c r="B23" s="15">
        <f>'MeOH FU 0.7'!$C23</f>
        <v>43.48332628</v>
      </c>
      <c r="C23" s="15">
        <f>'MeOH FU 0.71'!$C23</f>
        <v>44.098072729999998</v>
      </c>
      <c r="D23" s="15">
        <f>'MeOH FU 0.72'!$C23</f>
        <v>44.712867279999998</v>
      </c>
      <c r="E23" s="15">
        <f>'MeOH FU 0.73'!$C23</f>
        <v>45.327712660000003</v>
      </c>
      <c r="F23" s="15">
        <f>'MeOH FU 0.74'!$C23</f>
        <v>45.94261049</v>
      </c>
      <c r="G23" s="15">
        <f>'MeOH FU 0.75'!$C23</f>
        <v>46.557566600000001</v>
      </c>
      <c r="H23" s="15">
        <f>'MeOH FU 0.76'!$C23</f>
        <v>47.172583420000002</v>
      </c>
      <c r="I23" s="15">
        <f>'MeOH FU 0.77'!$C23</f>
        <v>47.787665029999999</v>
      </c>
      <c r="J23" s="15">
        <f>'MeOH FU 0.78'!$C23</f>
        <v>48.402816039999998</v>
      </c>
      <c r="K23" s="15">
        <f>'MeOH FU 0.79'!$C23</f>
        <v>49.018041689999997</v>
      </c>
      <c r="L23" s="15">
        <f>'MeOH FU 0.8'!$C23</f>
        <v>49.63334802</v>
      </c>
      <c r="M23" s="15">
        <f>'MeOH FU 0.81'!$C23</f>
        <v>50.248742049999997</v>
      </c>
      <c r="N23" s="15">
        <f>'MeOH FU 0.82'!$C23</f>
        <v>50.864232049999998</v>
      </c>
      <c r="O23" s="15">
        <f>'MeOH FU 0.83'!$C23</f>
        <v>51.47982786</v>
      </c>
      <c r="P23" s="15">
        <f>'MeOH FU 0.84'!$C23</f>
        <v>52.09554138</v>
      </c>
      <c r="Q23" s="15">
        <f>'MeOH FU 0.85'!$C23</f>
        <v>52.711385749999998</v>
      </c>
    </row>
    <row r="24" spans="1:17" x14ac:dyDescent="0.25">
      <c r="A24">
        <f>'MeOH FU 0.7'!A24</f>
        <v>0.82</v>
      </c>
      <c r="B24" s="15">
        <f>'MeOH FU 0.7'!$C24</f>
        <v>44.13796756</v>
      </c>
      <c r="C24" s="15">
        <f>'MeOH FU 0.71'!$C24</f>
        <v>44.762173330000003</v>
      </c>
      <c r="D24" s="15">
        <f>'MeOH FU 0.72'!$C24</f>
        <v>45.386434029999997</v>
      </c>
      <c r="E24" s="15">
        <f>'MeOH FU 0.73'!$C24</f>
        <v>46.010755570000001</v>
      </c>
      <c r="F24" s="15">
        <f>'MeOH FU 0.74'!$C24</f>
        <v>46.635140569999997</v>
      </c>
      <c r="G24" s="15">
        <f>'MeOH FU 0.75'!$C24</f>
        <v>47.259593270000003</v>
      </c>
      <c r="H24" s="15">
        <f>'MeOH FU 0.76'!$C24</f>
        <v>47.884118389999998</v>
      </c>
      <c r="I24" s="15">
        <f>'MeOH FU 0.77'!$C24</f>
        <v>48.508721299999998</v>
      </c>
      <c r="J24" s="15">
        <f>'MeOH FU 0.78'!$C24</f>
        <v>49.133408099999997</v>
      </c>
      <c r="K24" s="15">
        <f>'MeOH FU 0.79'!$C24</f>
        <v>49.758185830000002</v>
      </c>
      <c r="L24" s="15">
        <f>'MeOH FU 0.8'!$C24</f>
        <v>50.383062670000001</v>
      </c>
      <c r="M24" s="15">
        <f>'MeOH FU 0.81'!$C24</f>
        <v>51.008048250000002</v>
      </c>
      <c r="N24" s="15">
        <f>'MeOH FU 0.82'!$C24</f>
        <v>51.633154050000002</v>
      </c>
      <c r="O24" s="15">
        <f>'MeOH FU 0.83'!$C24</f>
        <v>52.258393920000003</v>
      </c>
      <c r="P24" s="15">
        <f>'MeOH FU 0.84'!$C24</f>
        <v>52.88378325</v>
      </c>
      <c r="Q24" s="15">
        <f>'MeOH FU 0.85'!$C24</f>
        <v>53.509345930000002</v>
      </c>
    </row>
    <row r="25" spans="1:17" x14ac:dyDescent="0.25">
      <c r="A25">
        <f>'MeOH FU 0.7'!A25</f>
        <v>0.83</v>
      </c>
      <c r="B25" s="15">
        <f>'MeOH FU 0.7'!$C25</f>
        <v>44.79378672</v>
      </c>
      <c r="C25" s="15">
        <f>'MeOH FU 0.71'!$C25</f>
        <v>45.427499410000003</v>
      </c>
      <c r="D25" s="15">
        <f>'MeOH FU 0.72'!$C25</f>
        <v>46.061280869999997</v>
      </c>
      <c r="E25" s="15">
        <f>'MeOH FU 0.73'!$C25</f>
        <v>46.695134279999998</v>
      </c>
      <c r="F25" s="15">
        <f>'MeOH FU 0.74'!$C25</f>
        <v>47.329064680000002</v>
      </c>
      <c r="G25" s="15">
        <f>'MeOH FU 0.75'!$C25</f>
        <v>47.963077730000002</v>
      </c>
      <c r="H25" s="15">
        <f>'MeOH FU 0.76'!$C25</f>
        <v>48.597179840000003</v>
      </c>
      <c r="I25" s="15">
        <f>'MeOH FU 0.77'!$C25</f>
        <v>49.231378360000001</v>
      </c>
      <c r="J25" s="15">
        <f>'MeOH FU 0.78'!$C25</f>
        <v>49.865681739999999</v>
      </c>
      <c r="K25" s="15">
        <f>'MeOH FU 0.79'!$C25</f>
        <v>50.50009988</v>
      </c>
      <c r="L25" s="15">
        <f>'MeOH FU 0.8'!$C25</f>
        <v>51.13464441</v>
      </c>
      <c r="M25" s="15">
        <f>'MeOH FU 0.81'!$C25</f>
        <v>51.76932927</v>
      </c>
      <c r="N25" s="15">
        <f>'MeOH FU 0.82'!$C25</f>
        <v>52.404169840000002</v>
      </c>
      <c r="O25" s="15">
        <f>'MeOH FU 0.83'!$C25</f>
        <v>53.039189260000001</v>
      </c>
      <c r="P25" s="15">
        <f>'MeOH FU 0.84'!$C25</f>
        <v>53.674412199999999</v>
      </c>
      <c r="Q25" s="15">
        <f>'MeOH FU 0.85'!$C25</f>
        <v>54.30987159</v>
      </c>
    </row>
    <row r="26" spans="1:17" x14ac:dyDescent="0.25">
      <c r="A26">
        <f>'MeOH FU 0.7'!A26</f>
        <v>0.84</v>
      </c>
      <c r="B26" s="15">
        <f>'MeOH FU 0.7'!$C26</f>
        <v>45.451118749999999</v>
      </c>
      <c r="C26" s="15">
        <f>'MeOH FU 0.71'!$C26</f>
        <v>46.09440987</v>
      </c>
      <c r="D26" s="15">
        <f>'MeOH FU 0.72'!$C26</f>
        <v>46.737784499999997</v>
      </c>
      <c r="E26" s="15">
        <f>'MeOH FU 0.73'!$C26</f>
        <v>47.381248839999998</v>
      </c>
      <c r="F26" s="15">
        <f>'MeOH FU 0.74'!$C26</f>
        <v>48.024809869999999</v>
      </c>
      <c r="G26" s="15">
        <f>'MeOH FU 0.75'!$C26</f>
        <v>48.668475579999999</v>
      </c>
      <c r="H26" s="15">
        <f>'MeOH FU 0.76'!$C26</f>
        <v>49.312255110000002</v>
      </c>
      <c r="I26" s="15">
        <f>'MeOH FU 0.77'!$C26</f>
        <v>49.956159079999999</v>
      </c>
      <c r="J26" s="15">
        <f>'MeOH FU 0.78'!$C26</f>
        <v>50.600199930000002</v>
      </c>
      <c r="K26" s="15">
        <f>'MeOH FU 0.79'!$C26</f>
        <v>51.244392400000002</v>
      </c>
      <c r="L26" s="15">
        <f>'MeOH FU 0.8'!$C26</f>
        <v>51.888754179999999</v>
      </c>
      <c r="M26" s="15">
        <f>'MeOH FU 0.81'!$C26</f>
        <v>52.533305060000004</v>
      </c>
      <c r="N26" s="15">
        <f>'MeOH FU 0.82'!$C26</f>
        <v>53.178074610000003</v>
      </c>
      <c r="O26" s="15">
        <f>'MeOH FU 0.83'!$C26</f>
        <v>53.82309489</v>
      </c>
      <c r="P26" s="15">
        <f>'MeOH FU 0.84'!$C26</f>
        <v>54.468408859999997</v>
      </c>
      <c r="Q26" s="15">
        <f>'MeOH FU 0.85'!$C26</f>
        <v>55.114073150000003</v>
      </c>
    </row>
    <row r="27" spans="1:17" x14ac:dyDescent="0.25">
      <c r="A27">
        <f>'MeOH FU 0.7'!A27</f>
        <v>0.85</v>
      </c>
      <c r="B27" s="15">
        <f>'MeOH FU 0.7'!$C27</f>
        <v>46.110453620000001</v>
      </c>
      <c r="C27" s="15">
        <f>'MeOH FU 0.71'!$C27</f>
        <v>46.763422390000002</v>
      </c>
      <c r="D27" s="15">
        <f>'MeOH FU 0.72'!$C27</f>
        <v>47.416498859999997</v>
      </c>
      <c r="E27" s="15">
        <f>'MeOH FU 0.73'!$C27</f>
        <v>48.06969204</v>
      </c>
      <c r="F27" s="15">
        <f>'MeOH FU 0.74'!$C27</f>
        <v>48.723012300000001</v>
      </c>
      <c r="G27" s="15">
        <f>'MeOH FU 0.75'!$C27</f>
        <v>49.376471590000001</v>
      </c>
      <c r="H27" s="15">
        <f>'MeOH FU 0.76'!$C27</f>
        <v>50.030083910000002</v>
      </c>
      <c r="I27" s="15">
        <f>'MeOH FU 0.77'!$C27</f>
        <v>50.683865769999997</v>
      </c>
      <c r="J27" s="15">
        <f>'MeOH FU 0.78'!$C27</f>
        <v>51.33783691</v>
      </c>
      <c r="K27" s="15">
        <f>'MeOH FU 0.79'!$C27</f>
        <v>51.992019460000002</v>
      </c>
      <c r="L27" s="15">
        <f>'MeOH FU 0.8'!$C27</f>
        <v>52.646445790000001</v>
      </c>
      <c r="M27" s="15">
        <f>'MeOH FU 0.81'!$C27</f>
        <v>53.301151169999997</v>
      </c>
      <c r="N27" s="15">
        <f>'MeOH FU 0.82'!$C27</f>
        <v>53.956182290000001</v>
      </c>
      <c r="O27" s="15">
        <f>'MeOH FU 0.83'!$C27</f>
        <v>54.611600080000002</v>
      </c>
      <c r="P27" s="15">
        <f>'MeOH FU 0.84'!$C27</f>
        <v>55.267486239999997</v>
      </c>
      <c r="Q27" s="15">
        <f>'MeOH FU 0.85'!$C27</f>
        <v>55.92395406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27"/>
  <sheetViews>
    <sheetView workbookViewId="0"/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>41.41852987</f>
        <v>41.41852987</v>
      </c>
      <c r="C2">
        <f>35.69837283</f>
        <v>35.698372829999997</v>
      </c>
      <c r="D2">
        <f>14.8792482</f>
        <v>14.879248199999999</v>
      </c>
      <c r="E2">
        <f>50.57762103</f>
        <v>50.577621030000003</v>
      </c>
      <c r="F2">
        <f>38.86381212</f>
        <v>38.863812119999999</v>
      </c>
      <c r="G2">
        <f>33.49647751</f>
        <v>33.496477509999998</v>
      </c>
      <c r="H2">
        <f>3.20200497</f>
        <v>3.20200497</v>
      </c>
      <c r="I2">
        <f>36.69848248</f>
        <v>36.698482480000003</v>
      </c>
      <c r="J2">
        <f>149.37782</f>
        <v>149.37782000000001</v>
      </c>
      <c r="K2">
        <f>5.0584077</f>
        <v>5.0584077000000001</v>
      </c>
      <c r="L2">
        <f>8165.5065</f>
        <v>8165.5065000000004</v>
      </c>
    </row>
    <row r="3" spans="1:12" x14ac:dyDescent="0.25">
      <c r="A3">
        <f>0.61</f>
        <v>0.61</v>
      </c>
      <c r="B3">
        <f>42.1088387</f>
        <v>42.1088387</v>
      </c>
      <c r="C3">
        <f>36.47689462</f>
        <v>36.476894620000003</v>
      </c>
      <c r="D3">
        <f>14.68264853</f>
        <v>14.68264853</v>
      </c>
      <c r="E3">
        <f>51.15954314</f>
        <v>51.159543139999997</v>
      </c>
      <c r="F3">
        <f>39.51154232</f>
        <v>39.511542319999997</v>
      </c>
      <c r="G3">
        <f>34.22697965</f>
        <v>34.226979649999997</v>
      </c>
      <c r="H3">
        <f>3.16042393</f>
        <v>3.1604239299999999</v>
      </c>
      <c r="I3">
        <f>37.38740358</f>
        <v>37.387403579999997</v>
      </c>
      <c r="J3">
        <f>147.51597</f>
        <v>147.51597000000001</v>
      </c>
      <c r="K3">
        <f>5.1383704</f>
        <v>5.1383704000000003</v>
      </c>
      <c r="L3">
        <f>7931.5392</f>
        <v>7931.5392000000002</v>
      </c>
    </row>
    <row r="4" spans="1:12" x14ac:dyDescent="0.25">
      <c r="A4">
        <f>0.62</f>
        <v>0.62</v>
      </c>
      <c r="B4">
        <f>42.79914753</f>
        <v>42.799147529999999</v>
      </c>
      <c r="C4">
        <f>37.2555075</f>
        <v>37.2555075</v>
      </c>
      <c r="D4">
        <f>14.48584702</f>
        <v>14.48584702</v>
      </c>
      <c r="E4">
        <f>51.74135452</f>
        <v>51.741354520000002</v>
      </c>
      <c r="F4">
        <f>40.15927252</f>
        <v>40.159272520000002</v>
      </c>
      <c r="G4">
        <f>34.95756726</f>
        <v>34.957567259999998</v>
      </c>
      <c r="H4">
        <f>3.118803015</f>
        <v>3.1188030150000001</v>
      </c>
      <c r="I4">
        <f>38.07637028</f>
        <v>38.076370279999999</v>
      </c>
      <c r="J4">
        <f>145.50836</f>
        <v>145.50836000000001</v>
      </c>
      <c r="K4">
        <f>5.2209885</f>
        <v>5.2209884999999998</v>
      </c>
      <c r="L4">
        <f>7697.4082</f>
        <v>7697.4081999999999</v>
      </c>
    </row>
    <row r="5" spans="1:12" x14ac:dyDescent="0.25">
      <c r="A5">
        <f>0.63</f>
        <v>0.63</v>
      </c>
      <c r="B5">
        <f>43.48945636</f>
        <v>43.489456359999998</v>
      </c>
      <c r="C5">
        <f>38.03422026</f>
        <v>38.034220259999998</v>
      </c>
      <c r="D5">
        <f>14.28882414</f>
        <v>14.288824139999999</v>
      </c>
      <c r="E5">
        <f>52.3230444</f>
        <v>52.323044400000001</v>
      </c>
      <c r="F5">
        <f>40.80700272</f>
        <v>40.80700272</v>
      </c>
      <c r="G5">
        <f>35.68824859</f>
        <v>35.688248590000001</v>
      </c>
      <c r="H5">
        <f>3.077138239</f>
        <v>3.0771382389999999</v>
      </c>
      <c r="I5">
        <f>38.76538683</f>
        <v>38.765386829999997</v>
      </c>
      <c r="J5">
        <f>143.35452</f>
        <v>143.35452000000001</v>
      </c>
      <c r="K5">
        <f>5.3064048</f>
        <v>5.3064048000000001</v>
      </c>
      <c r="L5">
        <f>7463.0977</f>
        <v>7463.0977000000003</v>
      </c>
    </row>
    <row r="6" spans="1:12" x14ac:dyDescent="0.25">
      <c r="A6">
        <f>0.64</f>
        <v>0.64</v>
      </c>
      <c r="B6">
        <f>44.17976519</f>
        <v>44.179765189999998</v>
      </c>
      <c r="C6">
        <f>38.81304289</f>
        <v>38.813042889999998</v>
      </c>
      <c r="D6">
        <f>14.09155772</f>
        <v>14.091557720000001</v>
      </c>
      <c r="E6">
        <f>52.90460061</f>
        <v>52.904600610000003</v>
      </c>
      <c r="F6">
        <f>41.45473292</f>
        <v>41.454732919999998</v>
      </c>
      <c r="G6">
        <f>36.41903301</f>
        <v>36.41903301</v>
      </c>
      <c r="H6">
        <f>3.035425063</f>
        <v>3.0354250629999999</v>
      </c>
      <c r="I6">
        <f>39.45445807</f>
        <v>39.454458070000001</v>
      </c>
      <c r="J6">
        <f>141.05395</f>
        <v>141.05394999999999</v>
      </c>
      <c r="K6">
        <f>5.3947739</f>
        <v>5.3947738999999997</v>
      </c>
      <c r="L6">
        <f>7228.5896</f>
        <v>7228.5896000000002</v>
      </c>
    </row>
    <row r="7" spans="1:12" x14ac:dyDescent="0.25">
      <c r="A7">
        <f>0.65</f>
        <v>0.65</v>
      </c>
      <c r="B7">
        <f>44.87007402</f>
        <v>44.870074019999997</v>
      </c>
      <c r="C7">
        <f>39.59198675</f>
        <v>39.591986749999997</v>
      </c>
      <c r="D7">
        <f>13.89402247</f>
        <v>13.894022469999999</v>
      </c>
      <c r="E7">
        <f>53.48600922</f>
        <v>53.48600922</v>
      </c>
      <c r="F7">
        <f>42.10246313</f>
        <v>42.102463129999997</v>
      </c>
      <c r="G7">
        <f>37.14993119</f>
        <v>37.149931189999997</v>
      </c>
      <c r="H7">
        <f>2.993658307</f>
        <v>2.993658307</v>
      </c>
      <c r="I7">
        <f>40.14358949</f>
        <v>40.143589489999997</v>
      </c>
      <c r="J7">
        <f>138.60606</f>
        <v>138.60606000000001</v>
      </c>
      <c r="K7">
        <f>5.4862635</f>
        <v>5.4862634999999997</v>
      </c>
      <c r="L7">
        <f>6993.8631</f>
        <v>6993.8630999999996</v>
      </c>
    </row>
    <row r="8" spans="1:12" x14ac:dyDescent="0.25">
      <c r="A8">
        <f>0.66</f>
        <v>0.66</v>
      </c>
      <c r="B8">
        <f>45.56038285</f>
        <v>45.560382850000003</v>
      </c>
      <c r="C8">
        <f>40.37106417</f>
        <v>40.371064169999997</v>
      </c>
      <c r="D8">
        <f>13.69619101</f>
        <v>13.69619101</v>
      </c>
      <c r="E8">
        <f>54.06725518</f>
        <v>54.067255179999997</v>
      </c>
      <c r="F8">
        <f>42.75019333</f>
        <v>42.750193330000002</v>
      </c>
      <c r="G8">
        <f>37.88095468</f>
        <v>37.880954680000002</v>
      </c>
      <c r="H8">
        <f>2.951832359</f>
        <v>2.951832359</v>
      </c>
      <c r="I8">
        <f>40.83278704</f>
        <v>40.832787039999999</v>
      </c>
      <c r="J8">
        <f>136.01174</f>
        <v>136.01174</v>
      </c>
      <c r="K8">
        <f>5.5810548</f>
        <v>5.5810548000000004</v>
      </c>
      <c r="L8">
        <f>6758.9734</f>
        <v>6758.9733999999999</v>
      </c>
    </row>
    <row r="9" spans="1:12" x14ac:dyDescent="0.25">
      <c r="A9">
        <f>0.67</f>
        <v>0.67</v>
      </c>
      <c r="B9">
        <f>46.25069169</f>
        <v>46.250691689999996</v>
      </c>
      <c r="C9">
        <f>41.15029149</f>
        <v>41.150291490000001</v>
      </c>
      <c r="D9">
        <f>13.49802701</f>
        <v>13.498027009999999</v>
      </c>
      <c r="E9">
        <f>54.6483185</f>
        <v>54.648318500000002</v>
      </c>
      <c r="F9">
        <f>43.39792353</f>
        <v>43.39792353</v>
      </c>
      <c r="G9">
        <f>38.61211883</f>
        <v>38.61211883</v>
      </c>
      <c r="H9">
        <f>2.909939731</f>
        <v>2.9099397310000001</v>
      </c>
      <c r="I9">
        <f>41.52205856</f>
        <v>41.522058559999998</v>
      </c>
      <c r="J9">
        <f>133.26713</f>
        <v>133.26713000000001</v>
      </c>
      <c r="K9">
        <f>5.6793478</f>
        <v>5.6793478000000004</v>
      </c>
      <c r="L9">
        <f>6523.738</f>
        <v>6523.7380000000003</v>
      </c>
    </row>
    <row r="10" spans="1:12" x14ac:dyDescent="0.25">
      <c r="A10">
        <f>0.68</f>
        <v>0.68</v>
      </c>
      <c r="B10">
        <f>46.94100052</f>
        <v>46.941000520000003</v>
      </c>
      <c r="C10">
        <f>41.92968542</f>
        <v>41.929685419999998</v>
      </c>
      <c r="D10">
        <f>13.29949332</f>
        <v>13.29949332</v>
      </c>
      <c r="E10">
        <f>55.22917873</f>
        <v>55.229178730000001</v>
      </c>
      <c r="F10">
        <f>44.04565373</f>
        <v>44.045653729999998</v>
      </c>
      <c r="G10">
        <f>39.34343931</f>
        <v>39.343439310000001</v>
      </c>
      <c r="H10">
        <f>2.867972775</f>
        <v>2.8679727750000001</v>
      </c>
      <c r="I10">
        <f>42.21141209</f>
        <v>42.211412090000003</v>
      </c>
      <c r="J10">
        <f>130.37284</f>
        <v>130.37284</v>
      </c>
      <c r="K10">
        <f>5.7813594</f>
        <v>5.7813594000000004</v>
      </c>
      <c r="L10">
        <f>6288.2019</f>
        <v>6288.2019</v>
      </c>
    </row>
    <row r="11" spans="1:12" x14ac:dyDescent="0.25">
      <c r="A11">
        <f>0.69</f>
        <v>0.69</v>
      </c>
      <c r="B11">
        <f>47.63130935</f>
        <v>47.631309350000002</v>
      </c>
      <c r="C11">
        <f>42.70926617</f>
        <v>42.709266169999999</v>
      </c>
      <c r="D11">
        <f>13.10054496</f>
        <v>13.100544960000001</v>
      </c>
      <c r="E11">
        <f>55.80981113</f>
        <v>55.80981113</v>
      </c>
      <c r="F11">
        <f>44.69338393</f>
        <v>44.693383930000003</v>
      </c>
      <c r="G11">
        <f>40.0749351</f>
        <v>40.074935099999998</v>
      </c>
      <c r="H11">
        <f>2.825922212</f>
        <v>2.825922212</v>
      </c>
      <c r="I11">
        <f>42.90085731</f>
        <v>42.900857309999999</v>
      </c>
      <c r="J11">
        <f>127.32781</f>
        <v>127.32781</v>
      </c>
      <c r="K11">
        <f>5.8873285</f>
        <v>5.8873284999999997</v>
      </c>
      <c r="L11">
        <f>6052.328</f>
        <v>6052.3280000000004</v>
      </c>
    </row>
    <row r="12" spans="1:12" x14ac:dyDescent="0.25">
      <c r="A12">
        <f>0.7</f>
        <v>0.7</v>
      </c>
      <c r="B12">
        <f>48.32161818</f>
        <v>48.321618180000002</v>
      </c>
      <c r="C12">
        <f>43.48905745</f>
        <v>43.489057449999997</v>
      </c>
      <c r="D12">
        <f>12.90112924</f>
        <v>12.901129239999999</v>
      </c>
      <c r="E12">
        <f>56.39018669</f>
        <v>56.39018669</v>
      </c>
      <c r="F12">
        <f>45.34111414</f>
        <v>45.341114140000002</v>
      </c>
      <c r="G12">
        <f>40.80662842</f>
        <v>40.806628420000003</v>
      </c>
      <c r="H12">
        <f>2.783777149</f>
        <v>2.7837771490000001</v>
      </c>
      <c r="I12">
        <f>43.59040557</f>
        <v>43.590405570000001</v>
      </c>
      <c r="J12">
        <f>124.13082</f>
        <v>124.13082</v>
      </c>
      <c r="K12">
        <f>5.997519</f>
        <v>5.9975189999999996</v>
      </c>
      <c r="L12">
        <f>5816.073</f>
        <v>5816.0730000000003</v>
      </c>
    </row>
    <row r="13" spans="1:12" x14ac:dyDescent="0.25">
      <c r="A13">
        <f>0.71</f>
        <v>0.71</v>
      </c>
      <c r="B13">
        <f>49.01192701</f>
        <v>49.011927010000001</v>
      </c>
      <c r="C13">
        <f>44.26908724</f>
        <v>44.269087239999998</v>
      </c>
      <c r="D13">
        <f>12.7011839</f>
        <v>12.7011839</v>
      </c>
      <c r="E13">
        <f>56.97027115</f>
        <v>56.970271150000002</v>
      </c>
      <c r="F13">
        <f>45.98884434</f>
        <v>45.98884434</v>
      </c>
      <c r="G13">
        <f>41.53854554</f>
        <v>41.538545540000001</v>
      </c>
      <c r="H13">
        <f>2.7415247</f>
        <v>2.7415246999999998</v>
      </c>
      <c r="I13">
        <f>44.28007024</f>
        <v>44.280070240000001</v>
      </c>
      <c r="J13">
        <f>120.78039</f>
        <v>120.78039</v>
      </c>
      <c r="K13">
        <f>6.1122236</f>
        <v>6.1122236000000001</v>
      </c>
      <c r="L13">
        <f>5579.3854</f>
        <v>5579.3854000000001</v>
      </c>
    </row>
    <row r="14" spans="1:12" x14ac:dyDescent="0.25">
      <c r="A14">
        <f>0.72</f>
        <v>0.72</v>
      </c>
      <c r="B14">
        <f>49.70223584</f>
        <v>49.70223584</v>
      </c>
      <c r="C14">
        <f>45.04938885</f>
        <v>45.04938885</v>
      </c>
      <c r="D14">
        <f>12.50063484</f>
        <v>12.50063484</v>
      </c>
      <c r="E14">
        <f>57.5500237</f>
        <v>57.550023699999997</v>
      </c>
      <c r="F14">
        <f>46.63657454</f>
        <v>46.636574539999998</v>
      </c>
      <c r="G14">
        <f>42.27071772</f>
        <v>42.27071772</v>
      </c>
      <c r="H14">
        <f>2.6991495</f>
        <v>2.6991494999999999</v>
      </c>
      <c r="I14">
        <f>44.96986722</f>
        <v>44.969867219999998</v>
      </c>
      <c r="J14">
        <f>117.27479</f>
        <v>117.27479</v>
      </c>
      <c r="K14">
        <f>6.2317694</f>
        <v>6.2317694000000001</v>
      </c>
      <c r="L14">
        <f>5342.2037</f>
        <v>5342.2037</v>
      </c>
    </row>
    <row r="15" spans="1:12" x14ac:dyDescent="0.25">
      <c r="A15">
        <f>0.73</f>
        <v>0.73</v>
      </c>
      <c r="B15">
        <f>50.39254467</f>
        <v>50.392544669999999</v>
      </c>
      <c r="C15">
        <f>45.83000228</f>
        <v>45.830002280000002</v>
      </c>
      <c r="D15">
        <f>12.29939306</f>
        <v>12.29939306</v>
      </c>
      <c r="E15">
        <f>58.12939535</f>
        <v>58.129395350000003</v>
      </c>
      <c r="F15">
        <f>47.28430474</f>
        <v>47.284304740000003</v>
      </c>
      <c r="G15">
        <f>43.00318248</f>
        <v>43.00318248</v>
      </c>
      <c r="H15">
        <f>2.65663307</f>
        <v>2.6566330699999998</v>
      </c>
      <c r="I15">
        <f>45.65981555</f>
        <v>45.659815549999998</v>
      </c>
      <c r="J15">
        <f>113.61191</f>
        <v>113.61190999999999</v>
      </c>
      <c r="K15">
        <f>6.3565241</f>
        <v>6.3565240999999997</v>
      </c>
      <c r="L15">
        <f>5104.454</f>
        <v>5104.4539999999997</v>
      </c>
    </row>
    <row r="16" spans="1:12" x14ac:dyDescent="0.25">
      <c r="A16">
        <f>0.74</f>
        <v>0.74</v>
      </c>
      <c r="B16">
        <f>51.0828535</f>
        <v>51.082853499999999</v>
      </c>
      <c r="C16">
        <f>46.61097605</f>
        <v>46.610976049999998</v>
      </c>
      <c r="D16">
        <f>12.09735061</f>
        <v>12.097350609999999</v>
      </c>
      <c r="E16">
        <f>58.70832665</f>
        <v>58.708326649999997</v>
      </c>
      <c r="F16">
        <f>47.93203494</f>
        <v>47.932034940000001</v>
      </c>
      <c r="G16">
        <f>43.73598535</f>
        <v>43.73598535</v>
      </c>
      <c r="H16">
        <f>2.613952966</f>
        <v>2.6139529659999998</v>
      </c>
      <c r="I16">
        <f>46.34993832</f>
        <v>46.34993832</v>
      </c>
      <c r="J16">
        <f>109.78921</f>
        <v>109.78921</v>
      </c>
      <c r="K16">
        <f>6.4869046</f>
        <v>6.4869045999999999</v>
      </c>
      <c r="L16">
        <f>4866.046</f>
        <v>4866.0460000000003</v>
      </c>
    </row>
    <row r="17" spans="1:12" x14ac:dyDescent="0.25">
      <c r="A17">
        <f>0.75</f>
        <v>0.75</v>
      </c>
      <c r="B17">
        <f>51.77316233</f>
        <v>51.773162329999998</v>
      </c>
      <c r="C17">
        <f>47.39236964</f>
        <v>47.392369639999998</v>
      </c>
      <c r="D17">
        <f>11.89437505</f>
        <v>11.894375050000001</v>
      </c>
      <c r="E17">
        <f>59.28674469</f>
        <v>59.286744689999999</v>
      </c>
      <c r="F17">
        <f>48.57976515</f>
        <v>48.57976515</v>
      </c>
      <c r="G17">
        <f>44.46918216</f>
        <v>44.469182160000003</v>
      </c>
      <c r="H17">
        <f>2.571081618</f>
        <v>2.571081618</v>
      </c>
      <c r="I17">
        <f>47.04026378</f>
        <v>47.040263779999997</v>
      </c>
      <c r="J17">
        <f>105.80354</f>
        <v>105.80354</v>
      </c>
      <c r="K17">
        <f>6.6233879</f>
        <v>6.6233879</v>
      </c>
      <c r="L17">
        <f>4626.869</f>
        <v>4626.8689999999997</v>
      </c>
    </row>
    <row r="18" spans="1:12" x14ac:dyDescent="0.25">
      <c r="A18">
        <f>0.76</f>
        <v>0.76</v>
      </c>
      <c r="B18">
        <f>52.46347117</f>
        <v>52.463471169999998</v>
      </c>
      <c r="C18">
        <f>48.17425697</f>
        <v>48.174256970000002</v>
      </c>
      <c r="D18">
        <f>11.6903019</f>
        <v>11.6903019</v>
      </c>
      <c r="E18">
        <f>59.86455887</f>
        <v>59.864558870000003</v>
      </c>
      <c r="F18">
        <f>49.22749535</f>
        <v>49.227495349999998</v>
      </c>
      <c r="G18">
        <f>45.20284225</f>
        <v>45.202842250000003</v>
      </c>
      <c r="H18">
        <f>2.527984738</f>
        <v>2.5279847379999998</v>
      </c>
      <c r="I18">
        <f>47.73082699</f>
        <v>47.730826989999997</v>
      </c>
      <c r="J18">
        <f>101.65099</f>
        <v>101.65098999999999</v>
      </c>
      <c r="K18">
        <f>6.7665261</f>
        <v>6.7665261000000001</v>
      </c>
      <c r="L18">
        <f>4386.7844</f>
        <v>4386.7843999999996</v>
      </c>
    </row>
    <row r="19" spans="1:12" x14ac:dyDescent="0.25">
      <c r="A19">
        <f>0.77</f>
        <v>0.77</v>
      </c>
      <c r="B19">
        <f>53.15378</f>
        <v>53.153779999999998</v>
      </c>
      <c r="C19">
        <f>48.95673118</f>
        <v>48.956731179999998</v>
      </c>
      <c r="D19">
        <f>11.48492384</f>
        <v>11.48492384</v>
      </c>
      <c r="E19">
        <f>60.44165502</f>
        <v>60.441655019999999</v>
      </c>
      <c r="F19">
        <f>49.87522555</f>
        <v>49.875225550000003</v>
      </c>
      <c r="G19">
        <f>45.93705302</f>
        <v>45.93705302</v>
      </c>
      <c r="H19">
        <f>2.484619059</f>
        <v>2.4846190589999999</v>
      </c>
      <c r="I19">
        <f>48.42167207</f>
        <v>48.42167207</v>
      </c>
      <c r="J19">
        <f>97.326616</f>
        <v>97.326616000000001</v>
      </c>
      <c r="K19">
        <f>6.9169668</f>
        <v>6.9169668</v>
      </c>
      <c r="L19">
        <f>4145.617</f>
        <v>4145.6170000000002</v>
      </c>
    </row>
    <row r="20" spans="1:12" x14ac:dyDescent="0.25">
      <c r="A20">
        <f>0.78</f>
        <v>0.78</v>
      </c>
      <c r="B20">
        <f>53.84408883</f>
        <v>53.844088829999997</v>
      </c>
      <c r="C20">
        <f>49.73991163</f>
        <v>49.739911630000002</v>
      </c>
      <c r="D20">
        <f>11.27797512</f>
        <v>11.277975120000001</v>
      </c>
      <c r="E20">
        <f>61.01788674</f>
        <v>61.017886740000002</v>
      </c>
      <c r="F20">
        <f>50.52295575</f>
        <v>50.522955750000001</v>
      </c>
      <c r="G20">
        <f>46.67192646</f>
        <v>46.671926460000002</v>
      </c>
      <c r="H20">
        <f>2.440929062</f>
        <v>2.4409290619999999</v>
      </c>
      <c r="I20">
        <f>49.11285552</f>
        <v>49.112855519999997</v>
      </c>
      <c r="J20">
        <f>92.824063</f>
        <v>92.824062999999995</v>
      </c>
      <c r="K20">
        <f>7.075482</f>
        <v>7.075482</v>
      </c>
      <c r="L20">
        <f>3903.141</f>
        <v>3903.1410000000001</v>
      </c>
    </row>
    <row r="21" spans="1:12" x14ac:dyDescent="0.25">
      <c r="A21">
        <f>0.79</f>
        <v>0.79</v>
      </c>
      <c r="B21">
        <f>54.53439766</f>
        <v>54.534397660000003</v>
      </c>
      <c r="C21">
        <f>50.52395437</f>
        <v>50.523954369999998</v>
      </c>
      <c r="D21">
        <f>11.06910829</f>
        <v>11.069108290000001</v>
      </c>
      <c r="E21">
        <f>61.59306266</f>
        <v>61.593062660000001</v>
      </c>
      <c r="F21">
        <f>51.17068595</f>
        <v>51.170685949999999</v>
      </c>
      <c r="G21">
        <f>47.40760902</f>
        <v>47.407609020000002</v>
      </c>
      <c r="H21">
        <f>2.396842084</f>
        <v>2.3968420840000002</v>
      </c>
      <c r="I21">
        <f>49.8044511</f>
        <v>49.804451100000001</v>
      </c>
      <c r="J21">
        <f>88.134983</f>
        <v>88.134983000000005</v>
      </c>
      <c r="K21">
        <f>7.2430102</f>
        <v>7.2430101999999996</v>
      </c>
      <c r="L21">
        <f>3659.0598</f>
        <v>3659.0598</v>
      </c>
    </row>
    <row r="22" spans="1:12" x14ac:dyDescent="0.25">
      <c r="A22">
        <f>0.8</f>
        <v>0.8</v>
      </c>
      <c r="B22">
        <f>55.22470649</f>
        <v>55.224706490000003</v>
      </c>
      <c r="C22">
        <f>51.30906833</f>
        <v>51.309068330000002</v>
      </c>
      <c r="D22">
        <f>10.85785819</f>
        <v>10.85785819</v>
      </c>
      <c r="E22">
        <f>62.16692652</f>
        <v>62.166926519999997</v>
      </c>
      <c r="F22">
        <f>51.81841616</f>
        <v>51.818416159999998</v>
      </c>
      <c r="G22">
        <f>48.14429671</f>
        <v>48.144296709999999</v>
      </c>
      <c r="H22">
        <f>2.352260753</f>
        <v>2.3522607529999999</v>
      </c>
      <c r="I22">
        <f>50.49655747</f>
        <v>50.496557469999999</v>
      </c>
      <c r="J22">
        <f>83.248161</f>
        <v>83.248160999999996</v>
      </c>
      <c r="K22">
        <f>7.4207207</f>
        <v>7.4207207000000004</v>
      </c>
      <c r="L22">
        <f>3412.9736</f>
        <v>3412.9735999999998</v>
      </c>
    </row>
    <row r="23" spans="1:12" x14ac:dyDescent="0.25">
      <c r="A23">
        <f>0.81</f>
        <v>0.81</v>
      </c>
      <c r="B23">
        <f>55.91501532</f>
        <v>55.915015320000002</v>
      </c>
      <c r="C23">
        <f>52.09554138</f>
        <v>52.09554138</v>
      </c>
      <c r="D23">
        <f>10.64358376</f>
        <v>10.64358376</v>
      </c>
      <c r="E23">
        <f>62.73912513</f>
        <v>62.739125129999998</v>
      </c>
      <c r="F23">
        <f>52.46614636</f>
        <v>52.466146360000003</v>
      </c>
      <c r="G23">
        <f>48.88225967</f>
        <v>48.882259670000003</v>
      </c>
      <c r="H23">
        <f>2.307050762</f>
        <v>2.3070507619999998</v>
      </c>
      <c r="I23">
        <f>51.18931043</f>
        <v>51.189310429999999</v>
      </c>
      <c r="J23">
        <f>78.148075</f>
        <v>78.148075000000006</v>
      </c>
      <c r="K23">
        <f>7.610115</f>
        <v>7.6101150000000004</v>
      </c>
      <c r="L23">
        <f>3164.3283</f>
        <v>3164.3283000000001</v>
      </c>
    </row>
    <row r="24" spans="1:12" x14ac:dyDescent="0.25">
      <c r="A24">
        <f>0.82</f>
        <v>0.82</v>
      </c>
      <c r="B24">
        <f>56.60532415</f>
        <v>56.605324150000001</v>
      </c>
      <c r="C24">
        <f>52.88378325</f>
        <v>52.88378325</v>
      </c>
      <c r="D24">
        <f>10.42537255</f>
        <v>10.425372550000001</v>
      </c>
      <c r="E24">
        <f>63.3091558</f>
        <v>63.309155799999999</v>
      </c>
      <c r="F24">
        <f>53.11387656</f>
        <v>53.113876560000001</v>
      </c>
      <c r="G24">
        <f>49.62188235</f>
        <v>49.62188235</v>
      </c>
      <c r="H24">
        <f>2.261020808</f>
        <v>2.261020808</v>
      </c>
      <c r="I24">
        <f>51.88290316</f>
        <v>51.882903159999998</v>
      </c>
      <c r="J24">
        <f>72.813294</f>
        <v>72.813293999999999</v>
      </c>
      <c r="K24">
        <f>7.8131941</f>
        <v>7.8131940999999996</v>
      </c>
      <c r="L24">
        <f>2912.3603</f>
        <v>2912.3602999999998</v>
      </c>
    </row>
    <row r="25" spans="1:12" x14ac:dyDescent="0.25">
      <c r="A25">
        <f>0.83</f>
        <v>0.83</v>
      </c>
      <c r="B25">
        <f>57.29563298</f>
        <v>57.295632980000001</v>
      </c>
      <c r="C25">
        <f>53.6744122</f>
        <v>53.674412199999999</v>
      </c>
      <c r="D25">
        <f>10.2018477</f>
        <v>10.2018477</v>
      </c>
      <c r="E25">
        <f>63.87625989</f>
        <v>63.87625989</v>
      </c>
      <c r="F25">
        <f>53.76160676</f>
        <v>53.761606759999999</v>
      </c>
      <c r="G25">
        <f>50.36374487</f>
        <v>50.363744869999998</v>
      </c>
      <c r="H25">
        <f>2.213882016</f>
        <v>2.2138820159999999</v>
      </c>
      <c r="I25">
        <f>52.57762688</f>
        <v>52.577626879999997</v>
      </c>
      <c r="J25">
        <f>67.208952</f>
        <v>67.208951999999996</v>
      </c>
      <c r="K25">
        <f>8.032777</f>
        <v>8.0327769999999994</v>
      </c>
      <c r="L25">
        <f>2655.8118</f>
        <v>2655.8117999999999</v>
      </c>
    </row>
    <row r="26" spans="1:12" x14ac:dyDescent="0.25">
      <c r="A26">
        <f>0.84</f>
        <v>0.84</v>
      </c>
      <c r="B26">
        <f>57.98594181</f>
        <v>57.98594181</v>
      </c>
      <c r="C26">
        <f>54.46840886</f>
        <v>54.468408859999997</v>
      </c>
      <c r="D26">
        <f>9.970825117</f>
        <v>9.9708251170000004</v>
      </c>
      <c r="E26">
        <f>64.43923397</f>
        <v>64.439233970000004</v>
      </c>
      <c r="F26">
        <f>54.40933696</f>
        <v>54.409336959999997</v>
      </c>
      <c r="G26">
        <f>51.10876738</f>
        <v>51.108767380000003</v>
      </c>
      <c r="H26">
        <f>2.165175896</f>
        <v>2.165175896</v>
      </c>
      <c r="I26">
        <f>53.27394327</f>
        <v>53.273943269999997</v>
      </c>
      <c r="J26">
        <f>61.282317</f>
        <v>61.282316999999999</v>
      </c>
      <c r="K26">
        <f>8.27309</f>
        <v>8.2730899999999998</v>
      </c>
      <c r="L26">
        <f>2392.7877</f>
        <v>2392.7876999999999</v>
      </c>
    </row>
    <row r="27" spans="1:12" x14ac:dyDescent="0.25">
      <c r="A27">
        <f>0.85</f>
        <v>0.85</v>
      </c>
      <c r="B27">
        <f>58.67625065</f>
        <v>58.67625065</v>
      </c>
      <c r="C27">
        <f>55.26748624</f>
        <v>55.267486239999997</v>
      </c>
      <c r="D27">
        <f>9.728489492</f>
        <v>9.7284894919999996</v>
      </c>
      <c r="E27">
        <f>64.99597573</f>
        <v>64.995975729999998</v>
      </c>
      <c r="F27">
        <f>55.05706717</f>
        <v>55.057067170000003</v>
      </c>
      <c r="G27">
        <f>51.85855722</f>
        <v>51.858557220000002</v>
      </c>
      <c r="H27">
        <f>2.114101141</f>
        <v>2.1141011409999999</v>
      </c>
      <c r="I27">
        <f>53.97265836</f>
        <v>53.972658359999997</v>
      </c>
      <c r="J27">
        <f>54.94023</f>
        <v>54.94023</v>
      </c>
      <c r="K27">
        <f>8.5411319</f>
        <v>8.5411318999999999</v>
      </c>
      <c r="L27">
        <f>2119.9217</f>
        <v>2119.9216999999999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7"/>
  <sheetViews>
    <sheetView workbookViewId="0">
      <selection activeCell="L27" sqref="L27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  <row r="2" spans="1:12" x14ac:dyDescent="0.25">
      <c r="A2">
        <f>0.6</f>
        <v>0.6</v>
      </c>
      <c r="B2">
        <f>41.9116076</f>
        <v>41.911607600000004</v>
      </c>
      <c r="C2">
        <f>36.11779983</f>
        <v>36.117799830000003</v>
      </c>
      <c r="D2">
        <f>13.91298711</f>
        <v>13.91298711</v>
      </c>
      <c r="E2">
        <f>50.03078694</f>
        <v>50.030786939999999</v>
      </c>
      <c r="F2">
        <f>39.32647655</f>
        <v>39.326476550000002</v>
      </c>
      <c r="G2">
        <f>33.89003403</f>
        <v>33.890034030000002</v>
      </c>
      <c r="H2">
        <f>2.966966587</f>
        <v>2.9669665869999999</v>
      </c>
      <c r="I2">
        <f>36.85700062</f>
        <v>36.857000620000001</v>
      </c>
      <c r="J2">
        <f>148.94516</f>
        <v>148.94515999999999</v>
      </c>
      <c r="K2">
        <f>5.0529739</f>
        <v>5.0529738999999996</v>
      </c>
      <c r="L2">
        <f>8141.8561</f>
        <v>8141.8561</v>
      </c>
    </row>
    <row r="3" spans="1:12" x14ac:dyDescent="0.25">
      <c r="A3">
        <f>0.61</f>
        <v>0.61</v>
      </c>
      <c r="B3">
        <f>42.6101344</f>
        <v>42.6101344</v>
      </c>
      <c r="C3">
        <f>36.90559942</f>
        <v>36.905599420000001</v>
      </c>
      <c r="D3">
        <f>13.71402443</f>
        <v>13.71402443</v>
      </c>
      <c r="E3">
        <f>50.61962386</f>
        <v>50.619623859999997</v>
      </c>
      <c r="F3">
        <f>39.98191782</f>
        <v>39.98191782</v>
      </c>
      <c r="G3">
        <f>34.62924171</f>
        <v>34.629241710000002</v>
      </c>
      <c r="H3">
        <f>2.924809382</f>
        <v>2.9248093819999998</v>
      </c>
      <c r="I3">
        <f>37.55405109</f>
        <v>37.554051090000002</v>
      </c>
      <c r="J3">
        <f>147.07374</f>
        <v>147.07373999999999</v>
      </c>
      <c r="K3">
        <f>5.1327724</f>
        <v>5.1327724000000003</v>
      </c>
      <c r="L3">
        <f>7907.7617</f>
        <v>7907.7617</v>
      </c>
    </row>
    <row r="4" spans="1:12" x14ac:dyDescent="0.25">
      <c r="A4">
        <f>0.62</f>
        <v>0.62</v>
      </c>
      <c r="B4">
        <f>43.30866119</f>
        <v>43.308661190000002</v>
      </c>
      <c r="C4">
        <f>37.69349218</f>
        <v>37.69349218</v>
      </c>
      <c r="D4">
        <f>13.51485527</f>
        <v>13.51485527</v>
      </c>
      <c r="E4">
        <f>51.20834746</f>
        <v>51.208347459999999</v>
      </c>
      <c r="F4">
        <f>40.6373591</f>
        <v>40.637359099999998</v>
      </c>
      <c r="G4">
        <f>35.36853681</f>
        <v>35.368536810000002</v>
      </c>
      <c r="H4">
        <f>2.882608899</f>
        <v>2.8826088990000001</v>
      </c>
      <c r="I4">
        <f>38.25114571</f>
        <v>38.251145710000003</v>
      </c>
      <c r="J4">
        <f>145.0563</f>
        <v>145.05629999999999</v>
      </c>
      <c r="K4">
        <f>5.2152191</f>
        <v>5.2152190999999997</v>
      </c>
      <c r="L4">
        <f>7673.4946</f>
        <v>7673.4946</v>
      </c>
    </row>
    <row r="5" spans="1:12" x14ac:dyDescent="0.25">
      <c r="A5">
        <f>0.63</f>
        <v>0.63</v>
      </c>
      <c r="B5">
        <f>44.00718798</f>
        <v>44.007187979999998</v>
      </c>
      <c r="C5">
        <f>38.48148651</f>
        <v>38.481486510000003</v>
      </c>
      <c r="D5">
        <f>13.31546098</f>
        <v>13.315460979999999</v>
      </c>
      <c r="E5">
        <f>51.79694749</f>
        <v>51.796947490000001</v>
      </c>
      <c r="F5">
        <f>41.29280037</f>
        <v>41.292800370000002</v>
      </c>
      <c r="G5">
        <f>36.10792721</f>
        <v>36.10792721</v>
      </c>
      <c r="H5">
        <f>2.840361208</f>
        <v>2.840361208</v>
      </c>
      <c r="I5">
        <f>38.94828842</f>
        <v>38.948288419999997</v>
      </c>
      <c r="J5">
        <f>142.89403</f>
        <v>142.89402999999999</v>
      </c>
      <c r="K5">
        <f>5.300456</f>
        <v>5.3004559999999996</v>
      </c>
      <c r="L5">
        <f>7439.1239</f>
        <v>7439.1238999999996</v>
      </c>
    </row>
    <row r="6" spans="1:12" x14ac:dyDescent="0.25">
      <c r="A6">
        <f>0.64</f>
        <v>0.64</v>
      </c>
      <c r="B6">
        <f>44.70571478</f>
        <v>44.705714780000001</v>
      </c>
      <c r="C6">
        <f>39.2695939</f>
        <v>39.269593899999997</v>
      </c>
      <c r="D6">
        <f>13.11581599</f>
        <v>13.11581599</v>
      </c>
      <c r="E6">
        <f>52.38540988</f>
        <v>52.385409879999997</v>
      </c>
      <c r="F6">
        <f>41.94824165</f>
        <v>41.94824165</v>
      </c>
      <c r="G6">
        <f>36.8474237</f>
        <v>36.8474237</v>
      </c>
      <c r="H6">
        <f>2.798060921</f>
        <v>2.7980609209999998</v>
      </c>
      <c r="I6">
        <f>39.64548462</f>
        <v>39.645484619999998</v>
      </c>
      <c r="J6">
        <f>140.58311</f>
        <v>140.58311</v>
      </c>
      <c r="K6">
        <f>5.3886385</f>
        <v>5.3886384999999999</v>
      </c>
      <c r="L6">
        <f>7204.4603</f>
        <v>7204.4602999999997</v>
      </c>
    </row>
    <row r="7" spans="1:12" x14ac:dyDescent="0.25">
      <c r="A7">
        <f>0.65</f>
        <v>0.65</v>
      </c>
      <c r="B7">
        <f>45.40424157</f>
        <v>45.404241570000003</v>
      </c>
      <c r="C7">
        <f>40.05782546</f>
        <v>40.057825459999997</v>
      </c>
      <c r="D7">
        <f>12.91589558</f>
        <v>12.915895580000001</v>
      </c>
      <c r="E7">
        <f>52.97372105</f>
        <v>52.973721050000002</v>
      </c>
      <c r="F7">
        <f>42.60368293</f>
        <v>42.603682929999998</v>
      </c>
      <c r="G7">
        <f>37.58703671</f>
        <v>37.58703671</v>
      </c>
      <c r="H7">
        <f>2.755702829</f>
        <v>2.7557028290000001</v>
      </c>
      <c r="I7">
        <f>40.34273954</f>
        <v>40.342739539999997</v>
      </c>
      <c r="J7">
        <f>138.12453</f>
        <v>138.12452999999999</v>
      </c>
      <c r="K7">
        <f>5.4799334</f>
        <v>5.4799334000000002</v>
      </c>
      <c r="L7">
        <f>6969.5658</f>
        <v>6969.5658000000003</v>
      </c>
    </row>
    <row r="8" spans="1:12" x14ac:dyDescent="0.25">
      <c r="A8">
        <f>0.66</f>
        <v>0.66</v>
      </c>
      <c r="B8">
        <f>46.10276836</f>
        <v>46.102768359999999</v>
      </c>
      <c r="C8">
        <f>40.84619464</f>
        <v>40.84619464</v>
      </c>
      <c r="D8">
        <f>12.71566993</f>
        <v>12.715669930000001</v>
      </c>
      <c r="E8">
        <f>53.56186457</f>
        <v>53.561864569999997</v>
      </c>
      <c r="F8">
        <f>43.2591242</f>
        <v>43.259124200000002</v>
      </c>
      <c r="G8">
        <f>38.32677884</f>
        <v>38.326778840000003</v>
      </c>
      <c r="H8">
        <f>2.713280639</f>
        <v>2.7132806390000002</v>
      </c>
      <c r="I8">
        <f>41.04005948</f>
        <v>41.040059479999996</v>
      </c>
      <c r="J8">
        <f>135.51755</f>
        <v>135.51755</v>
      </c>
      <c r="K8">
        <f>5.5745224</f>
        <v>5.5745224000000002</v>
      </c>
      <c r="L8">
        <f>6734.4153</f>
        <v>6734.4152999999997</v>
      </c>
    </row>
    <row r="9" spans="1:12" x14ac:dyDescent="0.25">
      <c r="A9">
        <f>0.67</f>
        <v>0.67</v>
      </c>
      <c r="B9">
        <f>46.80129516</f>
        <v>46.801295160000002</v>
      </c>
      <c r="C9">
        <f>41.63471689</f>
        <v>41.63471689</v>
      </c>
      <c r="D9">
        <f>12.51510463</f>
        <v>12.51510463</v>
      </c>
      <c r="E9">
        <f>54.14982152</f>
        <v>54.149821520000003</v>
      </c>
      <c r="F9">
        <f>43.91456548</f>
        <v>43.91456548</v>
      </c>
      <c r="G9">
        <f>39.0666646</f>
        <v>39.066664600000003</v>
      </c>
      <c r="H9">
        <f>2.670787097</f>
        <v>2.6707870969999998</v>
      </c>
      <c r="I9">
        <f>41.7374517</f>
        <v>41.737451700000001</v>
      </c>
      <c r="J9">
        <f>132.76136</f>
        <v>132.76136</v>
      </c>
      <c r="K9">
        <f>5.6726039</f>
        <v>5.6726039000000004</v>
      </c>
      <c r="L9">
        <f>6498.9795</f>
        <v>6498.9795000000004</v>
      </c>
    </row>
    <row r="10" spans="1:12" x14ac:dyDescent="0.25">
      <c r="A10">
        <f>0.68</f>
        <v>0.68</v>
      </c>
      <c r="B10">
        <f>47.49982195</f>
        <v>47.499821949999998</v>
      </c>
      <c r="C10">
        <f>42.42341014</f>
        <v>42.423410140000001</v>
      </c>
      <c r="D10">
        <f>12.31415982</f>
        <v>12.31415982</v>
      </c>
      <c r="E10">
        <f>54.73756996</f>
        <v>54.737569960000002</v>
      </c>
      <c r="F10">
        <f>44.57000675</f>
        <v>44.570006749999997</v>
      </c>
      <c r="G10">
        <f>39.80671082</f>
        <v>39.806710819999999</v>
      </c>
      <c r="H10">
        <f>2.628213791</f>
        <v>2.6282137909999999</v>
      </c>
      <c r="I10">
        <f>42.43492461</f>
        <v>42.434924610000003</v>
      </c>
      <c r="J10">
        <f>129.85498</f>
        <v>129.85498000000001</v>
      </c>
      <c r="K10">
        <f>5.7743952</f>
        <v>5.7743951999999998</v>
      </c>
      <c r="L10">
        <f>6263.2244</f>
        <v>6263.2244000000001</v>
      </c>
    </row>
    <row r="11" spans="1:12" x14ac:dyDescent="0.25">
      <c r="A11">
        <f>0.69</f>
        <v>0.69</v>
      </c>
      <c r="B11">
        <f>48.19834874</f>
        <v>48.19834874</v>
      </c>
      <c r="C11">
        <f>43.21229529</f>
        <v>43.21229529</v>
      </c>
      <c r="D11">
        <f>12.11278902</f>
        <v>12.112789019999999</v>
      </c>
      <c r="E11">
        <f>55.32508431</f>
        <v>55.325084310000001</v>
      </c>
      <c r="F11">
        <f>45.22544803</f>
        <v>45.225448030000003</v>
      </c>
      <c r="G11">
        <f>40.5469371</f>
        <v>40.546937100000001</v>
      </c>
      <c r="H11">
        <f>2.585550913</f>
        <v>2.5855509130000001</v>
      </c>
      <c r="I11">
        <f>43.13248801</f>
        <v>43.132488010000003</v>
      </c>
      <c r="J11">
        <f>126.79729</f>
        <v>126.79729</v>
      </c>
      <c r="K11">
        <f>5.880135</f>
        <v>5.8801350000000001</v>
      </c>
      <c r="L11">
        <f>6027.1105</f>
        <v>6027.1104999999998</v>
      </c>
    </row>
    <row r="12" spans="1:12" x14ac:dyDescent="0.25">
      <c r="A12">
        <f>0.7</f>
        <v>0.7</v>
      </c>
      <c r="B12">
        <f>48.89687554</f>
        <v>48.896875540000003</v>
      </c>
      <c r="C12">
        <f>44.00139688</f>
        <v>44.001396880000001</v>
      </c>
      <c r="D12">
        <f>11.91093766</f>
        <v>11.91093766</v>
      </c>
      <c r="E12">
        <f>55.91233453</f>
        <v>55.912334530000003</v>
      </c>
      <c r="F12">
        <f>45.8808893</f>
        <v>45.8808893</v>
      </c>
      <c r="G12">
        <f>41.28736647</f>
        <v>41.287366470000002</v>
      </c>
      <c r="H12">
        <f>2.542786942</f>
        <v>2.5427869420000002</v>
      </c>
      <c r="I12">
        <f>43.83015341</f>
        <v>43.830153410000001</v>
      </c>
      <c r="J12">
        <f>123.58696</f>
        <v>123.58696</v>
      </c>
      <c r="K12">
        <f>5.9900873</f>
        <v>5.9900872999999999</v>
      </c>
      <c r="L12">
        <f>5790.5909</f>
        <v>5790.5909000000001</v>
      </c>
    </row>
    <row r="13" spans="1:12" x14ac:dyDescent="0.25">
      <c r="A13">
        <f>0.71</f>
        <v>0.71</v>
      </c>
      <c r="B13">
        <f>49.59540233</f>
        <v>49.595402329999999</v>
      </c>
      <c r="C13">
        <f>44.79074391</f>
        <v>44.790743910000003</v>
      </c>
      <c r="D13">
        <f>11.70854118</f>
        <v>11.708541179999999</v>
      </c>
      <c r="E13">
        <f>56.49928509</f>
        <v>56.499285090000001</v>
      </c>
      <c r="F13">
        <f>46.53633058</f>
        <v>46.536330579999998</v>
      </c>
      <c r="G13">
        <f>42.02802614</f>
        <v>42.028026140000001</v>
      </c>
      <c r="H13">
        <f>2.499908249</f>
        <v>2.4999082490000002</v>
      </c>
      <c r="I13">
        <f>44.52793439</f>
        <v>44.527934389999999</v>
      </c>
      <c r="J13">
        <f>120.22242</f>
        <v>120.22242</v>
      </c>
      <c r="K13">
        <f>6.1045451</f>
        <v>6.1045451000000002</v>
      </c>
      <c r="L13">
        <f>5553.6103</f>
        <v>5553.6103000000003</v>
      </c>
    </row>
    <row r="14" spans="1:12" x14ac:dyDescent="0.25">
      <c r="A14">
        <f>0.72</f>
        <v>0.72</v>
      </c>
      <c r="B14">
        <f>50.29392913</f>
        <v>50.293929130000002</v>
      </c>
      <c r="C14">
        <f>45.58037099</f>
        <v>45.580370989999999</v>
      </c>
      <c r="D14">
        <f>11.50552263</f>
        <v>11.50552263</v>
      </c>
      <c r="E14">
        <f>57.08589362</f>
        <v>57.08589362</v>
      </c>
      <c r="F14">
        <f>47.19177186</f>
        <v>47.191771860000003</v>
      </c>
      <c r="G14">
        <f>42.76894858</f>
        <v>42.76894858</v>
      </c>
      <c r="H14">
        <f>2.45689858</f>
        <v>2.4568985799999998</v>
      </c>
      <c r="I14">
        <f>45.22584716</f>
        <v>45.225847160000001</v>
      </c>
      <c r="J14">
        <f>116.7018</f>
        <v>116.70180000000001</v>
      </c>
      <c r="K14">
        <f>6.2238361</f>
        <v>6.2238360999999998</v>
      </c>
      <c r="L14">
        <f>5316.1022</f>
        <v>5316.1022000000003</v>
      </c>
    </row>
    <row r="15" spans="1:12" x14ac:dyDescent="0.25">
      <c r="A15">
        <f>0.73</f>
        <v>0.73</v>
      </c>
      <c r="B15">
        <f>50.99245592</f>
        <v>50.992455919999998</v>
      </c>
      <c r="C15">
        <f>46.37031972</f>
        <v>46.370319719999998</v>
      </c>
      <c r="D15">
        <f>11.3017894</f>
        <v>11.301789400000001</v>
      </c>
      <c r="E15">
        <f>57.67210912</f>
        <v>57.672109120000002</v>
      </c>
      <c r="F15">
        <f>47.84721313</f>
        <v>47.84721313</v>
      </c>
      <c r="G15">
        <f>43.51017285</f>
        <v>43.510172849999996</v>
      </c>
      <c r="H15">
        <f>2.413738369</f>
        <v>2.4137383689999998</v>
      </c>
      <c r="I15">
        <f>45.92391121</f>
        <v>45.92391121</v>
      </c>
      <c r="J15">
        <f>113.02282</f>
        <v>113.02282</v>
      </c>
      <c r="K15">
        <f>6.348329</f>
        <v>6.3483289999999997</v>
      </c>
      <c r="L15">
        <f>5077.9866</f>
        <v>5077.9866000000002</v>
      </c>
    </row>
    <row r="16" spans="1:12" x14ac:dyDescent="0.25">
      <c r="A16">
        <f>0.74</f>
        <v>0.74</v>
      </c>
      <c r="B16">
        <f>51.69098271</f>
        <v>51.69098271</v>
      </c>
      <c r="C16">
        <f>47.16064071</f>
        <v>47.160640710000003</v>
      </c>
      <c r="D16">
        <f>11.09722888</f>
        <v>11.097228879999999</v>
      </c>
      <c r="E16">
        <f>58.25786959</f>
        <v>58.257869589999999</v>
      </c>
      <c r="F16">
        <f>48.50265441</f>
        <v>48.502654409999998</v>
      </c>
      <c r="G16">
        <f>44.2517464</f>
        <v>44.251746400000002</v>
      </c>
      <c r="H16">
        <f>2.370403826</f>
        <v>2.370403826</v>
      </c>
      <c r="I16">
        <f>46.62215023</f>
        <v>46.622150230000003</v>
      </c>
      <c r="J16">
        <f>109.18272</f>
        <v>109.18272</v>
      </c>
      <c r="K16">
        <f>6.4784423</f>
        <v>6.4784423000000002</v>
      </c>
      <c r="L16">
        <f>4839.1656</f>
        <v>4839.1656000000003</v>
      </c>
    </row>
    <row r="17" spans="1:12" x14ac:dyDescent="0.25">
      <c r="A17">
        <f>0.75</f>
        <v>0.75</v>
      </c>
      <c r="B17">
        <f>52.38950951</f>
        <v>52.389509510000003</v>
      </c>
      <c r="C17">
        <f>47.95139616</f>
        <v>47.951396160000002</v>
      </c>
      <c r="D17">
        <f>10.89170263</f>
        <v>10.891702629999999</v>
      </c>
      <c r="E17">
        <f>58.8430988</f>
        <v>58.8430988</v>
      </c>
      <c r="F17">
        <f>49.15809568</f>
        <v>49.158095680000002</v>
      </c>
      <c r="G17">
        <f>44.99372762</f>
        <v>44.993727620000001</v>
      </c>
      <c r="H17">
        <f>2.32686569</f>
        <v>2.32686569</v>
      </c>
      <c r="I17">
        <f>47.32059331</f>
        <v>47.32059331</v>
      </c>
      <c r="J17">
        <f>105.1781</f>
        <v>105.1781</v>
      </c>
      <c r="K17">
        <f>6.6146558</f>
        <v>6.6146558000000004</v>
      </c>
      <c r="L17">
        <f>4599.5182</f>
        <v>4599.5182000000004</v>
      </c>
    </row>
    <row r="18" spans="1:12" x14ac:dyDescent="0.25">
      <c r="A18">
        <f>0.76</f>
        <v>0.76</v>
      </c>
      <c r="B18">
        <f>53.0880363</f>
        <v>53.088036299999999</v>
      </c>
      <c r="C18">
        <f>48.74266357</f>
        <v>48.742663569999998</v>
      </c>
      <c r="D18">
        <f>10.68503815</f>
        <v>10.68503815</v>
      </c>
      <c r="E18">
        <f>59.42770172</f>
        <v>59.427701720000002</v>
      </c>
      <c r="F18">
        <f>49.81353696</f>
        <v>49.81353696</v>
      </c>
      <c r="G18">
        <f>45.73618921</f>
        <v>45.736189209999999</v>
      </c>
      <c r="H18">
        <f>2.283087496</f>
        <v>2.2830874959999998</v>
      </c>
      <c r="I18">
        <f>48.01927671</f>
        <v>48.01927671</v>
      </c>
      <c r="J18">
        <f>101.00469</f>
        <v>101.00469</v>
      </c>
      <c r="K18">
        <f>6.7575259</f>
        <v>6.7575259000000001</v>
      </c>
      <c r="L18">
        <f>4358.8932</f>
        <v>4358.8932000000004</v>
      </c>
    </row>
    <row r="19" spans="1:12" x14ac:dyDescent="0.25">
      <c r="A19">
        <f>0.77</f>
        <v>0.77</v>
      </c>
      <c r="B19">
        <f>53.78656309</f>
        <v>53.786563090000001</v>
      </c>
      <c r="C19">
        <f>49.53454094</f>
        <v>49.534540939999999</v>
      </c>
      <c r="D19">
        <f>10.47701724</f>
        <v>10.47701724</v>
      </c>
      <c r="E19">
        <f>60.01155818</f>
        <v>60.011558180000002</v>
      </c>
      <c r="F19">
        <f>50.46897823</f>
        <v>50.468978229999998</v>
      </c>
      <c r="G19">
        <f>46.47922315</f>
        <v>46.479223150000003</v>
      </c>
      <c r="H19">
        <f>2.239023111</f>
        <v>2.2390231109999998</v>
      </c>
      <c r="I19">
        <f>48.71824626</f>
        <v>48.718246260000001</v>
      </c>
      <c r="J19">
        <f>96.657072</f>
        <v>96.657071999999999</v>
      </c>
      <c r="K19">
        <f>6.907707</f>
        <v>6.9077070000000003</v>
      </c>
      <c r="L19">
        <f>4117.0978</f>
        <v>4117.0977999999996</v>
      </c>
    </row>
    <row r="20" spans="1:12" x14ac:dyDescent="0.25">
      <c r="A20">
        <f>0.78</f>
        <v>0.78</v>
      </c>
      <c r="B20">
        <f>54.48508989</f>
        <v>54.485089889999998</v>
      </c>
      <c r="C20">
        <f>50.32715444</f>
        <v>50.327154440000001</v>
      </c>
      <c r="D20">
        <f>10.26735902</f>
        <v>10.267359020000001</v>
      </c>
      <c r="E20">
        <f>60.59451346</f>
        <v>60.594513460000002</v>
      </c>
      <c r="F20">
        <f>51.12441951</f>
        <v>51.124419510000003</v>
      </c>
      <c r="G20">
        <f>47.22294782</f>
        <v>47.222947820000002</v>
      </c>
      <c r="H20">
        <f>2.19461314</f>
        <v>2.19461314</v>
      </c>
      <c r="I20">
        <f>49.41756096</f>
        <v>49.417560960000003</v>
      </c>
      <c r="J20">
        <f>92.128246</f>
        <v>92.128246000000004</v>
      </c>
      <c r="K20">
        <f>7.0659815</f>
        <v>7.0659815000000004</v>
      </c>
      <c r="L20">
        <f>3873.8828</f>
        <v>3873.8827999999999</v>
      </c>
    </row>
    <row r="21" spans="1:12" x14ac:dyDescent="0.25">
      <c r="A21">
        <f>0.79</f>
        <v>0.79</v>
      </c>
      <c r="B21">
        <f>55.18361668</f>
        <v>55.18361668</v>
      </c>
      <c r="C21">
        <f>51.12066987</f>
        <v>51.12066987</v>
      </c>
      <c r="D21">
        <f>10.05569433</f>
        <v>10.05569433</v>
      </c>
      <c r="E21">
        <f>61.1763642</f>
        <v>61.176364200000002</v>
      </c>
      <c r="F21">
        <f>51.77986079</f>
        <v>51.779860790000001</v>
      </c>
      <c r="G21">
        <f>47.96751877</f>
        <v>47.967518769999998</v>
      </c>
      <c r="H21">
        <f>2.149779505</f>
        <v>2.1497795050000001</v>
      </c>
      <c r="I21">
        <f>50.11729828</f>
        <v>50.11729828</v>
      </c>
      <c r="J21">
        <f>87.408965</f>
        <v>87.408964999999995</v>
      </c>
      <c r="K21">
        <f>7.2333052</f>
        <v>7.2333052000000002</v>
      </c>
      <c r="L21">
        <f>3628.9181</f>
        <v>3628.9180999999999</v>
      </c>
    </row>
    <row r="22" spans="1:12" x14ac:dyDescent="0.25">
      <c r="A22">
        <f>0.8</f>
        <v>0.8</v>
      </c>
      <c r="B22">
        <f>55.88214347</f>
        <v>55.882143470000003</v>
      </c>
      <c r="C22">
        <f>51.91531064</f>
        <v>51.915310640000001</v>
      </c>
      <c r="D22">
        <f>9.841525681</f>
        <v>9.8415256810000002</v>
      </c>
      <c r="E22">
        <f>61.75683632</f>
        <v>61.756836319999998</v>
      </c>
      <c r="F22">
        <f>52.43530206</f>
        <v>52.435302059999998</v>
      </c>
      <c r="G22">
        <f>48.71314566</f>
        <v>48.713145660000002</v>
      </c>
      <c r="H22">
        <f>2.104416969</f>
        <v>2.1044169689999999</v>
      </c>
      <c r="I22">
        <f>50.81756263</f>
        <v>50.817562629999998</v>
      </c>
      <c r="J22">
        <f>82.486705</f>
        <v>82.486705000000001</v>
      </c>
      <c r="K22">
        <f>7.4108751</f>
        <v>7.4108751000000002</v>
      </c>
      <c r="L22">
        <f>3381.7558</f>
        <v>3381.7557999999999</v>
      </c>
    </row>
    <row r="23" spans="1:12" x14ac:dyDescent="0.25">
      <c r="A23">
        <f>0.81</f>
        <v>0.81</v>
      </c>
      <c r="B23">
        <f>56.58067027</f>
        <v>56.580670269999999</v>
      </c>
      <c r="C23">
        <f>52.71138575</f>
        <v>52.711385749999998</v>
      </c>
      <c r="D23">
        <f>9.624164959</f>
        <v>9.6241649589999998</v>
      </c>
      <c r="E23">
        <f>62.33555071</f>
        <v>62.33555071</v>
      </c>
      <c r="F23">
        <f>53.09074334</f>
        <v>53.090743340000003</v>
      </c>
      <c r="G23">
        <f>49.46011842</f>
        <v>49.460118420000001</v>
      </c>
      <c r="H23">
        <f>2.058379957</f>
        <v>2.0583799570000001</v>
      </c>
      <c r="I23">
        <f>51.51849838</f>
        <v>51.518498379999997</v>
      </c>
      <c r="J23">
        <f>77.344816</f>
        <v>77.344815999999994</v>
      </c>
      <c r="K23">
        <f>7.6002371</f>
        <v>7.6002371000000002</v>
      </c>
      <c r="L23">
        <f>3131.8032</f>
        <v>3131.8031999999998</v>
      </c>
    </row>
    <row r="24" spans="1:12" x14ac:dyDescent="0.25">
      <c r="A24">
        <f>0.82</f>
        <v>0.82</v>
      </c>
      <c r="B24">
        <f>57.27919706</f>
        <v>57.279197060000001</v>
      </c>
      <c r="C24">
        <f>53.50934593</f>
        <v>53.509345930000002</v>
      </c>
      <c r="D24">
        <f>9.402608363</f>
        <v>9.4026083630000006</v>
      </c>
      <c r="E24">
        <f>62.91195429</f>
        <v>62.911954289999997</v>
      </c>
      <c r="F24">
        <f>53.74618461</f>
        <v>53.74618461</v>
      </c>
      <c r="G24">
        <f>50.20885998</f>
        <v>50.20885998</v>
      </c>
      <c r="H24">
        <f>2.011456073</f>
        <v>2.0114560730000002</v>
      </c>
      <c r="I24">
        <f>52.22031605</f>
        <v>52.220316050000001</v>
      </c>
      <c r="J24">
        <f>71.956404</f>
        <v>71.956404000000006</v>
      </c>
      <c r="K24">
        <f>7.8034842</f>
        <v>7.8034841999999998</v>
      </c>
      <c r="L24">
        <f>2878.0867</f>
        <v>2878.0866999999998</v>
      </c>
    </row>
    <row r="25" spans="1:12" x14ac:dyDescent="0.25">
      <c r="A25">
        <f>0.83</f>
        <v>0.83</v>
      </c>
      <c r="B25">
        <f>57.97772385</f>
        <v>57.977723849999997</v>
      </c>
      <c r="C25">
        <f>54.30987159</f>
        <v>54.30987159</v>
      </c>
      <c r="D25">
        <f>9.175340495</f>
        <v>9.1753404950000004</v>
      </c>
      <c r="E25">
        <f>63.48521209</f>
        <v>63.485212089999997</v>
      </c>
      <c r="F25">
        <f>54.40162589</f>
        <v>54.401625889999998</v>
      </c>
      <c r="G25">
        <f>50.96000878</f>
        <v>50.960008780000003</v>
      </c>
      <c r="H25">
        <f>1.963324645</f>
        <v>1.9633246449999999</v>
      </c>
      <c r="I25">
        <f>52.92333342</f>
        <v>52.923333419999999</v>
      </c>
      <c r="J25">
        <f>66.283402</f>
        <v>66.283401999999995</v>
      </c>
      <c r="K25">
        <f>8.0235888</f>
        <v>8.0235888000000006</v>
      </c>
      <c r="L25">
        <f>2619.238</f>
        <v>2619.2379999999998</v>
      </c>
    </row>
    <row r="26" spans="1:12" x14ac:dyDescent="0.25">
      <c r="A26">
        <f>0.84</f>
        <v>0.84</v>
      </c>
      <c r="B26">
        <f>58.67625065</f>
        <v>58.67625065</v>
      </c>
      <c r="C26">
        <f>55.11407315</f>
        <v>55.114073150000003</v>
      </c>
      <c r="D26">
        <f>8.939888164</f>
        <v>8.9398881639999992</v>
      </c>
      <c r="E26">
        <f>64.05396131</f>
        <v>64.053961310000005</v>
      </c>
      <c r="F26">
        <f>55.05706717</f>
        <v>55.057067170000003</v>
      </c>
      <c r="G26">
        <f>51.71460674</f>
        <v>51.714606740000001</v>
      </c>
      <c r="H26">
        <f>1.913462269</f>
        <v>1.913462269</v>
      </c>
      <c r="I26">
        <f>53.62806901</f>
        <v>53.628069009999997</v>
      </c>
      <c r="J26">
        <f>60.26239</f>
        <v>60.262390000000003</v>
      </c>
      <c r="K26">
        <f>8.2651156</f>
        <v>8.2651155999999997</v>
      </c>
      <c r="L26">
        <f>2352.9643</f>
        <v>2352.9643000000001</v>
      </c>
    </row>
    <row r="27" spans="1:12" x14ac:dyDescent="0.25">
      <c r="A27">
        <f>0.85</f>
        <v>0.85</v>
      </c>
      <c r="B27">
        <f>59.37477744</f>
        <v>59.374777440000003</v>
      </c>
      <c r="C27">
        <f>55.92395406</f>
        <v>55.92395406</v>
      </c>
      <c r="D27">
        <f>8.691788891</f>
        <v>8.6917888909999999</v>
      </c>
      <c r="E27">
        <f>64.61574295</f>
        <v>64.615742949999998</v>
      </c>
      <c r="F27">
        <f>55.71250844</f>
        <v>55.712508440000001</v>
      </c>
      <c r="G27">
        <f>52.47453375</f>
        <v>52.474533749999999</v>
      </c>
      <c r="H27">
        <f>1.860924476</f>
        <v>1.8609244760000001</v>
      </c>
      <c r="I27">
        <f>54.33545823</f>
        <v>54.33545823</v>
      </c>
      <c r="J27">
        <f>53.778834</f>
        <v>53.778834000000003</v>
      </c>
      <c r="K27">
        <f>8.5358726</f>
        <v>8.5358725999999994</v>
      </c>
      <c r="L27">
        <f>2075.1081</f>
        <v>2075.1080999999999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>
      <selection activeCell="P29" sqref="P28:P29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'MeOH FU 0.7'!A2</f>
        <v>0.6</v>
      </c>
      <c r="B2" s="15">
        <f>'MeOH FU 0.7'!$D2</f>
        <v>28.414420669999998</v>
      </c>
      <c r="C2" s="15">
        <f>'MeOH FU 0.71'!$D2</f>
        <v>27.447177979999999</v>
      </c>
      <c r="D2" s="15">
        <f>'MeOH FU 0.72'!$D2</f>
        <v>26.479999580000001</v>
      </c>
      <c r="E2" s="15">
        <f>'MeOH FU 0.73'!$D2</f>
        <v>25.512884960000001</v>
      </c>
      <c r="F2" s="15">
        <f>'MeOH FU 0.74'!$D2</f>
        <v>24.54583693</v>
      </c>
      <c r="G2" s="15">
        <f>'MeOH FU 0.75'!$D2</f>
        <v>23.57885696</v>
      </c>
      <c r="H2" s="15">
        <f>'MeOH FU 0.76'!$D2</f>
        <v>22.61194635</v>
      </c>
      <c r="I2" s="15">
        <f>'MeOH FU 0.77'!$D2</f>
        <v>21.645106169999998</v>
      </c>
      <c r="J2" s="15">
        <f>'MeOH FU 0.78'!$D2</f>
        <v>20.678337339999999</v>
      </c>
      <c r="K2" s="15">
        <f>'MeOH FU 0.79'!$D2</f>
        <v>19.711640559999999</v>
      </c>
      <c r="L2" s="15">
        <f>'MeOH FU 0.8'!$D2</f>
        <v>18.74501635</v>
      </c>
      <c r="M2" s="15">
        <f>'MeOH FU 0.81'!$D2</f>
        <v>17.778465010000001</v>
      </c>
      <c r="N2" s="15">
        <f>'MeOH FU 0.82'!$D2</f>
        <v>16.811986659999999</v>
      </c>
      <c r="O2" s="15">
        <f>'MeOH FU 0.83'!$D2</f>
        <v>15.84558118</v>
      </c>
      <c r="P2" s="15">
        <f>'MeOH FU 0.84'!$D2</f>
        <v>14.879248199999999</v>
      </c>
      <c r="Q2" s="15">
        <f>'MeOH FU 0.85'!$D2</f>
        <v>13.91298711</v>
      </c>
    </row>
    <row r="3" spans="1:17" x14ac:dyDescent="0.25">
      <c r="A3">
        <f>'MeOH FU 0.7'!A3</f>
        <v>0.61</v>
      </c>
      <c r="B3" s="15">
        <f>'MeOH FU 0.7'!$D3</f>
        <v>28.25080045</v>
      </c>
      <c r="C3" s="15">
        <f>'MeOH FU 0.71'!$D3</f>
        <v>27.281207989999999</v>
      </c>
      <c r="D3" s="15">
        <f>'MeOH FU 0.72'!$D3</f>
        <v>26.311676899999998</v>
      </c>
      <c r="E3" s="15">
        <f>'MeOH FU 0.73'!$D3</f>
        <v>25.342210120000001</v>
      </c>
      <c r="F3" s="15">
        <f>'MeOH FU 0.74'!$D3</f>
        <v>24.3728093</v>
      </c>
      <c r="G3" s="15">
        <f>'MeOH FU 0.75'!$D3</f>
        <v>23.403475879999998</v>
      </c>
      <c r="H3" s="15">
        <f>'MeOH FU 0.76'!$D3</f>
        <v>22.43421111</v>
      </c>
      <c r="I3" s="15">
        <f>'MeOH FU 0.77'!$D3</f>
        <v>21.465016039999998</v>
      </c>
      <c r="J3" s="15">
        <f>'MeOH FU 0.78'!$D3</f>
        <v>20.495891530000002</v>
      </c>
      <c r="K3" s="15">
        <f>'MeOH FU 0.79'!$D3</f>
        <v>19.526838229999999</v>
      </c>
      <c r="L3" s="15">
        <f>'MeOH FU 0.8'!$D3</f>
        <v>18.557856610000002</v>
      </c>
      <c r="M3" s="15">
        <f>'MeOH FU 0.81'!$D3</f>
        <v>17.588946920000001</v>
      </c>
      <c r="N3" s="15">
        <f>'MeOH FU 0.82'!$D3</f>
        <v>16.62010918</v>
      </c>
      <c r="O3" s="15">
        <f>'MeOH FU 0.83'!$D3</f>
        <v>15.651343199999999</v>
      </c>
      <c r="P3" s="15">
        <f>'MeOH FU 0.84'!$D3</f>
        <v>14.68264853</v>
      </c>
      <c r="Q3" s="15">
        <f>'MeOH FU 0.85'!$D3</f>
        <v>13.71402443</v>
      </c>
    </row>
    <row r="4" spans="1:17" x14ac:dyDescent="0.25">
      <c r="A4">
        <f>'MeOH FU 0.7'!A4</f>
        <v>0.62</v>
      </c>
      <c r="B4" s="15">
        <f>'MeOH FU 0.7'!$D4</f>
        <v>28.087031929999998</v>
      </c>
      <c r="C4" s="15">
        <f>'MeOH FU 0.71'!$D4</f>
        <v>27.115085260000001</v>
      </c>
      <c r="D4" s="15">
        <f>'MeOH FU 0.72'!$D4</f>
        <v>26.143199240000001</v>
      </c>
      <c r="E4" s="15">
        <f>'MeOH FU 0.73'!$D4</f>
        <v>25.17137687</v>
      </c>
      <c r="F4" s="15">
        <f>'MeOH FU 0.74'!$D4</f>
        <v>24.199619760000001</v>
      </c>
      <c r="G4" s="15">
        <f>'MeOH FU 0.75'!$D4</f>
        <v>23.227929320000001</v>
      </c>
      <c r="H4" s="15">
        <f>'MeOH FU 0.76'!$D4</f>
        <v>22.256306739999999</v>
      </c>
      <c r="I4" s="15">
        <f>'MeOH FU 0.77'!$D4</f>
        <v>21.284753049999999</v>
      </c>
      <c r="J4" s="15">
        <f>'MeOH FU 0.78'!$D4</f>
        <v>20.313269030000001</v>
      </c>
      <c r="K4" s="15">
        <f>'MeOH FU 0.79'!$D4</f>
        <v>19.341855299999999</v>
      </c>
      <c r="L4" s="15">
        <f>'MeOH FU 0.8'!$D4</f>
        <v>18.370512260000002</v>
      </c>
      <c r="M4" s="15">
        <f>'MeOH FU 0.81'!$D4</f>
        <v>17.399240079999998</v>
      </c>
      <c r="N4" s="15">
        <f>'MeOH FU 0.82'!$D4</f>
        <v>16.42803872</v>
      </c>
      <c r="O4" s="15">
        <f>'MeOH FU 0.83'!$D4</f>
        <v>15.456907879999999</v>
      </c>
      <c r="P4" s="15">
        <f>'MeOH FU 0.84'!$D4</f>
        <v>14.48584702</v>
      </c>
      <c r="Q4" s="15">
        <f>'MeOH FU 0.85'!$D4</f>
        <v>13.51485527</v>
      </c>
    </row>
    <row r="5" spans="1:17" x14ac:dyDescent="0.25">
      <c r="A5">
        <f>'MeOH FU 0.7'!A5</f>
        <v>0.63</v>
      </c>
      <c r="B5" s="15">
        <f>'MeOH FU 0.7'!$D5</f>
        <v>27.923102790000002</v>
      </c>
      <c r="C5" s="15">
        <f>'MeOH FU 0.71'!$D5</f>
        <v>26.94879697</v>
      </c>
      <c r="D5" s="15">
        <f>'MeOH FU 0.72'!$D5</f>
        <v>25.974552299999999</v>
      </c>
      <c r="E5" s="15">
        <f>'MeOH FU 0.73'!$D5</f>
        <v>25.000370539999999</v>
      </c>
      <c r="F5" s="15">
        <f>'MeOH FU 0.74'!$D5</f>
        <v>24.026253260000001</v>
      </c>
      <c r="G5" s="15">
        <f>'MeOH FU 0.75'!$D5</f>
        <v>23.052201830000001</v>
      </c>
      <c r="H5" s="15">
        <f>'MeOH FU 0.76'!$D5</f>
        <v>22.0782174</v>
      </c>
      <c r="I5" s="15">
        <f>'MeOH FU 0.77'!$D5</f>
        <v>21.104300930000001</v>
      </c>
      <c r="J5" s="15">
        <f>'MeOH FU 0.78'!$D5</f>
        <v>20.13045318</v>
      </c>
      <c r="K5" s="15">
        <f>'MeOH FU 0.79'!$D5</f>
        <v>19.156674670000001</v>
      </c>
      <c r="L5" s="15">
        <f>'MeOH FU 0.8'!$D5</f>
        <v>18.18296574</v>
      </c>
      <c r="M5" s="15">
        <f>'MeOH FU 0.81'!$D5</f>
        <v>17.209326489999999</v>
      </c>
      <c r="N5" s="15">
        <f>'MeOH FU 0.82'!$D5</f>
        <v>16.23575679</v>
      </c>
      <c r="O5" s="15">
        <f>'MeOH FU 0.83'!$D5</f>
        <v>15.26225623</v>
      </c>
      <c r="P5" s="15">
        <f>'MeOH FU 0.84'!$D5</f>
        <v>14.288824139999999</v>
      </c>
      <c r="Q5" s="15">
        <f>'MeOH FU 0.85'!$D5</f>
        <v>13.315460979999999</v>
      </c>
    </row>
    <row r="6" spans="1:17" x14ac:dyDescent="0.25">
      <c r="A6">
        <f>'MeOH FU 0.7'!A6</f>
        <v>0.64</v>
      </c>
      <c r="B6" s="15">
        <f>'MeOH FU 0.7'!$D6</f>
        <v>27.758995219999999</v>
      </c>
      <c r="C6" s="15">
        <f>'MeOH FU 0.71'!$D6</f>
        <v>26.7823274</v>
      </c>
      <c r="D6" s="15">
        <f>'MeOH FU 0.72'!$D6</f>
        <v>25.805719939999999</v>
      </c>
      <c r="E6" s="15">
        <f>'MeOH FU 0.73'!$D6</f>
        <v>24.829174559999998</v>
      </c>
      <c r="F6" s="15">
        <f>'MeOH FU 0.74'!$D6</f>
        <v>23.852692810000001</v>
      </c>
      <c r="G6" s="15">
        <f>'MeOH FU 0.75'!$D6</f>
        <v>22.876275979999999</v>
      </c>
      <c r="H6" s="15">
        <f>'MeOH FU 0.76'!$D6</f>
        <v>21.899925190000001</v>
      </c>
      <c r="I6" s="15">
        <f>'MeOH FU 0.77'!$D6</f>
        <v>20.92364134</v>
      </c>
      <c r="J6" s="15">
        <f>'MeOH FU 0.78'!$D6</f>
        <v>19.947425119999998</v>
      </c>
      <c r="K6" s="15">
        <f>'MeOH FU 0.79'!$D6</f>
        <v>18.971276979999999</v>
      </c>
      <c r="L6" s="15">
        <f>'MeOH FU 0.8'!$D6</f>
        <v>17.995197189999999</v>
      </c>
      <c r="M6" s="15">
        <f>'MeOH FU 0.81'!$D6</f>
        <v>17.019185740000001</v>
      </c>
      <c r="N6" s="15">
        <f>'MeOH FU 0.82'!$D6</f>
        <v>16.0432424</v>
      </c>
      <c r="O6" s="15">
        <f>'MeOH FU 0.83'!$D6</f>
        <v>15.06736667</v>
      </c>
      <c r="P6" s="15">
        <f>'MeOH FU 0.84'!$D6</f>
        <v>14.091557720000001</v>
      </c>
      <c r="Q6" s="15">
        <f>'MeOH FU 0.85'!$D6</f>
        <v>13.11581599</v>
      </c>
    </row>
    <row r="7" spans="1:17" x14ac:dyDescent="0.25">
      <c r="A7">
        <f>'MeOH FU 0.7'!A7</f>
        <v>0.65</v>
      </c>
      <c r="B7" s="15">
        <f>'MeOH FU 0.7'!$D7</f>
        <v>27.594693060000001</v>
      </c>
      <c r="C7" s="15">
        <f>'MeOH FU 0.71'!$D7</f>
        <v>26.615658719999999</v>
      </c>
      <c r="D7" s="15">
        <f>'MeOH FU 0.72'!$D7</f>
        <v>25.636683869999999</v>
      </c>
      <c r="E7" s="15">
        <f>'MeOH FU 0.73'!$D7</f>
        <v>24.65777018</v>
      </c>
      <c r="F7" s="15">
        <f>'MeOH FU 0.74'!$D7</f>
        <v>23.678919140000001</v>
      </c>
      <c r="G7" s="15">
        <f>'MeOH FU 0.75'!$D7</f>
        <v>22.700132010000001</v>
      </c>
      <c r="H7" s="15">
        <f>'MeOH FU 0.76'!$D7</f>
        <v>21.721409829999999</v>
      </c>
      <c r="I7" s="15">
        <f>'MeOH FU 0.77'!$D7</f>
        <v>20.742753440000001</v>
      </c>
      <c r="J7" s="15">
        <f>'MeOH FU 0.78'!$D7</f>
        <v>19.764163450000002</v>
      </c>
      <c r="K7" s="15">
        <f>'MeOH FU 0.79'!$D7</f>
        <v>18.78564025</v>
      </c>
      <c r="L7" s="15">
        <f>'MeOH FU 0.8'!$D7</f>
        <v>17.807183999999999</v>
      </c>
      <c r="M7" s="15">
        <f>'MeOH FU 0.81'!$D7</f>
        <v>16.828794599999998</v>
      </c>
      <c r="N7" s="15">
        <f>'MeOH FU 0.82'!$D7</f>
        <v>15.850471689999999</v>
      </c>
      <c r="O7" s="15">
        <f>'MeOH FU 0.83'!$D7</f>
        <v>14.872214639999999</v>
      </c>
      <c r="P7" s="15">
        <f>'MeOH FU 0.84'!$D7</f>
        <v>13.894022469999999</v>
      </c>
      <c r="Q7" s="15">
        <f>'MeOH FU 0.85'!$D7</f>
        <v>12.915895580000001</v>
      </c>
    </row>
    <row r="8" spans="1:17" x14ac:dyDescent="0.25">
      <c r="A8">
        <f>'MeOH FU 0.7'!A8</f>
        <v>0.66</v>
      </c>
      <c r="B8" s="15">
        <f>'MeOH FU 0.7'!$D8</f>
        <v>27.430176599999999</v>
      </c>
      <c r="C8" s="15">
        <f>'MeOH FU 0.71'!$D8</f>
        <v>26.448770719999999</v>
      </c>
      <c r="D8" s="15">
        <f>'MeOH FU 0.72'!$D8</f>
        <v>25.467423320000002</v>
      </c>
      <c r="E8" s="15">
        <f>'MeOH FU 0.73'!$D8</f>
        <v>24.48613606</v>
      </c>
      <c r="F8" s="15">
        <f>'MeOH FU 0.74'!$D8</f>
        <v>23.504910349999999</v>
      </c>
      <c r="G8" s="15">
        <f>'MeOH FU 0.75'!$D8</f>
        <v>22.523747400000001</v>
      </c>
      <c r="H8" s="15">
        <f>'MeOH FU 0.76'!$D8</f>
        <v>21.542648190000001</v>
      </c>
      <c r="I8" s="15">
        <f>'MeOH FU 0.77'!$D8</f>
        <v>20.561613470000001</v>
      </c>
      <c r="J8" s="15">
        <f>'MeOH FU 0.78'!$D8</f>
        <v>19.580643769999998</v>
      </c>
      <c r="K8" s="15">
        <f>'MeOH FU 0.79'!$D8</f>
        <v>18.59973939</v>
      </c>
      <c r="L8" s="15">
        <f>'MeOH FU 0.8'!$D8</f>
        <v>17.618900379999999</v>
      </c>
      <c r="M8" s="15">
        <f>'MeOH FU 0.81'!$D8</f>
        <v>16.638126530000001</v>
      </c>
      <c r="N8" s="15">
        <f>'MeOH FU 0.82'!$D8</f>
        <v>15.657417349999999</v>
      </c>
      <c r="O8" s="15">
        <f>'MeOH FU 0.83'!$D8</f>
        <v>14.67677203</v>
      </c>
      <c r="P8" s="15">
        <f>'MeOH FU 0.84'!$D8</f>
        <v>13.69619101</v>
      </c>
      <c r="Q8" s="15">
        <f>'MeOH FU 0.85'!$D8</f>
        <v>12.715669930000001</v>
      </c>
    </row>
    <row r="9" spans="1:17" x14ac:dyDescent="0.25">
      <c r="A9">
        <f>'MeOH FU 0.7'!A9</f>
        <v>0.67</v>
      </c>
      <c r="B9" s="15">
        <f>'MeOH FU 0.7'!$D9</f>
        <v>27.265423370000001</v>
      </c>
      <c r="C9" s="15">
        <f>'MeOH FU 0.71'!$D9</f>
        <v>26.281640280000001</v>
      </c>
      <c r="D9" s="15">
        <f>'MeOH FU 0.72'!$D9</f>
        <v>25.297914559999999</v>
      </c>
      <c r="E9" s="15">
        <f>'MeOH FU 0.73'!$D9</f>
        <v>24.314247819999999</v>
      </c>
      <c r="F9" s="15">
        <f>'MeOH FU 0.74'!$D9</f>
        <v>23.33064139</v>
      </c>
      <c r="G9" s="15">
        <f>'MeOH FU 0.75'!$D9</f>
        <v>22.34709642</v>
      </c>
      <c r="H9" s="15">
        <f>'MeOH FU 0.76'!$D9</f>
        <v>21.36361381</v>
      </c>
      <c r="I9" s="15">
        <f>'MeOH FU 0.77'!$D9</f>
        <v>20.38019422</v>
      </c>
      <c r="J9" s="15">
        <f>'MeOH FU 0.78'!$D9</f>
        <v>19.396838089999999</v>
      </c>
      <c r="K9" s="15">
        <f>'MeOH FU 0.79'!$D9</f>
        <v>18.41354561</v>
      </c>
      <c r="L9" s="15">
        <f>'MeOH FU 0.8'!$D9</f>
        <v>17.43031672</v>
      </c>
      <c r="M9" s="15">
        <f>'MeOH FU 0.81'!$D9</f>
        <v>16.447151049999999</v>
      </c>
      <c r="N9" s="15">
        <f>'MeOH FU 0.82'!$D9</f>
        <v>15.464047969999999</v>
      </c>
      <c r="O9" s="15">
        <f>'MeOH FU 0.83'!$D9</f>
        <v>14.481006499999999</v>
      </c>
      <c r="P9" s="15">
        <f>'MeOH FU 0.84'!$D9</f>
        <v>13.498027009999999</v>
      </c>
      <c r="Q9" s="15">
        <f>'MeOH FU 0.85'!$D9</f>
        <v>12.51510463</v>
      </c>
    </row>
    <row r="10" spans="1:17" x14ac:dyDescent="0.25">
      <c r="A10">
        <f>'MeOH FU 0.7'!A10</f>
        <v>0.68</v>
      </c>
      <c r="B10" s="15">
        <f>'MeOH FU 0.7'!$D10</f>
        <v>27.1004076</v>
      </c>
      <c r="C10" s="15">
        <f>'MeOH FU 0.71'!$D10</f>
        <v>26.11424092</v>
      </c>
      <c r="D10" s="15">
        <f>'MeOH FU 0.72'!$D10</f>
        <v>25.128130370000001</v>
      </c>
      <c r="E10" s="15">
        <f>'MeOH FU 0.73'!$D10</f>
        <v>24.14207747</v>
      </c>
      <c r="F10" s="15">
        <f>'MeOH FU 0.74'!$D10</f>
        <v>23.156083479999999</v>
      </c>
      <c r="G10" s="15">
        <f>'MeOH FU 0.75'!$D10</f>
        <v>22.170149469999998</v>
      </c>
      <c r="H10" s="15">
        <f>'MeOH FU 0.76'!$D10</f>
        <v>21.18427625</v>
      </c>
      <c r="I10" s="15">
        <f>'MeOH FU 0.77'!$D10</f>
        <v>20.198464380000001</v>
      </c>
      <c r="J10" s="15">
        <f>'MeOH FU 0.78'!$D10</f>
        <v>19.212714200000001</v>
      </c>
      <c r="K10" s="15">
        <f>'MeOH FU 0.79'!$D10</f>
        <v>18.22702576</v>
      </c>
      <c r="L10" s="15">
        <f>'MeOH FU 0.8'!$D10</f>
        <v>17.24139886</v>
      </c>
      <c r="M10" s="15">
        <f>'MeOH FU 0.81'!$D10</f>
        <v>16.255832980000001</v>
      </c>
      <c r="N10" s="15">
        <f>'MeOH FU 0.82'!$D10</f>
        <v>15.270327310000001</v>
      </c>
      <c r="O10" s="15">
        <f>'MeOH FU 0.83'!$D10</f>
        <v>14.284882250000001</v>
      </c>
      <c r="P10" s="15">
        <f>'MeOH FU 0.84'!$D10</f>
        <v>13.29949332</v>
      </c>
      <c r="Q10" s="15">
        <f>'MeOH FU 0.85'!$D10</f>
        <v>12.31415982</v>
      </c>
    </row>
    <row r="11" spans="1:17" x14ac:dyDescent="0.25">
      <c r="A11">
        <f>'MeOH FU 0.7'!A11</f>
        <v>0.69</v>
      </c>
      <c r="B11" s="15">
        <f>'MeOH FU 0.7'!$D11</f>
        <v>26.935099610000002</v>
      </c>
      <c r="C11" s="15">
        <f>'MeOH FU 0.71'!$D11</f>
        <v>25.946542130000001</v>
      </c>
      <c r="D11" s="15">
        <f>'MeOH FU 0.72'!$D11</f>
        <v>24.958039360000001</v>
      </c>
      <c r="E11" s="15">
        <f>'MeOH FU 0.73'!$D11</f>
        <v>23.969592710000001</v>
      </c>
      <c r="F11" s="15">
        <f>'MeOH FU 0.74'!$D11</f>
        <v>22.981203399999998</v>
      </c>
      <c r="G11" s="15">
        <f>'MeOH FU 0.75'!$D11</f>
        <v>21.99287236</v>
      </c>
      <c r="H11" s="15">
        <f>'MeOH FU 0.76'!$D11</f>
        <v>21.004600320000002</v>
      </c>
      <c r="I11" s="15">
        <f>'MeOH FU 0.77'!$D11</f>
        <v>20.016387730000002</v>
      </c>
      <c r="J11" s="15">
        <f>'MeOH FU 0.78'!$D11</f>
        <v>19.028234779999998</v>
      </c>
      <c r="K11" s="15">
        <f>'MeOH FU 0.79'!$D11</f>
        <v>18.040141380000001</v>
      </c>
      <c r="L11" s="15">
        <f>'MeOH FU 0.8'!$D11</f>
        <v>17.05210718</v>
      </c>
      <c r="M11" s="15">
        <f>'MeOH FU 0.81'!$D11</f>
        <v>16.064131459999999</v>
      </c>
      <c r="N11" s="15">
        <f>'MeOH FU 0.82'!$D11</f>
        <v>15.076213190000001</v>
      </c>
      <c r="O11" s="15">
        <f>'MeOH FU 0.83'!$D11</f>
        <v>14.08835273</v>
      </c>
      <c r="P11" s="15">
        <f>'MeOH FU 0.84'!$D11</f>
        <v>13.100544960000001</v>
      </c>
      <c r="Q11" s="15">
        <f>'MeOH FU 0.85'!$D11</f>
        <v>12.112789019999999</v>
      </c>
    </row>
    <row r="12" spans="1:17" x14ac:dyDescent="0.25">
      <c r="A12">
        <f>'MeOH FU 0.7'!A12</f>
        <v>0.7</v>
      </c>
      <c r="B12" s="15">
        <f>'MeOH FU 0.7'!$D12</f>
        <v>26.769465029999999</v>
      </c>
      <c r="C12" s="15">
        <f>'MeOH FU 0.71'!$D12</f>
        <v>25.778508540000001</v>
      </c>
      <c r="D12" s="15">
        <f>'MeOH FU 0.72'!$D12</f>
        <v>24.787605110000001</v>
      </c>
      <c r="E12" s="15">
        <f>'MeOH FU 0.73'!$D12</f>
        <v>23.796756080000002</v>
      </c>
      <c r="F12" s="15">
        <f>'MeOH FU 0.74'!$D12</f>
        <v>22.80596255</v>
      </c>
      <c r="G12" s="15">
        <f>'MeOH FU 0.75'!$D12</f>
        <v>21.815225359999999</v>
      </c>
      <c r="H12" s="15">
        <f>'MeOH FU 0.76'!$D12</f>
        <v>20.824545090000001</v>
      </c>
      <c r="I12" s="15">
        <f>'MeOH FU 0.77'!$D12</f>
        <v>19.83392207</v>
      </c>
      <c r="J12" s="15">
        <f>'MeOH FU 0.78'!$D12</f>
        <v>18.84335634</v>
      </c>
      <c r="K12" s="15">
        <f>'MeOH FU 0.79'!$D12</f>
        <v>17.852847650000001</v>
      </c>
      <c r="L12" s="15">
        <f>'MeOH FU 0.8'!$D12</f>
        <v>16.862395419999999</v>
      </c>
      <c r="M12" s="15">
        <f>'MeOH FU 0.81'!$D12</f>
        <v>15.87199874</v>
      </c>
      <c r="N12" s="15">
        <f>'MeOH FU 0.82'!$D12</f>
        <v>14.88165802</v>
      </c>
      <c r="O12" s="15">
        <f>'MeOH FU 0.83'!$D12</f>
        <v>13.89136843</v>
      </c>
      <c r="P12" s="15">
        <f>'MeOH FU 0.84'!$D12</f>
        <v>12.901129239999999</v>
      </c>
      <c r="Q12" s="15">
        <f>'MeOH FU 0.85'!$D12</f>
        <v>11.91093766</v>
      </c>
    </row>
    <row r="13" spans="1:17" x14ac:dyDescent="0.25">
      <c r="A13">
        <f>'MeOH FU 0.7'!A13</f>
        <v>0.71</v>
      </c>
      <c r="B13" s="15">
        <f>'MeOH FU 0.7'!$D13</f>
        <v>26.603463829999999</v>
      </c>
      <c r="C13" s="15">
        <f>'MeOH FU 0.71'!$D13</f>
        <v>25.610098919999999</v>
      </c>
      <c r="D13" s="15">
        <f>'MeOH FU 0.72'!$D13</f>
        <v>24.61678517</v>
      </c>
      <c r="E13" s="15">
        <f>'MeOH FU 0.73'!$D13</f>
        <v>23.62352383</v>
      </c>
      <c r="F13" s="15">
        <f>'MeOH FU 0.74'!$D13</f>
        <v>22.63031586</v>
      </c>
      <c r="G13" s="15">
        <f>'MeOH FU 0.75'!$D13</f>
        <v>21.637161989999999</v>
      </c>
      <c r="H13" s="15">
        <f>'MeOH FU 0.76'!$D13</f>
        <v>20.644062649999999</v>
      </c>
      <c r="I13" s="15">
        <f>'MeOH FU 0.77'!$D13</f>
        <v>19.651018010000001</v>
      </c>
      <c r="J13" s="15">
        <f>'MeOH FU 0.78'!$D13</f>
        <v>18.658027919999999</v>
      </c>
      <c r="K13" s="15">
        <f>'MeOH FU 0.79'!$D13</f>
        <v>17.665091929999999</v>
      </c>
      <c r="L13" s="15">
        <f>'MeOH FU 0.8'!$D13</f>
        <v>16.672209240000001</v>
      </c>
      <c r="M13" s="15">
        <f>'MeOH FU 0.81'!$D13</f>
        <v>15.67937867</v>
      </c>
      <c r="N13" s="15">
        <f>'MeOH FU 0.82'!$D13</f>
        <v>14.686600520000001</v>
      </c>
      <c r="O13" s="15">
        <f>'MeOH FU 0.83'!$D13</f>
        <v>13.69386926</v>
      </c>
      <c r="P13" s="15">
        <f>'MeOH FU 0.84'!$D13</f>
        <v>12.7011839</v>
      </c>
      <c r="Q13" s="15">
        <f>'MeOH FU 0.85'!$D13</f>
        <v>11.708541179999999</v>
      </c>
    </row>
    <row r="14" spans="1:17" x14ac:dyDescent="0.25">
      <c r="A14">
        <f>'MeOH FU 0.7'!A14</f>
        <v>0.72</v>
      </c>
      <c r="B14" s="15">
        <f>'MeOH FU 0.7'!$D14</f>
        <v>26.437049099999999</v>
      </c>
      <c r="C14" s="15">
        <f>'MeOH FU 0.71'!$D14</f>
        <v>25.4412649</v>
      </c>
      <c r="D14" s="15">
        <f>'MeOH FU 0.72'!$D14</f>
        <v>24.445529669999999</v>
      </c>
      <c r="E14" s="15">
        <f>'MeOH FU 0.73'!$D14</f>
        <v>23.449844519999999</v>
      </c>
      <c r="F14" s="15">
        <f>'MeOH FU 0.74'!$D14</f>
        <v>22.454210289999999</v>
      </c>
      <c r="G14" s="15">
        <f>'MeOH FU 0.75'!$D14</f>
        <v>21.458627539999998</v>
      </c>
      <c r="H14" s="15">
        <f>'MeOH FU 0.76'!$D14</f>
        <v>20.463096530000001</v>
      </c>
      <c r="I14" s="15">
        <f>'MeOH FU 0.77'!$D14</f>
        <v>19.467617239999999</v>
      </c>
      <c r="J14" s="15">
        <f>'MeOH FU 0.78'!$D14</f>
        <v>18.4721893</v>
      </c>
      <c r="K14" s="15">
        <f>'MeOH FU 0.79'!$D14</f>
        <v>17.47681201</v>
      </c>
      <c r="L14" s="15">
        <f>'MeOH FU 0.8'!$D14</f>
        <v>16.481484300000002</v>
      </c>
      <c r="M14" s="15">
        <f>'MeOH FU 0.81'!$D14</f>
        <v>15.4862065</v>
      </c>
      <c r="N14" s="15">
        <f>'MeOH FU 0.82'!$D14</f>
        <v>14.490973289999999</v>
      </c>
      <c r="O14" s="15">
        <f>'MeOH FU 0.83'!$D14</f>
        <v>13.49578378</v>
      </c>
      <c r="P14" s="15">
        <f>'MeOH FU 0.84'!$D14</f>
        <v>12.50063484</v>
      </c>
      <c r="Q14" s="15">
        <f>'MeOH FU 0.85'!$D14</f>
        <v>11.50552263</v>
      </c>
    </row>
    <row r="15" spans="1:17" x14ac:dyDescent="0.25">
      <c r="A15">
        <f>'MeOH FU 0.7'!A15</f>
        <v>0.73</v>
      </c>
      <c r="B15" s="15">
        <f>'MeOH FU 0.7'!$D15</f>
        <v>26.270165420000001</v>
      </c>
      <c r="C15" s="15">
        <f>'MeOH FU 0.71'!$D15</f>
        <v>25.271949330000002</v>
      </c>
      <c r="D15" s="15">
        <f>'MeOH FU 0.72'!$D15</f>
        <v>24.273779640000001</v>
      </c>
      <c r="E15" s="15">
        <f>'MeOH FU 0.73'!$D15</f>
        <v>23.27565731</v>
      </c>
      <c r="F15" s="15">
        <f>'MeOH FU 0.74'!$D15</f>
        <v>22.277583020000002</v>
      </c>
      <c r="G15" s="15">
        <f>'MeOH FU 0.75'!$D15</f>
        <v>21.27955712</v>
      </c>
      <c r="H15" s="15">
        <f>'MeOH FU 0.76'!$D15</f>
        <v>20.281579700000002</v>
      </c>
      <c r="I15" s="15">
        <f>'MeOH FU 0.77'!$D15</f>
        <v>19.28365046</v>
      </c>
      <c r="J15" s="15">
        <f>'MeOH FU 0.78'!$D15</f>
        <v>18.28576881</v>
      </c>
      <c r="K15" s="15">
        <f>'MeOH FU 0.79'!$D15</f>
        <v>17.287933729999999</v>
      </c>
      <c r="L15" s="15">
        <f>'MeOH FU 0.8'!$D15</f>
        <v>16.290143799999999</v>
      </c>
      <c r="M15" s="15">
        <f>'MeOH FU 0.81'!$D15</f>
        <v>15.292399250000001</v>
      </c>
      <c r="N15" s="15">
        <f>'MeOH FU 0.82'!$D15</f>
        <v>14.294693840000001</v>
      </c>
      <c r="O15" s="15">
        <f>'MeOH FU 0.83'!$D15</f>
        <v>13.297026349999999</v>
      </c>
      <c r="P15" s="15">
        <f>'MeOH FU 0.84'!$D15</f>
        <v>12.29939306</v>
      </c>
      <c r="Q15" s="15">
        <f>'MeOH FU 0.85'!$D15</f>
        <v>11.301789400000001</v>
      </c>
    </row>
    <row r="16" spans="1:17" x14ac:dyDescent="0.25">
      <c r="A16">
        <f>'MeOH FU 0.7'!A16</f>
        <v>0.74</v>
      </c>
      <c r="B16" s="15">
        <f>'MeOH FU 0.7'!$D16</f>
        <v>26.10274691</v>
      </c>
      <c r="C16" s="15">
        <f>'MeOH FU 0.71'!$D16</f>
        <v>25.10208416</v>
      </c>
      <c r="D16" s="15">
        <f>'MeOH FU 0.72'!$D16</f>
        <v>24.101464790000001</v>
      </c>
      <c r="E16" s="15">
        <f>'MeOH FU 0.73'!$D16</f>
        <v>23.10088957</v>
      </c>
      <c r="F16" s="15">
        <f>'MeOH FU 0.74'!$D16</f>
        <v>22.100358969999998</v>
      </c>
      <c r="G16" s="15">
        <f>'MeOH FU 0.75'!$D16</f>
        <v>21.099873129999999</v>
      </c>
      <c r="H16" s="15">
        <f>'MeOH FU 0.76'!$D16</f>
        <v>20.099431849999998</v>
      </c>
      <c r="I16" s="15">
        <f>'MeOH FU 0.77'!$D16</f>
        <v>19.099034589999999</v>
      </c>
      <c r="J16" s="15">
        <f>'MeOH FU 0.78'!$D16</f>
        <v>18.098680399999999</v>
      </c>
      <c r="K16" s="15">
        <f>'MeOH FU 0.79'!$D16</f>
        <v>17.098367920000001</v>
      </c>
      <c r="L16" s="15">
        <f>'MeOH FU 0.8'!$D16</f>
        <v>16.098097360000001</v>
      </c>
      <c r="M16" s="15">
        <f>'MeOH FU 0.81'!$D16</f>
        <v>15.09786261</v>
      </c>
      <c r="N16" s="15">
        <f>'MeOH FU 0.82'!$D16</f>
        <v>14.09766247</v>
      </c>
      <c r="O16" s="15">
        <f>'MeOH FU 0.83'!$D16</f>
        <v>13.0974933</v>
      </c>
      <c r="P16" s="15">
        <f>'MeOH FU 0.84'!$D16</f>
        <v>12.097350609999999</v>
      </c>
      <c r="Q16" s="15">
        <f>'MeOH FU 0.85'!$D16</f>
        <v>11.097228879999999</v>
      </c>
    </row>
    <row r="17" spans="1:17" x14ac:dyDescent="0.25">
      <c r="A17">
        <f>'MeOH FU 0.7'!A17</f>
        <v>0.75</v>
      </c>
      <c r="B17" s="15">
        <f>'MeOH FU 0.7'!$D17</f>
        <v>25.93471452</v>
      </c>
      <c r="C17" s="15">
        <f>'MeOH FU 0.71'!$D17</f>
        <v>24.93158768</v>
      </c>
      <c r="D17" s="15">
        <f>'MeOH FU 0.72'!$D17</f>
        <v>23.928500620000001</v>
      </c>
      <c r="E17" s="15">
        <f>'MeOH FU 0.73'!$D17</f>
        <v>22.925453879999999</v>
      </c>
      <c r="F17" s="15">
        <f>'MeOH FU 0.74'!$D17</f>
        <v>21.922447680000001</v>
      </c>
      <c r="G17" s="15">
        <f>'MeOH FU 0.75'!$D17</f>
        <v>20.919481879999999</v>
      </c>
      <c r="H17" s="15">
        <f>'MeOH FU 0.76'!$D17</f>
        <v>19.916555970000001</v>
      </c>
      <c r="I17" s="15">
        <f>'MeOH FU 0.77'!$D17</f>
        <v>18.913669049999999</v>
      </c>
      <c r="J17" s="15">
        <f>'MeOH FU 0.78'!$D17</f>
        <v>17.91081977</v>
      </c>
      <c r="K17" s="15">
        <f>'MeOH FU 0.79'!$D17</f>
        <v>16.90800836</v>
      </c>
      <c r="L17" s="15">
        <f>'MeOH FU 0.8'!$D17</f>
        <v>15.9052287</v>
      </c>
      <c r="M17" s="15">
        <f>'MeOH FU 0.81'!$D17</f>
        <v>14.90247963</v>
      </c>
      <c r="N17" s="15">
        <f>'MeOH FU 0.82'!$D17</f>
        <v>13.89975748</v>
      </c>
      <c r="O17" s="15">
        <f>'MeOH FU 0.83'!$D17</f>
        <v>12.89705777</v>
      </c>
      <c r="P17" s="15">
        <f>'MeOH FU 0.84'!$D17</f>
        <v>11.894375050000001</v>
      </c>
      <c r="Q17" s="15">
        <f>'MeOH FU 0.85'!$D17</f>
        <v>10.891702629999999</v>
      </c>
    </row>
    <row r="18" spans="1:17" x14ac:dyDescent="0.25">
      <c r="A18">
        <f>'MeOH FU 0.7'!A18</f>
        <v>0.76</v>
      </c>
      <c r="B18" s="15">
        <f>'MeOH FU 0.7'!$D18</f>
        <v>25.76597258</v>
      </c>
      <c r="C18" s="15">
        <f>'MeOH FU 0.71'!$D18</f>
        <v>24.760360840000001</v>
      </c>
      <c r="D18" s="15">
        <f>'MeOH FU 0.72'!$D18</f>
        <v>23.75478455</v>
      </c>
      <c r="E18" s="15">
        <f>'MeOH FU 0.73'!$D18</f>
        <v>22.749243979999999</v>
      </c>
      <c r="F18" s="15">
        <f>'MeOH FU 0.74'!$D18</f>
        <v>21.74373902</v>
      </c>
      <c r="G18" s="15">
        <f>'MeOH FU 0.75'!$D18</f>
        <v>20.73826918</v>
      </c>
      <c r="H18" s="15">
        <f>'MeOH FU 0.76'!$D18</f>
        <v>19.73283356</v>
      </c>
      <c r="I18" s="15">
        <f>'MeOH FU 0.77'!$D18</f>
        <v>18.727430819999999</v>
      </c>
      <c r="J18" s="15">
        <f>'MeOH FU 0.78'!$D18</f>
        <v>17.722059089999998</v>
      </c>
      <c r="K18" s="15">
        <f>'MeOH FU 0.79'!$D18</f>
        <v>16.71671838</v>
      </c>
      <c r="L18" s="15">
        <f>'MeOH FU 0.8'!$D18</f>
        <v>15.71140129</v>
      </c>
      <c r="M18" s="15">
        <f>'MeOH FU 0.81'!$D18</f>
        <v>14.706106159999999</v>
      </c>
      <c r="N18" s="15">
        <f>'MeOH FU 0.82'!$D18</f>
        <v>13.70082844</v>
      </c>
      <c r="O18" s="15">
        <f>'MeOH FU 0.83'!$D18</f>
        <v>12.695562600000001</v>
      </c>
      <c r="P18" s="15">
        <f>'MeOH FU 0.84'!$D18</f>
        <v>11.6903019</v>
      </c>
      <c r="Q18" s="15">
        <f>'MeOH FU 0.85'!$D18</f>
        <v>10.68503815</v>
      </c>
    </row>
    <row r="19" spans="1:17" x14ac:dyDescent="0.25">
      <c r="A19">
        <f>'MeOH FU 0.7'!A19</f>
        <v>0.77</v>
      </c>
      <c r="B19" s="15">
        <f>'MeOH FU 0.7'!$D19</f>
        <v>25.596403989999999</v>
      </c>
      <c r="C19" s="15">
        <f>'MeOH FU 0.71'!$D19</f>
        <v>24.588282270000001</v>
      </c>
      <c r="D19" s="15">
        <f>'MeOH FU 0.72'!$D19</f>
        <v>23.580190730000002</v>
      </c>
      <c r="E19" s="15">
        <f>'MeOH FU 0.73'!$D19</f>
        <v>22.572129279999999</v>
      </c>
      <c r="F19" s="15">
        <f>'MeOH FU 0.74'!$D19</f>
        <v>21.56409742</v>
      </c>
      <c r="G19" s="15">
        <f>'MeOH FU 0.75'!$D19</f>
        <v>20.556094219999999</v>
      </c>
      <c r="H19" s="15">
        <f>'MeOH FU 0.76'!$D19</f>
        <v>19.548118259999999</v>
      </c>
      <c r="I19" s="15">
        <f>'MeOH FU 0.77'!$D19</f>
        <v>18.540167629999999</v>
      </c>
      <c r="J19" s="15">
        <f>'MeOH FU 0.78'!$D19</f>
        <v>17.53224226</v>
      </c>
      <c r="K19" s="15">
        <f>'MeOH FU 0.79'!$D19</f>
        <v>16.524334549999999</v>
      </c>
      <c r="L19" s="15">
        <f>'MeOH FU 0.8'!$D19</f>
        <v>15.51644275</v>
      </c>
      <c r="M19" s="15">
        <f>'MeOH FU 0.81'!$D19</f>
        <v>14.508562120000001</v>
      </c>
      <c r="N19" s="15">
        <f>'MeOH FU 0.82'!$D19</f>
        <v>13.50068697</v>
      </c>
      <c r="O19" s="15">
        <f>'MeOH FU 0.83'!$D19</f>
        <v>12.49281034</v>
      </c>
      <c r="P19" s="15">
        <f>'MeOH FU 0.84'!$D19</f>
        <v>11.48492384</v>
      </c>
      <c r="Q19" s="15">
        <f>'MeOH FU 0.85'!$D19</f>
        <v>10.47701724</v>
      </c>
    </row>
    <row r="20" spans="1:17" x14ac:dyDescent="0.25">
      <c r="A20">
        <f>'MeOH FU 0.7'!A20</f>
        <v>0.78</v>
      </c>
      <c r="B20" s="15">
        <f>'MeOH FU 0.7'!$D20</f>
        <v>25.42586386</v>
      </c>
      <c r="C20" s="15">
        <f>'MeOH FU 0.71'!$D20</f>
        <v>24.415201509999999</v>
      </c>
      <c r="D20" s="15">
        <f>'MeOH FU 0.72'!$D20</f>
        <v>23.404562840000001</v>
      </c>
      <c r="E20" s="15">
        <f>'MeOH FU 0.73'!$D20</f>
        <v>22.393947310000001</v>
      </c>
      <c r="F20" s="15">
        <f>'MeOH FU 0.74'!$D20</f>
        <v>21.383353889999999</v>
      </c>
      <c r="G20" s="15">
        <f>'MeOH FU 0.75'!$D20</f>
        <v>20.372781079999999</v>
      </c>
      <c r="H20" s="15">
        <f>'MeOH FU 0.76'!$D20</f>
        <v>19.36222682</v>
      </c>
      <c r="I20" s="15">
        <f>'MeOH FU 0.77'!$D20</f>
        <v>18.351690940000001</v>
      </c>
      <c r="J20" s="15">
        <f>'MeOH FU 0.78'!$D20</f>
        <v>17.341165490000002</v>
      </c>
      <c r="K20" s="15">
        <f>'MeOH FU 0.79'!$D20</f>
        <v>16.330648549999999</v>
      </c>
      <c r="L20" s="15">
        <f>'MeOH FU 0.8'!$D20</f>
        <v>15.32013512</v>
      </c>
      <c r="M20" s="15">
        <f>'MeOH FU 0.81'!$D20</f>
        <v>14.309619140000001</v>
      </c>
      <c r="N20" s="15">
        <f>'MeOH FU 0.82'!$D20</f>
        <v>13.299093340000001</v>
      </c>
      <c r="O20" s="15">
        <f>'MeOH FU 0.83'!$D20</f>
        <v>12.28854888</v>
      </c>
      <c r="P20" s="15">
        <f>'MeOH FU 0.84'!$D20</f>
        <v>11.277975120000001</v>
      </c>
      <c r="Q20" s="15">
        <f>'MeOH FU 0.85'!$D20</f>
        <v>10.267359020000001</v>
      </c>
    </row>
    <row r="21" spans="1:17" x14ac:dyDescent="0.25">
      <c r="A21">
        <f>'MeOH FU 0.7'!A21</f>
        <v>0.79</v>
      </c>
      <c r="B21" s="15">
        <f>'MeOH FU 0.7'!$D21</f>
        <v>25.254170460000001</v>
      </c>
      <c r="C21" s="15">
        <f>'MeOH FU 0.71'!$D21</f>
        <v>24.240929489999999</v>
      </c>
      <c r="D21" s="15">
        <f>'MeOH FU 0.72'!$D21</f>
        <v>23.227704070000001</v>
      </c>
      <c r="E21" s="15">
        <f>'MeOH FU 0.73'!$D21</f>
        <v>22.214493040000001</v>
      </c>
      <c r="F21" s="15">
        <f>'MeOH FU 0.74'!$D21</f>
        <v>21.201294699999998</v>
      </c>
      <c r="G21" s="15">
        <f>'MeOH FU 0.75'!$D21</f>
        <v>20.188106779999998</v>
      </c>
      <c r="H21" s="15">
        <f>'MeOH FU 0.76'!$D21</f>
        <v>19.174928990000002</v>
      </c>
      <c r="I21" s="15">
        <f>'MeOH FU 0.77'!$D21</f>
        <v>18.161752809999999</v>
      </c>
      <c r="J21" s="15">
        <f>'MeOH FU 0.78'!$D21</f>
        <v>17.14857606</v>
      </c>
      <c r="K21" s="15">
        <f>'MeOH FU 0.79'!$D21</f>
        <v>16.135393329999999</v>
      </c>
      <c r="L21" s="15">
        <f>'MeOH FU 0.8'!$D21</f>
        <v>15.12219808</v>
      </c>
      <c r="M21" s="15">
        <f>'MeOH FU 0.81'!$D21</f>
        <v>14.10898244</v>
      </c>
      <c r="N21" s="15">
        <f>'MeOH FU 0.82'!$D21</f>
        <v>13.09573694</v>
      </c>
      <c r="O21" s="15">
        <f>'MeOH FU 0.83'!$D21</f>
        <v>12.08245018</v>
      </c>
      <c r="P21" s="15">
        <f>'MeOH FU 0.84'!$D21</f>
        <v>11.069108290000001</v>
      </c>
      <c r="Q21" s="15">
        <f>'MeOH FU 0.85'!$D21</f>
        <v>10.05569433</v>
      </c>
    </row>
    <row r="22" spans="1:17" x14ac:dyDescent="0.25">
      <c r="A22">
        <f>'MeOH FU 0.7'!A22</f>
        <v>0.8</v>
      </c>
      <c r="B22" s="15">
        <f>'MeOH FU 0.7'!$D22</f>
        <v>25.08109241</v>
      </c>
      <c r="C22" s="15">
        <f>'MeOH FU 0.71'!$D22</f>
        <v>24.065224950000001</v>
      </c>
      <c r="D22" s="15">
        <f>'MeOH FU 0.72'!$D22</f>
        <v>23.049362649999999</v>
      </c>
      <c r="E22" s="15">
        <f>'MeOH FU 0.73'!$D22</f>
        <v>22.033503549999999</v>
      </c>
      <c r="F22" s="15">
        <f>'MeOH FU 0.74'!$D22</f>
        <v>21.017645030000001</v>
      </c>
      <c r="G22" s="15">
        <f>'MeOH FU 0.75'!$D22</f>
        <v>20.001786589999998</v>
      </c>
      <c r="H22" s="15">
        <f>'MeOH FU 0.76'!$D22</f>
        <v>18.98591893</v>
      </c>
      <c r="I22" s="15">
        <f>'MeOH FU 0.77'!$D22</f>
        <v>17.970039499999999</v>
      </c>
      <c r="J22" s="15">
        <f>'MeOH FU 0.78'!$D22</f>
        <v>16.954142260000001</v>
      </c>
      <c r="K22" s="15">
        <f>'MeOH FU 0.79'!$D22</f>
        <v>15.938219950000001</v>
      </c>
      <c r="L22" s="15">
        <f>'MeOH FU 0.8'!$D22</f>
        <v>14.92226387</v>
      </c>
      <c r="M22" s="15">
        <f>'MeOH FU 0.81'!$D22</f>
        <v>13.906263579999999</v>
      </c>
      <c r="N22" s="15">
        <f>'MeOH FU 0.82'!$D22</f>
        <v>12.89020653</v>
      </c>
      <c r="O22" s="15">
        <f>'MeOH FU 0.83'!$D22</f>
        <v>11.87407756</v>
      </c>
      <c r="P22" s="15">
        <f>'MeOH FU 0.84'!$D22</f>
        <v>10.85785819</v>
      </c>
      <c r="Q22" s="15">
        <f>'MeOH FU 0.85'!$D22</f>
        <v>9.8415256810000002</v>
      </c>
    </row>
    <row r="23" spans="1:17" x14ac:dyDescent="0.25">
      <c r="A23">
        <f>'MeOH FU 0.7'!A23</f>
        <v>0.81</v>
      </c>
      <c r="B23" s="15">
        <f>'MeOH FU 0.7'!$D23</f>
        <v>24.906329920000001</v>
      </c>
      <c r="C23" s="15">
        <f>'MeOH FU 0.71'!$D23</f>
        <v>23.887774440000001</v>
      </c>
      <c r="D23" s="15">
        <f>'MeOH FU 0.72'!$D23</f>
        <v>22.869210580000001</v>
      </c>
      <c r="E23" s="15">
        <f>'MeOH FU 0.73'!$D23</f>
        <v>21.850635270000001</v>
      </c>
      <c r="F23" s="15">
        <f>'MeOH FU 0.74'!$D23</f>
        <v>20.832047660000001</v>
      </c>
      <c r="G23" s="15">
        <f>'MeOH FU 0.75'!$D23</f>
        <v>19.813437350000001</v>
      </c>
      <c r="H23" s="15">
        <f>'MeOH FU 0.76'!$D23</f>
        <v>18.794801249999999</v>
      </c>
      <c r="I23" s="15">
        <f>'MeOH FU 0.77'!$D23</f>
        <v>17.776132440000001</v>
      </c>
      <c r="J23" s="15">
        <f>'MeOH FU 0.78'!$D23</f>
        <v>16.757422609999999</v>
      </c>
      <c r="K23" s="15">
        <f>'MeOH FU 0.79'!$D23</f>
        <v>15.73866185</v>
      </c>
      <c r="L23" s="15">
        <f>'MeOH FU 0.8'!$D23</f>
        <v>14.71983833</v>
      </c>
      <c r="M23" s="15">
        <f>'MeOH FU 0.81'!$D23</f>
        <v>13.700937830000001</v>
      </c>
      <c r="N23" s="15">
        <f>'MeOH FU 0.82'!$D23</f>
        <v>12.681943220000001</v>
      </c>
      <c r="O23" s="15">
        <f>'MeOH FU 0.83'!$D23</f>
        <v>11.6628337</v>
      </c>
      <c r="P23" s="15">
        <f>'MeOH FU 0.84'!$D23</f>
        <v>10.64358376</v>
      </c>
      <c r="Q23" s="15">
        <f>'MeOH FU 0.85'!$D23</f>
        <v>9.6241649589999998</v>
      </c>
    </row>
    <row r="24" spans="1:17" x14ac:dyDescent="0.25">
      <c r="A24">
        <f>'MeOH FU 0.7'!A24</f>
        <v>0.82</v>
      </c>
      <c r="B24" s="15">
        <f>'MeOH FU 0.7'!$D24</f>
        <v>24.72948658</v>
      </c>
      <c r="C24" s="15">
        <f>'MeOH FU 0.71'!$D24</f>
        <v>23.708162130000002</v>
      </c>
      <c r="D24" s="15">
        <f>'MeOH FU 0.72'!$D24</f>
        <v>22.686814179999999</v>
      </c>
      <c r="E24" s="15">
        <f>'MeOH FU 0.73'!$D24</f>
        <v>21.665432509999999</v>
      </c>
      <c r="F24" s="15">
        <f>'MeOH FU 0.74'!$D24</f>
        <v>20.644014070000001</v>
      </c>
      <c r="G24" s="15">
        <f>'MeOH FU 0.75'!$D24</f>
        <v>19.622551990000002</v>
      </c>
      <c r="H24" s="15">
        <f>'MeOH FU 0.76'!$D24</f>
        <v>18.601038079999999</v>
      </c>
      <c r="I24" s="15">
        <f>'MeOH FU 0.77'!$D24</f>
        <v>17.579462549999999</v>
      </c>
      <c r="J24" s="15">
        <f>'MeOH FU 0.78'!$D24</f>
        <v>16.557813750000001</v>
      </c>
      <c r="K24" s="15">
        <f>'MeOH FU 0.79'!$D24</f>
        <v>15.53607779</v>
      </c>
      <c r="L24" s="15">
        <f>'MeOH FU 0.8'!$D24</f>
        <v>14.51423803</v>
      </c>
      <c r="M24" s="15">
        <f>'MeOH FU 0.81'!$D24</f>
        <v>13.49227445</v>
      </c>
      <c r="N24" s="15">
        <f>'MeOH FU 0.82'!$D24</f>
        <v>12.470162759999999</v>
      </c>
      <c r="O24" s="15">
        <f>'MeOH FU 0.83'!$D24</f>
        <v>11.447873230000001</v>
      </c>
      <c r="P24" s="15">
        <f>'MeOH FU 0.84'!$D24</f>
        <v>10.425372550000001</v>
      </c>
      <c r="Q24" s="15">
        <f>'MeOH FU 0.85'!$D24</f>
        <v>9.4026083630000006</v>
      </c>
    </row>
    <row r="25" spans="1:17" x14ac:dyDescent="0.25">
      <c r="A25">
        <f>'MeOH FU 0.7'!A25</f>
        <v>0.83</v>
      </c>
      <c r="B25" s="15">
        <f>'MeOH FU 0.7'!$D25</f>
        <v>24.550025349999999</v>
      </c>
      <c r="C25" s="15">
        <f>'MeOH FU 0.71'!$D25</f>
        <v>23.52582576</v>
      </c>
      <c r="D25" s="15">
        <f>'MeOH FU 0.72'!$D25</f>
        <v>22.50157188</v>
      </c>
      <c r="E25" s="15">
        <f>'MeOH FU 0.73'!$D25</f>
        <v>21.4772596</v>
      </c>
      <c r="F25" s="15">
        <f>'MeOH FU 0.74'!$D25</f>
        <v>20.452880480000001</v>
      </c>
      <c r="G25" s="15">
        <f>'MeOH FU 0.75'!$D25</f>
        <v>19.428424450000001</v>
      </c>
      <c r="H25" s="15">
        <f>'MeOH FU 0.76'!$D25</f>
        <v>18.403879589999999</v>
      </c>
      <c r="I25" s="15">
        <f>'MeOH FU 0.77'!$D25</f>
        <v>17.379231669999999</v>
      </c>
      <c r="J25" s="15">
        <f>'MeOH FU 0.78'!$D25</f>
        <v>16.35446378</v>
      </c>
      <c r="K25" s="15">
        <f>'MeOH FU 0.79'!$D25</f>
        <v>15.3295557</v>
      </c>
      <c r="L25" s="15">
        <f>'MeOH FU 0.8'!$D25</f>
        <v>14.30448305</v>
      </c>
      <c r="M25" s="15">
        <f>'MeOH FU 0.81'!$D25</f>
        <v>13.279216269999999</v>
      </c>
      <c r="N25" s="15">
        <f>'MeOH FU 0.82'!$D25</f>
        <v>12.253722310000001</v>
      </c>
      <c r="O25" s="15">
        <f>'MeOH FU 0.83'!$D25</f>
        <v>11.22795079</v>
      </c>
      <c r="P25" s="15">
        <f>'MeOH FU 0.84'!$D25</f>
        <v>10.2018477</v>
      </c>
      <c r="Q25" s="15">
        <f>'MeOH FU 0.85'!$D25</f>
        <v>9.1753404950000004</v>
      </c>
    </row>
    <row r="26" spans="1:17" x14ac:dyDescent="0.25">
      <c r="A26">
        <f>'MeOH FU 0.7'!A26</f>
        <v>0.84</v>
      </c>
      <c r="B26" s="15">
        <f>'MeOH FU 0.7'!$D26</f>
        <v>24.367200839999999</v>
      </c>
      <c r="C26" s="15">
        <f>'MeOH FU 0.71'!$D26</f>
        <v>23.339966619999998</v>
      </c>
      <c r="D26" s="15">
        <f>'MeOH FU 0.72'!$D26</f>
        <v>22.31264534</v>
      </c>
      <c r="E26" s="15">
        <f>'MeOH FU 0.73'!$D26</f>
        <v>21.285226189999999</v>
      </c>
      <c r="F26" s="15">
        <f>'MeOH FU 0.74'!$D26</f>
        <v>20.257696330000002</v>
      </c>
      <c r="G26" s="15">
        <f>'MeOH FU 0.75'!$D26</f>
        <v>19.23004057</v>
      </c>
      <c r="H26" s="15">
        <f>'MeOH FU 0.76'!$D26</f>
        <v>18.202240849999999</v>
      </c>
      <c r="I26" s="15">
        <f>'MeOH FU 0.77'!$D26</f>
        <v>17.17427567</v>
      </c>
      <c r="J26" s="15">
        <f>'MeOH FU 0.78'!$D26</f>
        <v>16.146119250000002</v>
      </c>
      <c r="K26" s="15">
        <f>'MeOH FU 0.79'!$D26</f>
        <v>15.11774052</v>
      </c>
      <c r="L26" s="15">
        <f>'MeOH FU 0.8'!$D26</f>
        <v>14.089101660000001</v>
      </c>
      <c r="M26" s="15">
        <f>'MeOH FU 0.81'!$D26</f>
        <v>13.06016003</v>
      </c>
      <c r="N26" s="15">
        <f>'MeOH FU 0.82'!$D26</f>
        <v>12.030851009999999</v>
      </c>
      <c r="O26" s="15">
        <f>'MeOH FU 0.83'!$D26</f>
        <v>11.001104290000001</v>
      </c>
      <c r="P26" s="15">
        <f>'MeOH FU 0.84'!$D26</f>
        <v>9.9708251170000004</v>
      </c>
      <c r="Q26" s="15">
        <f>'MeOH FU 0.85'!$D26</f>
        <v>8.9398881639999992</v>
      </c>
    </row>
    <row r="27" spans="1:17" x14ac:dyDescent="0.25">
      <c r="A27">
        <f>'MeOH FU 0.7'!A27</f>
        <v>0.85</v>
      </c>
      <c r="B27" s="15">
        <f>'MeOH FU 0.7'!$D27</f>
        <v>24.179922659999999</v>
      </c>
      <c r="C27" s="15">
        <f>'MeOH FU 0.71'!$D27</f>
        <v>23.149432600000001</v>
      </c>
      <c r="D27" s="15">
        <f>'MeOH FU 0.72'!$D27</f>
        <v>22.11880167</v>
      </c>
      <c r="E27" s="15">
        <f>'MeOH FU 0.73'!$D27</f>
        <v>21.088012750000001</v>
      </c>
      <c r="F27" s="15">
        <f>'MeOH FU 0.74'!$D27</f>
        <v>20.05704553</v>
      </c>
      <c r="G27" s="15">
        <f>'MeOH FU 0.75'!$D27</f>
        <v>19.025875889999998</v>
      </c>
      <c r="H27" s="15">
        <f>'MeOH FU 0.76'!$D27</f>
        <v>17.994475019999999</v>
      </c>
      <c r="I27" s="15">
        <f>'MeOH FU 0.77'!$D27</f>
        <v>16.962808240000001</v>
      </c>
      <c r="J27" s="15">
        <f>'MeOH FU 0.78'!$D27</f>
        <v>15.930833549999999</v>
      </c>
      <c r="K27" s="15">
        <f>'MeOH FU 0.79'!$D27</f>
        <v>14.89850339</v>
      </c>
      <c r="L27" s="15">
        <f>'MeOH FU 0.8'!$D27</f>
        <v>13.86574721</v>
      </c>
      <c r="M27" s="15">
        <f>'MeOH FU 0.81'!$D27</f>
        <v>12.832487909999999</v>
      </c>
      <c r="N27" s="15">
        <f>'MeOH FU 0.82'!$D27</f>
        <v>11.79862267</v>
      </c>
      <c r="O27" s="15">
        <f>'MeOH FU 0.83'!$D27</f>
        <v>10.76401688</v>
      </c>
      <c r="P27" s="15">
        <f>'MeOH FU 0.84'!$D27</f>
        <v>9.7284894919999996</v>
      </c>
      <c r="Q27" s="15">
        <f>'MeOH FU 0.85'!$D27</f>
        <v>8.6917888909999999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workbookViewId="0">
      <selection sqref="A1:Q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'MeOH FU 0.7'!A2</f>
        <v>0.6</v>
      </c>
      <c r="B2" s="15">
        <f>'MeOH FU 0.7'!$E2</f>
        <v>58.242931110000001</v>
      </c>
      <c r="C2" s="15">
        <f>'MeOH FU 0.71'!$E2</f>
        <v>57.694849249999997</v>
      </c>
      <c r="D2" s="15">
        <f>'MeOH FU 0.72'!$E2</f>
        <v>57.14684681</v>
      </c>
      <c r="E2" s="15">
        <f>'MeOH FU 0.73'!$E2</f>
        <v>56.598924850000003</v>
      </c>
      <c r="F2" s="15">
        <f>'MeOH FU 0.74'!$E2</f>
        <v>56.051086210000001</v>
      </c>
      <c r="G2" s="15">
        <f>'MeOH FU 0.75'!$E2</f>
        <v>55.50333285</v>
      </c>
      <c r="H2" s="15">
        <f>'MeOH FU 0.76'!$E2</f>
        <v>54.955666569999998</v>
      </c>
      <c r="I2" s="15">
        <f>'MeOH FU 0.77'!$E2</f>
        <v>54.408088929999998</v>
      </c>
      <c r="J2" s="15">
        <f>'MeOH FU 0.78'!$E2</f>
        <v>53.860601340000002</v>
      </c>
      <c r="K2" s="15">
        <f>'MeOH FU 0.79'!$E2</f>
        <v>53.313204990000003</v>
      </c>
      <c r="L2" s="15">
        <f>'MeOH FU 0.8'!$E2</f>
        <v>52.765900909999999</v>
      </c>
      <c r="M2" s="15">
        <f>'MeOH FU 0.81'!$E2</f>
        <v>52.218689920000003</v>
      </c>
      <c r="N2" s="15">
        <f>'MeOH FU 0.82'!$E2</f>
        <v>51.671572670000003</v>
      </c>
      <c r="O2" s="15">
        <f>'MeOH FU 0.83'!$E2</f>
        <v>51.124549620000003</v>
      </c>
      <c r="P2" s="15">
        <f>'MeOH FU 0.84'!$E2</f>
        <v>50.577621030000003</v>
      </c>
      <c r="Q2" s="15">
        <f>'MeOH FU 0.85'!$E2</f>
        <v>50.030786939999999</v>
      </c>
    </row>
    <row r="3" spans="1:17" x14ac:dyDescent="0.25">
      <c r="A3">
        <f>'MeOH FU 0.7'!A3</f>
        <v>0.61</v>
      </c>
      <c r="B3" s="15">
        <f>'MeOH FU 0.7'!E3</f>
        <v>58.72799028</v>
      </c>
      <c r="C3" s="15">
        <f>'MeOH FU 0.71'!$E3</f>
        <v>58.186830399999998</v>
      </c>
      <c r="D3" s="15">
        <f>'MeOH FU 0.72'!$E3</f>
        <v>57.645748330000004</v>
      </c>
      <c r="E3" s="15">
        <f>'MeOH FU 0.73'!$E3</f>
        <v>57.104747060000001</v>
      </c>
      <c r="F3" s="15">
        <f>'MeOH FU 0.74'!$E3</f>
        <v>56.56382876</v>
      </c>
      <c r="G3" s="15">
        <f>'MeOH FU 0.75'!$E3</f>
        <v>56.022995399999999</v>
      </c>
      <c r="H3" s="15">
        <f>'MeOH FU 0.76'!$E3</f>
        <v>55.482248720000001</v>
      </c>
      <c r="I3" s="15">
        <f>'MeOH FU 0.77'!$E3</f>
        <v>54.941590290000001</v>
      </c>
      <c r="J3" s="15">
        <f>'MeOH FU 0.78'!$E3</f>
        <v>54.401021489999998</v>
      </c>
      <c r="K3" s="15">
        <f>'MeOH FU 0.79'!$E3</f>
        <v>53.860543470000003</v>
      </c>
      <c r="L3" s="15">
        <f>'MeOH FU 0.8'!$E3</f>
        <v>53.32015724</v>
      </c>
      <c r="M3" s="15">
        <f>'MeOH FU 0.81'!$E3</f>
        <v>52.779863579999997</v>
      </c>
      <c r="N3" s="15">
        <f>'MeOH FU 0.82'!$E3</f>
        <v>52.239663110000002</v>
      </c>
      <c r="O3" s="15">
        <f>'MeOH FU 0.83'!$E3</f>
        <v>51.699556219999998</v>
      </c>
      <c r="P3" s="15">
        <f>'MeOH FU 0.84'!$E3</f>
        <v>51.159543139999997</v>
      </c>
      <c r="Q3" s="15">
        <f>'MeOH FU 0.85'!$E3</f>
        <v>50.619623859999997</v>
      </c>
    </row>
    <row r="4" spans="1:17" x14ac:dyDescent="0.25">
      <c r="A4">
        <f>'MeOH FU 0.7'!A4</f>
        <v>0.62</v>
      </c>
      <c r="B4" s="15">
        <f>'MeOH FU 0.7'!E4</f>
        <v>59.212968359999998</v>
      </c>
      <c r="C4" s="15">
        <f>'MeOH FU 0.71'!$E4</f>
        <v>58.67872801</v>
      </c>
      <c r="D4" s="15">
        <f>'MeOH FU 0.72'!$E4</f>
        <v>58.144565069999999</v>
      </c>
      <c r="E4" s="15">
        <f>'MeOH FU 0.73'!$E4</f>
        <v>57.610482570000002</v>
      </c>
      <c r="F4" s="15">
        <f>'MeOH FU 0.74'!$E4</f>
        <v>57.076482679999998</v>
      </c>
      <c r="G4" s="15">
        <f>'MeOH FU 0.75'!$E4</f>
        <v>56.542567320000003</v>
      </c>
      <c r="H4" s="15">
        <f>'MeOH FU 0.76'!$E4</f>
        <v>56.008738229999999</v>
      </c>
      <c r="I4" s="15">
        <f>'MeOH FU 0.77'!$E4</f>
        <v>55.474996939999997</v>
      </c>
      <c r="J4" s="15">
        <f>'MeOH FU 0.78'!$E4</f>
        <v>54.941344809999997</v>
      </c>
      <c r="K4" s="15">
        <f>'MeOH FU 0.79'!$E4</f>
        <v>54.407782959999999</v>
      </c>
      <c r="L4" s="15">
        <f>'MeOH FU 0.8'!$E4</f>
        <v>53.874312349999997</v>
      </c>
      <c r="M4" s="15">
        <f>'MeOH FU 0.81'!$E4</f>
        <v>53.340933739999997</v>
      </c>
      <c r="N4" s="15">
        <f>'MeOH FU 0.82'!$E4</f>
        <v>52.807647699999997</v>
      </c>
      <c r="O4" s="15">
        <f>'MeOH FU 0.83'!$E4</f>
        <v>52.274454570000003</v>
      </c>
      <c r="P4" s="15">
        <f>'MeOH FU 0.84'!$E4</f>
        <v>51.741354520000002</v>
      </c>
      <c r="Q4" s="15">
        <f>'MeOH FU 0.85'!$E4</f>
        <v>51.208347459999999</v>
      </c>
    </row>
    <row r="5" spans="1:17" x14ac:dyDescent="0.25">
      <c r="A5">
        <f>'MeOH FU 0.7'!A5</f>
        <v>0.63</v>
      </c>
      <c r="B5" s="15">
        <f>'MeOH FU 0.7'!E5</f>
        <v>59.697858600000004</v>
      </c>
      <c r="C5" s="15">
        <f>'MeOH FU 0.71'!$E5</f>
        <v>59.170535020000003</v>
      </c>
      <c r="D5" s="15">
        <f>'MeOH FU 0.72'!$E5</f>
        <v>58.643289150000001</v>
      </c>
      <c r="E5" s="15">
        <f>'MeOH FU 0.73'!$E5</f>
        <v>58.116123330000001</v>
      </c>
      <c r="F5" s="15">
        <f>'MeOH FU 0.74'!$E5</f>
        <v>57.589039679999999</v>
      </c>
      <c r="G5" s="15">
        <f>'MeOH FU 0.75'!$E5</f>
        <v>57.06204013</v>
      </c>
      <c r="H5" s="15">
        <f>'MeOH FU 0.76'!$E5</f>
        <v>56.535126390000002</v>
      </c>
      <c r="I5" s="15">
        <f>'MeOH FU 0.77'!$E5</f>
        <v>56.008299950000001</v>
      </c>
      <c r="J5" s="15">
        <f>'MeOH FU 0.78'!$E5</f>
        <v>55.481562140000001</v>
      </c>
      <c r="K5" s="15">
        <f>'MeOH FU 0.79'!$E5</f>
        <v>54.954914049999999</v>
      </c>
      <c r="L5" s="15">
        <f>'MeOH FU 0.8'!$E5</f>
        <v>54.428356600000001</v>
      </c>
      <c r="M5" s="15">
        <f>'MeOH FU 0.81'!$E5</f>
        <v>53.9018905</v>
      </c>
      <c r="N5" s="15">
        <f>'MeOH FU 0.82'!$E5</f>
        <v>53.375516269999999</v>
      </c>
      <c r="O5" s="15">
        <f>'MeOH FU 0.83'!$E5</f>
        <v>52.849234209999999</v>
      </c>
      <c r="P5" s="15">
        <f>'MeOH FU 0.84'!$E5</f>
        <v>52.323044400000001</v>
      </c>
      <c r="Q5" s="15">
        <f>'MeOH FU 0.85'!$E5</f>
        <v>51.796947490000001</v>
      </c>
    </row>
    <row r="6" spans="1:17" x14ac:dyDescent="0.25">
      <c r="A6">
        <f>'MeOH FU 0.7'!A6</f>
        <v>0.64</v>
      </c>
      <c r="B6" s="15">
        <f>'MeOH FU 0.7'!E6</f>
        <v>60.182651210000003</v>
      </c>
      <c r="C6" s="15">
        <f>'MeOH FU 0.71'!$E6</f>
        <v>59.662242820000003</v>
      </c>
      <c r="D6" s="15">
        <f>'MeOH FU 0.72'!$E6</f>
        <v>59.141911720000003</v>
      </c>
      <c r="E6" s="15">
        <f>'MeOH FU 0.73'!$E6</f>
        <v>58.621660230000003</v>
      </c>
      <c r="F6" s="15">
        <f>'MeOH FU 0.74'!$E6</f>
        <v>58.10149045</v>
      </c>
      <c r="G6" s="15">
        <f>'MeOH FU 0.75'!$E6</f>
        <v>57.58140427</v>
      </c>
      <c r="H6" s="15">
        <f>'MeOH FU 0.76'!$E6</f>
        <v>57.061403380000002</v>
      </c>
      <c r="I6" s="15">
        <f>'MeOH FU 0.77'!$E6</f>
        <v>56.541489239999997</v>
      </c>
      <c r="J6" s="15">
        <f>'MeOH FU 0.78'!$E6</f>
        <v>56.021663119999999</v>
      </c>
      <c r="K6" s="15">
        <f>'MeOH FU 0.79'!$E6</f>
        <v>55.501926109999999</v>
      </c>
      <c r="L6" s="15">
        <f>'MeOH FU 0.8'!$E6</f>
        <v>54.982279060000003</v>
      </c>
      <c r="M6" s="15">
        <f>'MeOH FU 0.81'!$E6</f>
        <v>54.462722640000003</v>
      </c>
      <c r="N6" s="15">
        <f>'MeOH FU 0.82'!$E6</f>
        <v>53.943257299999999</v>
      </c>
      <c r="O6" s="15">
        <f>'MeOH FU 0.83'!$E6</f>
        <v>53.423883289999999</v>
      </c>
      <c r="P6" s="15">
        <f>'MeOH FU 0.84'!$E6</f>
        <v>52.904600610000003</v>
      </c>
      <c r="Q6" s="15">
        <f>'MeOH FU 0.85'!$E6</f>
        <v>52.385409879999997</v>
      </c>
    </row>
    <row r="7" spans="1:17" x14ac:dyDescent="0.25">
      <c r="A7">
        <f>'MeOH FU 0.7'!A7</f>
        <v>0.65</v>
      </c>
      <c r="B7" s="15">
        <f>'MeOH FU 0.7'!E7</f>
        <v>60.667337320000001</v>
      </c>
      <c r="C7" s="15">
        <f>'MeOH FU 0.71'!$E7</f>
        <v>60.153841620000001</v>
      </c>
      <c r="D7" s="15">
        <f>'MeOH FU 0.72'!$E7</f>
        <v>59.640422739999998</v>
      </c>
      <c r="E7" s="15">
        <f>'MeOH FU 0.73'!$E7</f>
        <v>59.127082979999997</v>
      </c>
      <c r="F7" s="15">
        <f>'MeOH FU 0.74'!$E7</f>
        <v>58.613824399999999</v>
      </c>
      <c r="G7" s="15">
        <f>'MeOH FU 0.75'!$E7</f>
        <v>58.100648870000001</v>
      </c>
      <c r="H7" s="15">
        <f>'MeOH FU 0.76'!$E7</f>
        <v>57.587558039999998</v>
      </c>
      <c r="I7" s="15">
        <f>'MeOH FU 0.77'!$E7</f>
        <v>57.074553340000001</v>
      </c>
      <c r="J7" s="15">
        <f>'MeOH FU 0.78'!$E7</f>
        <v>56.561636</v>
      </c>
      <c r="K7" s="15">
        <f>'MeOH FU 0.79'!$E7</f>
        <v>56.048807050000001</v>
      </c>
      <c r="L7" s="15">
        <f>'MeOH FU 0.8'!$E7</f>
        <v>55.53606731</v>
      </c>
      <c r="M7" s="15">
        <f>'MeOH FU 0.81'!$E7</f>
        <v>55.023417379999998</v>
      </c>
      <c r="N7" s="15">
        <f>'MeOH FU 0.82'!$E7</f>
        <v>54.510857649999998</v>
      </c>
      <c r="O7" s="15">
        <f>'MeOH FU 0.83'!$E7</f>
        <v>53.998388290000001</v>
      </c>
      <c r="P7" s="15">
        <f>'MeOH FU 0.84'!$E7</f>
        <v>53.48600922</v>
      </c>
      <c r="Q7" s="15">
        <f>'MeOH FU 0.85'!$E7</f>
        <v>52.973721050000002</v>
      </c>
    </row>
    <row r="8" spans="1:17" x14ac:dyDescent="0.25">
      <c r="A8">
        <f>'MeOH FU 0.7'!A8</f>
        <v>0.66</v>
      </c>
      <c r="B8" s="15">
        <f>'MeOH FU 0.7'!E8</f>
        <v>61.151906109999999</v>
      </c>
      <c r="C8" s="15">
        <f>'MeOH FU 0.71'!$E8</f>
        <v>60.645320310000002</v>
      </c>
      <c r="D8" s="15">
        <f>'MeOH FU 0.72'!$E8</f>
        <v>60.138810800000002</v>
      </c>
      <c r="E8" s="15">
        <f>'MeOH FU 0.73'!$E8</f>
        <v>59.63237985</v>
      </c>
      <c r="F8" s="15">
        <f>'MeOH FU 0.74'!$E8</f>
        <v>59.126029490000001</v>
      </c>
      <c r="G8" s="15">
        <f>'MeOH FU 0.75'!$E8</f>
        <v>58.619761560000001</v>
      </c>
      <c r="H8" s="15">
        <f>'MeOH FU 0.76'!$E8</f>
        <v>58.113577659999997</v>
      </c>
      <c r="I8" s="15">
        <f>'MeOH FU 0.77'!$E8</f>
        <v>57.6074792</v>
      </c>
      <c r="J8" s="15">
        <f>'MeOH FU 0.78'!$E8</f>
        <v>57.101467339999999</v>
      </c>
      <c r="K8" s="15">
        <f>'MeOH FU 0.79'!$E8</f>
        <v>56.595543079999999</v>
      </c>
      <c r="L8" s="15">
        <f>'MeOH FU 0.8'!$E8</f>
        <v>56.089707160000003</v>
      </c>
      <c r="M8" s="15">
        <f>'MeOH FU 0.81'!$E8</f>
        <v>55.583960130000001</v>
      </c>
      <c r="N8" s="15">
        <f>'MeOH FU 0.82'!$E8</f>
        <v>55.078302299999997</v>
      </c>
      <c r="O8" s="15">
        <f>'MeOH FU 0.83'!$E8</f>
        <v>54.572733759999998</v>
      </c>
      <c r="P8" s="15">
        <f>'MeOH FU 0.84'!$E8</f>
        <v>54.067255179999997</v>
      </c>
      <c r="Q8" s="15">
        <f>'MeOH FU 0.85'!$E8</f>
        <v>53.561864569999997</v>
      </c>
    </row>
    <row r="9" spans="1:17" x14ac:dyDescent="0.25">
      <c r="A9">
        <f>'MeOH FU 0.7'!A9</f>
        <v>0.67</v>
      </c>
      <c r="B9" s="15">
        <f>'MeOH FU 0.7'!E9</f>
        <v>61.636345230000003</v>
      </c>
      <c r="C9" s="15">
        <f>'MeOH FU 0.71'!$E9</f>
        <v>61.136666200000001</v>
      </c>
      <c r="D9" s="15">
        <f>'MeOH FU 0.72'!$E9</f>
        <v>60.63706286</v>
      </c>
      <c r="E9" s="15">
        <f>'MeOH FU 0.73'!$E9</f>
        <v>60.137537440000003</v>
      </c>
      <c r="F9" s="15">
        <f>'MeOH FU 0.74'!$E9</f>
        <v>59.638091950000003</v>
      </c>
      <c r="G9" s="15">
        <f>'MeOH FU 0.75'!$E9</f>
        <v>59.138728190000002</v>
      </c>
      <c r="H9" s="15">
        <f>'MeOH FU 0.76'!$E9</f>
        <v>58.639447709999999</v>
      </c>
      <c r="I9" s="15">
        <f>'MeOH FU 0.77'!$E9</f>
        <v>58.140251859999999</v>
      </c>
      <c r="J9" s="15">
        <f>'MeOH FU 0.78'!$E9</f>
        <v>57.641141779999998</v>
      </c>
      <c r="K9" s="15">
        <f>'MeOH FU 0.79'!$E9</f>
        <v>57.142118369999999</v>
      </c>
      <c r="L9" s="15">
        <f>'MeOH FU 0.8'!$E9</f>
        <v>56.643182330000002</v>
      </c>
      <c r="M9" s="15">
        <f>'MeOH FU 0.81'!$E9</f>
        <v>56.144334129999997</v>
      </c>
      <c r="N9" s="15">
        <f>'MeOH FU 0.82'!$E9</f>
        <v>55.645573990000003</v>
      </c>
      <c r="O9" s="15">
        <f>'MeOH FU 0.83'!$E9</f>
        <v>55.146901890000002</v>
      </c>
      <c r="P9" s="15">
        <f>'MeOH FU 0.84'!$E9</f>
        <v>54.648318500000002</v>
      </c>
      <c r="Q9" s="15">
        <f>'MeOH FU 0.85'!$E9</f>
        <v>54.149821520000003</v>
      </c>
    </row>
    <row r="10" spans="1:17" x14ac:dyDescent="0.25">
      <c r="A10">
        <f>'MeOH FU 0.7'!A10</f>
        <v>0.68</v>
      </c>
      <c r="B10" s="15">
        <f>'MeOH FU 0.7'!E10</f>
        <v>62.120640539999997</v>
      </c>
      <c r="C10" s="15">
        <f>'MeOH FU 0.71'!$E10</f>
        <v>61.62786474</v>
      </c>
      <c r="D10" s="15">
        <f>'MeOH FU 0.72'!$E10</f>
        <v>61.13516396</v>
      </c>
      <c r="E10" s="15">
        <f>'MeOH FU 0.73'!$E10</f>
        <v>60.64254038</v>
      </c>
      <c r="F10" s="15">
        <f>'MeOH FU 0.74'!$E10</f>
        <v>60.14999598</v>
      </c>
      <c r="G10" s="15">
        <f>'MeOH FU 0.75'!$E10</f>
        <v>59.657532490000001</v>
      </c>
      <c r="H10" s="15">
        <f>'MeOH FU 0.76'!$E10</f>
        <v>59.165151440000002</v>
      </c>
      <c r="I10" s="15">
        <f>'MeOH FU 0.77'!$E10</f>
        <v>58.672854110000003</v>
      </c>
      <c r="J10" s="15">
        <f>'MeOH FU 0.78'!$E10</f>
        <v>58.180641569999999</v>
      </c>
      <c r="K10" s="15">
        <f>'MeOH FU 0.79'!$E10</f>
        <v>57.688514679999997</v>
      </c>
      <c r="L10" s="15">
        <f>'MeOH FU 0.8'!$E10</f>
        <v>57.196474029999997</v>
      </c>
      <c r="M10" s="15">
        <f>'MeOH FU 0.81'!$E10</f>
        <v>56.704520010000003</v>
      </c>
      <c r="N10" s="15">
        <f>'MeOH FU 0.82'!$E10</f>
        <v>56.212652759999997</v>
      </c>
      <c r="O10" s="15">
        <f>'MeOH FU 0.83'!$E10</f>
        <v>55.720873009999998</v>
      </c>
      <c r="P10" s="15">
        <f>'MeOH FU 0.84'!$E10</f>
        <v>55.229178730000001</v>
      </c>
      <c r="Q10" s="15">
        <f>'MeOH FU 0.85'!$E10</f>
        <v>54.737569960000002</v>
      </c>
    </row>
    <row r="11" spans="1:17" x14ac:dyDescent="0.25">
      <c r="A11">
        <f>'MeOH FU 0.7'!A11</f>
        <v>0.69</v>
      </c>
      <c r="B11" s="15">
        <f>'MeOH FU 0.7'!E11</f>
        <v>62.604775719999999</v>
      </c>
      <c r="C11" s="15">
        <f>'MeOH FU 0.71'!$E11</f>
        <v>62.118899169999999</v>
      </c>
      <c r="D11" s="15">
        <f>'MeOH FU 0.72'!$E11</f>
        <v>61.633096850000001</v>
      </c>
      <c r="E11" s="15">
        <f>'MeOH FU 0.73'!$E11</f>
        <v>61.147370909999999</v>
      </c>
      <c r="F11" s="15">
        <f>'MeOH FU 0.74'!$E11</f>
        <v>60.661723289999998</v>
      </c>
      <c r="G11" s="15">
        <f>'MeOH FU 0.75'!$E11</f>
        <v>60.17615567</v>
      </c>
      <c r="H11" s="15">
        <f>'MeOH FU 0.76'!$E11</f>
        <v>59.690669499999998</v>
      </c>
      <c r="I11" s="15">
        <f>'MeOH FU 0.77'!$E11</f>
        <v>59.205266020000003</v>
      </c>
      <c r="J11" s="15">
        <f>'MeOH FU 0.78'!$E11</f>
        <v>58.719946210000003</v>
      </c>
      <c r="K11" s="15">
        <f>'MeOH FU 0.79'!$E11</f>
        <v>58.234710849999999</v>
      </c>
      <c r="L11" s="15">
        <f>'MeOH FU 0.8'!$E11</f>
        <v>57.749560459999998</v>
      </c>
      <c r="M11" s="15">
        <f>'MeOH FU 0.81'!$E11</f>
        <v>57.264495310000001</v>
      </c>
      <c r="N11" s="15">
        <f>'MeOH FU 0.82'!$E11</f>
        <v>56.779515410000002</v>
      </c>
      <c r="O11" s="15">
        <f>'MeOH FU 0.83'!$E11</f>
        <v>56.294621470000003</v>
      </c>
      <c r="P11" s="15">
        <f>'MeOH FU 0.84'!$E11</f>
        <v>55.80981113</v>
      </c>
      <c r="Q11" s="15">
        <f>'MeOH FU 0.85'!$E11</f>
        <v>55.325084310000001</v>
      </c>
    </row>
    <row r="12" spans="1:17" x14ac:dyDescent="0.25">
      <c r="A12">
        <f>'MeOH FU 0.7'!A12</f>
        <v>0.7</v>
      </c>
      <c r="B12" s="15">
        <f>'MeOH FU 0.7'!E12</f>
        <v>63.088731899999999</v>
      </c>
      <c r="C12" s="15">
        <f>'MeOH FU 0.71'!$E12</f>
        <v>62.609750030000001</v>
      </c>
      <c r="D12" s="15">
        <f>'MeOH FU 0.72'!$E12</f>
        <v>62.130841510000003</v>
      </c>
      <c r="E12" s="15">
        <f>'MeOH FU 0.73'!$E12</f>
        <v>61.652008440000003</v>
      </c>
      <c r="F12" s="15">
        <f>'MeOH FU 0.74'!$E12</f>
        <v>61.173252689999998</v>
      </c>
      <c r="G12" s="15">
        <f>'MeOH FU 0.75'!$E12</f>
        <v>60.694575870000001</v>
      </c>
      <c r="H12" s="15">
        <f>'MeOH FU 0.76'!$E12</f>
        <v>60.215979390000001</v>
      </c>
      <c r="I12" s="15">
        <f>'MeOH FU 0.77'!$E12</f>
        <v>59.73746439</v>
      </c>
      <c r="J12" s="15">
        <f>'MeOH FU 0.78'!$E12</f>
        <v>59.259031780000001</v>
      </c>
      <c r="K12" s="15">
        <f>'MeOH FU 0.79'!$E12</f>
        <v>58.780682239999997</v>
      </c>
      <c r="L12" s="15">
        <f>'MeOH FU 0.8'!$E12</f>
        <v>58.302416180000002</v>
      </c>
      <c r="M12" s="15">
        <f>'MeOH FU 0.81'!$E12</f>
        <v>57.824233739999997</v>
      </c>
      <c r="N12" s="15">
        <f>'MeOH FU 0.82'!$E12</f>
        <v>57.346135750000002</v>
      </c>
      <c r="O12" s="15">
        <f>'MeOH FU 0.83'!$E12</f>
        <v>56.868120050000002</v>
      </c>
      <c r="P12" s="15">
        <f>'MeOH FU 0.84'!$E12</f>
        <v>56.39018669</v>
      </c>
      <c r="Q12" s="15">
        <f>'MeOH FU 0.85'!$E12</f>
        <v>55.912334530000003</v>
      </c>
    </row>
    <row r="13" spans="1:17" x14ac:dyDescent="0.25">
      <c r="A13">
        <f>'MeOH FU 0.7'!A13</f>
        <v>0.71</v>
      </c>
      <c r="B13" s="15">
        <f>'MeOH FU 0.7'!E13</f>
        <v>63.57248706</v>
      </c>
      <c r="C13" s="15">
        <f>'MeOH FU 0.71'!$E13</f>
        <v>63.100394680000001</v>
      </c>
      <c r="D13" s="15">
        <f>'MeOH FU 0.72'!$E13</f>
        <v>62.628374610000002</v>
      </c>
      <c r="E13" s="15">
        <f>'MeOH FU 0.73'!$E13</f>
        <v>62.156428910000002</v>
      </c>
      <c r="F13" s="15">
        <f>'MeOH FU 0.74'!$E13</f>
        <v>61.684559370000002</v>
      </c>
      <c r="G13" s="15">
        <f>'MeOH FU 0.75'!$E13</f>
        <v>61.212767540000002</v>
      </c>
      <c r="H13" s="15">
        <f>'MeOH FU 0.76'!$E13</f>
        <v>60.741054750000004</v>
      </c>
      <c r="I13" s="15">
        <f>'MeOH FU 0.77'!$E13</f>
        <v>60.269422040000002</v>
      </c>
      <c r="J13" s="15">
        <f>'MeOH FU 0.78'!$E13</f>
        <v>59.797870230000001</v>
      </c>
      <c r="K13" s="15">
        <f>'MeOH FU 0.79'!$E13</f>
        <v>59.326399879999997</v>
      </c>
      <c r="L13" s="15">
        <f>'MeOH FU 0.8'!$E13</f>
        <v>58.855011269999999</v>
      </c>
      <c r="M13" s="15">
        <f>'MeOH FU 0.81'!$E13</f>
        <v>58.38370441</v>
      </c>
      <c r="N13" s="15">
        <f>'MeOH FU 0.82'!$E13</f>
        <v>57.912480049999999</v>
      </c>
      <c r="O13" s="15">
        <f>'MeOH FU 0.83'!$E13</f>
        <v>57.44133566</v>
      </c>
      <c r="P13" s="15">
        <f>'MeOH FU 0.84'!$E13</f>
        <v>56.970271150000002</v>
      </c>
      <c r="Q13" s="15">
        <f>'MeOH FU 0.85'!$E13</f>
        <v>56.499285090000001</v>
      </c>
    </row>
    <row r="14" spans="1:17" x14ac:dyDescent="0.25">
      <c r="A14">
        <f>'MeOH FU 0.7'!A14</f>
        <v>0.72</v>
      </c>
      <c r="B14" s="15">
        <f>'MeOH FU 0.7'!E14</f>
        <v>64.056015419999994</v>
      </c>
      <c r="C14" s="15">
        <f>'MeOH FU 0.71'!$E14</f>
        <v>63.59080651</v>
      </c>
      <c r="D14" s="15">
        <f>'MeOH FU 0.72'!$E14</f>
        <v>63.12566872</v>
      </c>
      <c r="E14" s="15">
        <f>'MeOH FU 0.73'!$E14</f>
        <v>62.660604030000002</v>
      </c>
      <c r="F14" s="15">
        <f>'MeOH FU 0.74'!$E14</f>
        <v>62.195614159999998</v>
      </c>
      <c r="G14" s="15">
        <f>'MeOH FU 0.75'!$E14</f>
        <v>61.730700589999998</v>
      </c>
      <c r="H14" s="15">
        <f>'MeOH FU 0.76'!$E14</f>
        <v>61.26586451</v>
      </c>
      <c r="I14" s="15">
        <f>'MeOH FU 0.77'!$E14</f>
        <v>60.801106900000001</v>
      </c>
      <c r="J14" s="15">
        <f>'MeOH FU 0.78'!$E14</f>
        <v>60.336428429999998</v>
      </c>
      <c r="K14" s="15">
        <f>'MeOH FU 0.79'!$E14</f>
        <v>59.871829529999999</v>
      </c>
      <c r="L14" s="15">
        <f>'MeOH FU 0.8'!$E14</f>
        <v>59.407310330000001</v>
      </c>
      <c r="M14" s="15">
        <f>'MeOH FU 0.81'!$E14</f>
        <v>58.942871680000003</v>
      </c>
      <c r="N14" s="15">
        <f>'MeOH FU 0.82'!$E14</f>
        <v>58.478511230000002</v>
      </c>
      <c r="O14" s="15">
        <f>'MeOH FU 0.83'!$E14</f>
        <v>58.014228989999999</v>
      </c>
      <c r="P14" s="15">
        <f>'MeOH FU 0.84'!$E14</f>
        <v>57.550023699999997</v>
      </c>
      <c r="Q14" s="15">
        <f>'MeOH FU 0.85'!$E14</f>
        <v>57.08589362</v>
      </c>
    </row>
    <row r="15" spans="1:17" x14ac:dyDescent="0.25">
      <c r="A15">
        <f>'MeOH FU 0.7'!A15</f>
        <v>0.73</v>
      </c>
      <c r="B15" s="15">
        <f>'MeOH FU 0.7'!E15</f>
        <v>64.539286520000005</v>
      </c>
      <c r="C15" s="15">
        <f>'MeOH FU 0.71'!$E15</f>
        <v>64.0809541</v>
      </c>
      <c r="D15" s="15">
        <f>'MeOH FU 0.72'!$E15</f>
        <v>63.622691410000002</v>
      </c>
      <c r="E15" s="15">
        <f>'MeOH FU 0.73'!$E15</f>
        <v>63.164500339999996</v>
      </c>
      <c r="F15" s="15">
        <f>'MeOH FU 0.74'!$E15</f>
        <v>62.706382519999998</v>
      </c>
      <c r="G15" s="15">
        <f>'MeOH FU 0.75'!$E15</f>
        <v>62.248339299999998</v>
      </c>
      <c r="H15" s="15">
        <f>'MeOH FU 0.76'!$E15</f>
        <v>61.790371800000003</v>
      </c>
      <c r="I15" s="15">
        <f>'MeOH FU 0.77'!$E15</f>
        <v>61.332480830000002</v>
      </c>
      <c r="J15" s="15">
        <f>'MeOH FU 0.78'!$E15</f>
        <v>60.874666939999997</v>
      </c>
      <c r="K15" s="15">
        <f>'MeOH FU 0.79'!$E15</f>
        <v>60.416930379999997</v>
      </c>
      <c r="L15" s="15">
        <f>'MeOH FU 0.8'!$E15</f>
        <v>59.959271110000003</v>
      </c>
      <c r="M15" s="15">
        <f>'MeOH FU 0.81'!$E15</f>
        <v>59.501689880000001</v>
      </c>
      <c r="N15" s="15">
        <f>'MeOH FU 0.82'!$E15</f>
        <v>59.044183859999997</v>
      </c>
      <c r="O15" s="15">
        <f>'MeOH FU 0.83'!$E15</f>
        <v>58.586752879999999</v>
      </c>
      <c r="P15" s="15">
        <f>'MeOH FU 0.84'!$E15</f>
        <v>58.129395350000003</v>
      </c>
      <c r="Q15" s="15">
        <f>'MeOH FU 0.85'!$E15</f>
        <v>57.672109120000002</v>
      </c>
    </row>
    <row r="16" spans="1:17" x14ac:dyDescent="0.25">
      <c r="A16">
        <f>'MeOH FU 0.7'!A16</f>
        <v>0.74</v>
      </c>
      <c r="B16" s="15">
        <f>'MeOH FU 0.7'!E16</f>
        <v>65.022264120000003</v>
      </c>
      <c r="C16" s="15">
        <f>'MeOH FU 0.71'!$E16</f>
        <v>64.570800030000001</v>
      </c>
      <c r="D16" s="15">
        <f>'MeOH FU 0.72'!$E16</f>
        <v>64.119404020000005</v>
      </c>
      <c r="E16" s="15">
        <f>'MeOH FU 0.73'!$E16</f>
        <v>63.668077879999998</v>
      </c>
      <c r="F16" s="15">
        <f>'MeOH FU 0.74'!$E16</f>
        <v>63.216823130000002</v>
      </c>
      <c r="G16" s="15">
        <f>'MeOH FU 0.75'!$E16</f>
        <v>62.765640990000001</v>
      </c>
      <c r="H16" s="15">
        <f>'MeOH FU 0.76'!$E16</f>
        <v>62.31453243</v>
      </c>
      <c r="I16" s="15">
        <f>'MeOH FU 0.77'!$E16</f>
        <v>61.863498110000002</v>
      </c>
      <c r="J16" s="15">
        <f>'MeOH FU 0.78'!$E16</f>
        <v>61.412538400000003</v>
      </c>
      <c r="K16" s="15">
        <f>'MeOH FU 0.79'!$E16</f>
        <v>60.96165336</v>
      </c>
      <c r="L16" s="15">
        <f>'MeOH FU 0.8'!$E16</f>
        <v>60.510843819999998</v>
      </c>
      <c r="M16" s="15">
        <f>'MeOH FU 0.81'!$E16</f>
        <v>60.060107080000002</v>
      </c>
      <c r="N16" s="15">
        <f>'MeOH FU 0.82'!$E16</f>
        <v>59.609443059999997</v>
      </c>
      <c r="O16" s="15">
        <f>'MeOH FU 0.83'!$E16</f>
        <v>59.158850260000001</v>
      </c>
      <c r="P16" s="15">
        <f>'MeOH FU 0.84'!$E16</f>
        <v>58.708326649999997</v>
      </c>
      <c r="Q16" s="15">
        <f>'MeOH FU 0.85'!$E16</f>
        <v>58.257869589999999</v>
      </c>
    </row>
    <row r="17" spans="1:17" x14ac:dyDescent="0.25">
      <c r="A17">
        <f>'MeOH FU 0.7'!A17</f>
        <v>0.75</v>
      </c>
      <c r="B17" s="15">
        <f>'MeOH FU 0.7'!E17</f>
        <v>65.504904749999994</v>
      </c>
      <c r="C17" s="15">
        <f>'MeOH FU 0.71'!$E17</f>
        <v>65.060299349999994</v>
      </c>
      <c r="D17" s="15">
        <f>'MeOH FU 0.72'!$E17</f>
        <v>64.615760069999993</v>
      </c>
      <c r="E17" s="15">
        <f>'MeOH FU 0.73'!$E17</f>
        <v>64.171288570000002</v>
      </c>
      <c r="F17" s="15">
        <f>'MeOH FU 0.74'!$E17</f>
        <v>63.726886219999997</v>
      </c>
      <c r="G17" s="15">
        <f>'MeOH FU 0.75'!$E17</f>
        <v>63.282554099999999</v>
      </c>
      <c r="H17" s="15">
        <f>'MeOH FU 0.76'!$E17</f>
        <v>62.838293</v>
      </c>
      <c r="I17" s="15">
        <f>'MeOH FU 0.77'!$E17</f>
        <v>62.394103379999997</v>
      </c>
      <c r="J17" s="15">
        <f>'MeOH FU 0.78'!$E17</f>
        <v>61.949985400000003</v>
      </c>
      <c r="K17" s="15">
        <f>'MeOH FU 0.79'!$E17</f>
        <v>61.505939980000001</v>
      </c>
      <c r="L17" s="15">
        <f>'MeOH FU 0.8'!$E17</f>
        <v>61.06196448</v>
      </c>
      <c r="M17" s="15">
        <f>'MeOH FU 0.81'!$E17</f>
        <v>60.618058900000001</v>
      </c>
      <c r="N17" s="15">
        <f>'MeOH FU 0.82'!$E17</f>
        <v>60.17422182</v>
      </c>
      <c r="O17" s="15">
        <f>'MeOH FU 0.83'!$E17</f>
        <v>59.730451270000003</v>
      </c>
      <c r="P17" s="15">
        <f>'MeOH FU 0.84'!$E17</f>
        <v>59.286744689999999</v>
      </c>
      <c r="Q17" s="15">
        <f>'MeOH FU 0.85'!$E17</f>
        <v>58.8430988</v>
      </c>
    </row>
    <row r="18" spans="1:17" x14ac:dyDescent="0.25">
      <c r="A18">
        <f>'MeOH FU 0.7'!A18</f>
        <v>0.76</v>
      </c>
      <c r="B18" s="15">
        <f>'MeOH FU 0.7'!E18</f>
        <v>65.987155770000001</v>
      </c>
      <c r="C18" s="15">
        <f>'MeOH FU 0.71'!$E18</f>
        <v>65.549397560000003</v>
      </c>
      <c r="D18" s="15">
        <f>'MeOH FU 0.72'!$E18</f>
        <v>65.111703109999993</v>
      </c>
      <c r="E18" s="15">
        <f>'MeOH FU 0.73'!$E18</f>
        <v>64.674073919999998</v>
      </c>
      <c r="F18" s="15">
        <f>'MeOH FU 0.74'!$E18</f>
        <v>64.236511179999994</v>
      </c>
      <c r="G18" s="15">
        <f>'MeOH FU 0.75'!$E18</f>
        <v>63.799015779999998</v>
      </c>
      <c r="H18" s="15">
        <f>'MeOH FU 0.76'!$E18</f>
        <v>63.36158829</v>
      </c>
      <c r="I18" s="15">
        <f>'MeOH FU 0.77'!$E18</f>
        <v>62.924228939999999</v>
      </c>
      <c r="J18" s="15">
        <f>'MeOH FU 0.78'!$E18</f>
        <v>62.486937580000003</v>
      </c>
      <c r="K18" s="15">
        <f>'MeOH FU 0.79'!$E18</f>
        <v>62.04971501</v>
      </c>
      <c r="L18" s="15">
        <f>'MeOH FU 0.8'!$E18</f>
        <v>61.612557899999999</v>
      </c>
      <c r="M18" s="15">
        <f>'MeOH FU 0.81'!$E18</f>
        <v>61.175465969999998</v>
      </c>
      <c r="N18" s="15">
        <f>'MeOH FU 0.82'!$E18</f>
        <v>60.738437310000002</v>
      </c>
      <c r="O18" s="15">
        <f>'MeOH FU 0.83'!$E18</f>
        <v>60.301469359999999</v>
      </c>
      <c r="P18" s="15">
        <f>'MeOH FU 0.84'!$E18</f>
        <v>59.864558870000003</v>
      </c>
      <c r="Q18" s="15">
        <f>'MeOH FU 0.85'!$E18</f>
        <v>59.427701720000002</v>
      </c>
    </row>
    <row r="19" spans="1:17" x14ac:dyDescent="0.25">
      <c r="A19">
        <f>'MeOH FU 0.7'!A19</f>
        <v>0.77</v>
      </c>
      <c r="B19" s="15">
        <f>'MeOH FU 0.7'!E19</f>
        <v>66.468952770000001</v>
      </c>
      <c r="C19" s="15">
        <f>'MeOH FU 0.71'!$E19</f>
        <v>66.038027900000003</v>
      </c>
      <c r="D19" s="15">
        <f>'MeOH FU 0.72'!$E19</f>
        <v>65.607163900000003</v>
      </c>
      <c r="E19" s="15">
        <f>'MeOH FU 0.73'!$E19</f>
        <v>65.176362069999996</v>
      </c>
      <c r="F19" s="15">
        <f>'MeOH FU 0.74'!$E19</f>
        <v>64.745623409999993</v>
      </c>
      <c r="G19" s="15">
        <f>'MeOH FU 0.75'!$E19</f>
        <v>64.314948529999995</v>
      </c>
      <c r="H19" s="15">
        <f>'MeOH FU 0.76'!$E19</f>
        <v>63.884337739999999</v>
      </c>
      <c r="I19" s="15">
        <f>'MeOH FU 0.77'!$E19</f>
        <v>63.453790939999998</v>
      </c>
      <c r="J19" s="15">
        <f>'MeOH FU 0.78'!$E19</f>
        <v>63.023308980000003</v>
      </c>
      <c r="K19" s="15">
        <f>'MeOH FU 0.79'!$E19</f>
        <v>62.592888469999998</v>
      </c>
      <c r="L19" s="15">
        <f>'MeOH FU 0.8'!$E19</f>
        <v>62.162529169999999</v>
      </c>
      <c r="M19" s="15">
        <f>'MeOH FU 0.81'!$E19</f>
        <v>61.73222913</v>
      </c>
      <c r="N19" s="15">
        <f>'MeOH FU 0.82'!$E19</f>
        <v>61.301985780000003</v>
      </c>
      <c r="O19" s="15">
        <f>'MeOH FU 0.83'!$E19</f>
        <v>60.871795800000001</v>
      </c>
      <c r="P19" s="15">
        <f>'MeOH FU 0.84'!$E19</f>
        <v>60.441655019999999</v>
      </c>
      <c r="Q19" s="15">
        <f>'MeOH FU 0.85'!$E19</f>
        <v>60.011558180000002</v>
      </c>
    </row>
    <row r="20" spans="1:17" x14ac:dyDescent="0.25">
      <c r="A20">
        <f>'MeOH FU 0.7'!A20</f>
        <v>0.78</v>
      </c>
      <c r="B20" s="15">
        <f>'MeOH FU 0.7'!E20</f>
        <v>66.950216019999999</v>
      </c>
      <c r="C20" s="15">
        <f>'MeOH FU 0.71'!$E20</f>
        <v>66.526107550000006</v>
      </c>
      <c r="D20" s="15">
        <f>'MeOH FU 0.72'!$E20</f>
        <v>66.102056399999995</v>
      </c>
      <c r="E20" s="15">
        <f>'MeOH FU 0.73'!$E20</f>
        <v>65.678063600000002</v>
      </c>
      <c r="F20" s="15">
        <f>'MeOH FU 0.74'!$E20</f>
        <v>65.25412987</v>
      </c>
      <c r="G20" s="15">
        <f>'MeOH FU 0.75'!$E20</f>
        <v>64.830255510000001</v>
      </c>
      <c r="H20" s="15">
        <f>'MeOH FU 0.76'!$E20</f>
        <v>64.406440459999999</v>
      </c>
      <c r="I20" s="15">
        <f>'MeOH FU 0.77'!$E20</f>
        <v>63.982685590000003</v>
      </c>
      <c r="J20" s="15">
        <f>'MeOH FU 0.78'!$E20</f>
        <v>63.558987399999999</v>
      </c>
      <c r="K20" s="15">
        <f>'MeOH FU 0.79'!$E20</f>
        <v>63.135345639999997</v>
      </c>
      <c r="L20" s="15">
        <f>'MeOH FU 0.8'!$E20</f>
        <v>62.711758260000003</v>
      </c>
      <c r="M20" s="15">
        <f>'MeOH FU 0.81'!$E20</f>
        <v>62.288222599999997</v>
      </c>
      <c r="N20" s="15">
        <f>'MeOH FU 0.82'!$E20</f>
        <v>61.864735199999998</v>
      </c>
      <c r="O20" s="15">
        <f>'MeOH FU 0.83'!$E20</f>
        <v>61.441291730000003</v>
      </c>
      <c r="P20" s="15">
        <f>'MeOH FU 0.84'!$E20</f>
        <v>61.017886740000002</v>
      </c>
      <c r="Q20" s="15">
        <f>'MeOH FU 0.85'!$E20</f>
        <v>60.594513460000002</v>
      </c>
    </row>
    <row r="21" spans="1:17" x14ac:dyDescent="0.25">
      <c r="A21">
        <f>'MeOH FU 0.7'!A21</f>
        <v>0.79</v>
      </c>
      <c r="B21" s="15">
        <f>'MeOH FU 0.7'!E21</f>
        <v>67.430845520000005</v>
      </c>
      <c r="C21" s="15">
        <f>'MeOH FU 0.71'!$E21</f>
        <v>67.013532479999995</v>
      </c>
      <c r="D21" s="15">
        <f>'MeOH FU 0.72'!$E21</f>
        <v>66.596272279999994</v>
      </c>
      <c r="E21" s="15">
        <f>'MeOH FU 0.73'!$E21</f>
        <v>66.179065649999998</v>
      </c>
      <c r="F21" s="15">
        <f>'MeOH FU 0.74'!$E21</f>
        <v>65.76191292</v>
      </c>
      <c r="G21" s="15">
        <f>'MeOH FU 0.75'!$E21</f>
        <v>65.344813959999996</v>
      </c>
      <c r="H21" s="15">
        <f>'MeOH FU 0.76'!$E21</f>
        <v>64.927769679999997</v>
      </c>
      <c r="I21" s="15">
        <f>'MeOH FU 0.77'!$E21</f>
        <v>64.510776359999994</v>
      </c>
      <c r="J21" s="15">
        <f>'MeOH FU 0.78'!$E21</f>
        <v>64.093833680000003</v>
      </c>
      <c r="K21" s="15">
        <f>'MeOH FU 0.79'!$E21</f>
        <v>63.67693946</v>
      </c>
      <c r="L21" s="15">
        <f>'MeOH FU 0.8'!$E21</f>
        <v>63.2600908</v>
      </c>
      <c r="M21" s="15">
        <f>'MeOH FU 0.81'!$E21</f>
        <v>62.84328403</v>
      </c>
      <c r="N21" s="15">
        <f>'MeOH FU 0.82'!$E21</f>
        <v>62.426514500000003</v>
      </c>
      <c r="O21" s="15">
        <f>'MeOH FU 0.83'!$E21</f>
        <v>62.009776440000003</v>
      </c>
      <c r="P21" s="15">
        <f>'MeOH FU 0.84'!$E21</f>
        <v>61.593062660000001</v>
      </c>
      <c r="Q21" s="15">
        <f>'MeOH FU 0.85'!$E21</f>
        <v>61.176364200000002</v>
      </c>
    </row>
    <row r="22" spans="1:17" x14ac:dyDescent="0.25">
      <c r="A22">
        <f>'MeOH FU 0.7'!A22</f>
        <v>0.8</v>
      </c>
      <c r="B22" s="15">
        <f>'MeOH FU 0.7'!E22</f>
        <v>67.910713920000006</v>
      </c>
      <c r="C22" s="15">
        <f>'MeOH FU 0.71'!$E22</f>
        <v>67.50016986</v>
      </c>
      <c r="D22" s="15">
        <f>'MeOH FU 0.72'!$E22</f>
        <v>67.089672960000001</v>
      </c>
      <c r="E22" s="15">
        <f>'MeOH FU 0.73'!$E22</f>
        <v>66.679223480000005</v>
      </c>
      <c r="F22" s="15">
        <f>'MeOH FU 0.74'!$E22</f>
        <v>66.268821239999994</v>
      </c>
      <c r="G22" s="15">
        <f>'MeOH FU 0.75'!$E22</f>
        <v>65.858467099999999</v>
      </c>
      <c r="H22" s="15">
        <f>'MeOH FU 0.76'!$E22</f>
        <v>65.448156999999995</v>
      </c>
      <c r="I22" s="15">
        <f>'MeOH FU 0.77'!$E22</f>
        <v>65.037890489999995</v>
      </c>
      <c r="J22" s="15">
        <f>'MeOH FU 0.78'!$E22</f>
        <v>64.627665149999999</v>
      </c>
      <c r="K22" s="15">
        <f>'MeOH FU 0.79'!$E22</f>
        <v>64.21747775</v>
      </c>
      <c r="L22" s="15">
        <f>'MeOH FU 0.8'!$E22</f>
        <v>63.807324219999998</v>
      </c>
      <c r="M22" s="15">
        <f>'MeOH FU 0.81'!$E22</f>
        <v>63.397199469999997</v>
      </c>
      <c r="N22" s="15">
        <f>'MeOH FU 0.82'!$E22</f>
        <v>62.987097149999997</v>
      </c>
      <c r="O22" s="15">
        <f>'MeOH FU 0.83'!$E22</f>
        <v>62.577009410000002</v>
      </c>
      <c r="P22" s="15">
        <f>'MeOH FU 0.84'!$E22</f>
        <v>62.166926519999997</v>
      </c>
      <c r="Q22" s="15">
        <f>'MeOH FU 0.85'!$E22</f>
        <v>61.756836319999998</v>
      </c>
    </row>
    <row r="23" spans="1:17" x14ac:dyDescent="0.25">
      <c r="A23">
        <f>'MeOH FU 0.7'!A23</f>
        <v>0.81</v>
      </c>
      <c r="B23" s="15">
        <f>'MeOH FU 0.7'!E23</f>
        <v>68.389656200000005</v>
      </c>
      <c r="C23" s="15">
        <f>'MeOH FU 0.71'!$E23</f>
        <v>67.98584717</v>
      </c>
      <c r="D23" s="15">
        <f>'MeOH FU 0.72'!$E23</f>
        <v>67.582077859999998</v>
      </c>
      <c r="E23" s="15">
        <f>'MeOH FU 0.73'!$E23</f>
        <v>67.178347930000001</v>
      </c>
      <c r="F23" s="15">
        <f>'MeOH FU 0.74'!$E23</f>
        <v>66.774658149999993</v>
      </c>
      <c r="G23" s="15">
        <f>'MeOH FU 0.75'!$E23</f>
        <v>66.371003939999994</v>
      </c>
      <c r="H23" s="15">
        <f>'MeOH FU 0.76'!$E23</f>
        <v>65.967384670000001</v>
      </c>
      <c r="I23" s="15">
        <f>'MeOH FU 0.77'!$E23</f>
        <v>65.563797469999997</v>
      </c>
      <c r="J23" s="15">
        <f>'MeOH FU 0.78'!$E23</f>
        <v>65.160238640000003</v>
      </c>
      <c r="K23" s="15">
        <f>'MeOH FU 0.79'!$E23</f>
        <v>64.756703540000004</v>
      </c>
      <c r="L23" s="15">
        <f>'MeOH FU 0.8'!$E23</f>
        <v>64.353186339999993</v>
      </c>
      <c r="M23" s="15">
        <f>'MeOH FU 0.81'!$E23</f>
        <v>63.949679869999997</v>
      </c>
      <c r="N23" s="15">
        <f>'MeOH FU 0.82'!$E23</f>
        <v>63.546175259999998</v>
      </c>
      <c r="O23" s="15">
        <f>'MeOH FU 0.83'!$E23</f>
        <v>63.142661560000001</v>
      </c>
      <c r="P23" s="15">
        <f>'MeOH FU 0.84'!$E23</f>
        <v>62.739125129999998</v>
      </c>
      <c r="Q23" s="15">
        <f>'MeOH FU 0.85'!$E23</f>
        <v>62.33555071</v>
      </c>
    </row>
    <row r="24" spans="1:17" x14ac:dyDescent="0.25">
      <c r="A24">
        <f>'MeOH FU 0.7'!A24</f>
        <v>0.82</v>
      </c>
      <c r="B24" s="15">
        <f>'MeOH FU 0.7'!E24</f>
        <v>68.867454140000007</v>
      </c>
      <c r="C24" s="15">
        <f>'MeOH FU 0.71'!$E24</f>
        <v>68.470335469999995</v>
      </c>
      <c r="D24" s="15">
        <f>'MeOH FU 0.72'!$E24</f>
        <v>68.073248199999995</v>
      </c>
      <c r="E24" s="15">
        <f>'MeOH FU 0.73'!$E24</f>
        <v>67.676188069999995</v>
      </c>
      <c r="F24" s="15">
        <f>'MeOH FU 0.74'!$E24</f>
        <v>67.279154640000002</v>
      </c>
      <c r="G24" s="15">
        <f>'MeOH FU 0.75'!$E24</f>
        <v>66.882145260000001</v>
      </c>
      <c r="H24" s="15">
        <f>'MeOH FU 0.76'!$E24</f>
        <v>66.485156470000007</v>
      </c>
      <c r="I24" s="15">
        <f>'MeOH FU 0.77'!$E24</f>
        <v>66.088183849999993</v>
      </c>
      <c r="J24" s="15">
        <f>'MeOH FU 0.78'!$E24</f>
        <v>65.691221850000005</v>
      </c>
      <c r="K24" s="15">
        <f>'MeOH FU 0.79'!$E24</f>
        <v>65.294263619999995</v>
      </c>
      <c r="L24" s="15">
        <f>'MeOH FU 0.8'!$E24</f>
        <v>64.897300700000002</v>
      </c>
      <c r="M24" s="15">
        <f>'MeOH FU 0.81'!$E24</f>
        <v>64.500322699999998</v>
      </c>
      <c r="N24" s="15">
        <f>'MeOH FU 0.82'!$E24</f>
        <v>64.103316809999995</v>
      </c>
      <c r="O24" s="15">
        <f>'MeOH FU 0.83'!$E24</f>
        <v>63.706267150000002</v>
      </c>
      <c r="P24" s="15">
        <f>'MeOH FU 0.84'!$E24</f>
        <v>63.309155799999999</v>
      </c>
      <c r="Q24" s="15">
        <f>'MeOH FU 0.85'!$E24</f>
        <v>62.911954289999997</v>
      </c>
    </row>
    <row r="25" spans="1:17" x14ac:dyDescent="0.25">
      <c r="A25">
        <f>'MeOH FU 0.7'!A25</f>
        <v>0.83</v>
      </c>
      <c r="B25" s="15">
        <f>'MeOH FU 0.7'!E25</f>
        <v>69.343812069999998</v>
      </c>
      <c r="C25" s="15">
        <f>'MeOH FU 0.71'!$E25</f>
        <v>68.953325179999993</v>
      </c>
      <c r="D25" s="15">
        <f>'MeOH FU 0.72'!$E25</f>
        <v>68.562852750000005</v>
      </c>
      <c r="E25" s="15">
        <f>'MeOH FU 0.73'!$E25</f>
        <v>68.172393880000001</v>
      </c>
      <c r="F25" s="15">
        <f>'MeOH FU 0.74'!$E25</f>
        <v>67.781945160000006</v>
      </c>
      <c r="G25" s="15">
        <f>'MeOH FU 0.75'!$E25</f>
        <v>67.391502180000003</v>
      </c>
      <c r="H25" s="15">
        <f>'MeOH FU 0.76'!$E25</f>
        <v>67.001059429999998</v>
      </c>
      <c r="I25" s="15">
        <f>'MeOH FU 0.77'!$E25</f>
        <v>66.610610019999996</v>
      </c>
      <c r="J25" s="15">
        <f>'MeOH FU 0.78'!$E25</f>
        <v>66.220145529999996</v>
      </c>
      <c r="K25" s="15">
        <f>'MeOH FU 0.79'!$E25</f>
        <v>65.82965557</v>
      </c>
      <c r="L25" s="15">
        <f>'MeOH FU 0.8'!$E25</f>
        <v>65.439127459999995</v>
      </c>
      <c r="M25" s="15">
        <f>'MeOH FU 0.81'!$E25</f>
        <v>65.048545529999998</v>
      </c>
      <c r="N25" s="15">
        <f>'MeOH FU 0.82'!$E25</f>
        <v>64.657892149999995</v>
      </c>
      <c r="O25" s="15">
        <f>'MeOH FU 0.83'!$E25</f>
        <v>64.267140049999995</v>
      </c>
      <c r="P25" s="15">
        <f>'MeOH FU 0.84'!$E25</f>
        <v>63.87625989</v>
      </c>
      <c r="Q25" s="15">
        <f>'MeOH FU 0.85'!$E25</f>
        <v>63.485212089999997</v>
      </c>
    </row>
    <row r="26" spans="1:17" x14ac:dyDescent="0.25">
      <c r="A26">
        <f>'MeOH FU 0.7'!A26</f>
        <v>0.84</v>
      </c>
      <c r="B26" s="15">
        <f>'MeOH FU 0.7'!E26</f>
        <v>69.818319579999994</v>
      </c>
      <c r="C26" s="15">
        <f>'MeOH FU 0.71'!$E26</f>
        <v>69.434376490000005</v>
      </c>
      <c r="D26" s="15">
        <f>'MeOH FU 0.72'!$E26</f>
        <v>69.05042985</v>
      </c>
      <c r="E26" s="15">
        <f>'MeOH FU 0.73'!$E26</f>
        <v>68.666475019999993</v>
      </c>
      <c r="F26" s="15">
        <f>'MeOH FU 0.74'!$E26</f>
        <v>68.2825062</v>
      </c>
      <c r="G26" s="15">
        <f>'MeOH FU 0.75'!$E26</f>
        <v>67.898516150000006</v>
      </c>
      <c r="H26" s="15">
        <f>'MeOH FU 0.76'!$E26</f>
        <v>67.514495960000005</v>
      </c>
      <c r="I26" s="15">
        <f>'MeOH FU 0.77'!$E26</f>
        <v>67.130434750000006</v>
      </c>
      <c r="J26" s="15">
        <f>'MeOH FU 0.78'!$E26</f>
        <v>66.74631918</v>
      </c>
      <c r="K26" s="15">
        <f>'MeOH FU 0.79'!$E26</f>
        <v>66.362132919999993</v>
      </c>
      <c r="L26" s="15">
        <f>'MeOH FU 0.8'!$E26</f>
        <v>65.977855849999997</v>
      </c>
      <c r="M26" s="15">
        <f>'MeOH FU 0.81'!$E26</f>
        <v>65.593465100000003</v>
      </c>
      <c r="N26" s="15">
        <f>'MeOH FU 0.82'!$E26</f>
        <v>65.208925620000002</v>
      </c>
      <c r="O26" s="15">
        <f>'MeOH FU 0.83'!$E26</f>
        <v>64.824199179999994</v>
      </c>
      <c r="P26" s="15">
        <f>'MeOH FU 0.84'!$E26</f>
        <v>64.439233970000004</v>
      </c>
      <c r="Q26" s="15">
        <f>'MeOH FU 0.85'!$E26</f>
        <v>64.053961310000005</v>
      </c>
    </row>
    <row r="27" spans="1:17" x14ac:dyDescent="0.25">
      <c r="A27">
        <f>'MeOH FU 0.7'!A27</f>
        <v>0.85</v>
      </c>
      <c r="B27" s="15">
        <f>'MeOH FU 0.7'!E27</f>
        <v>70.290376280000004</v>
      </c>
      <c r="C27" s="15">
        <f>'MeOH FU 0.71'!$E27</f>
        <v>69.912854999999993</v>
      </c>
      <c r="D27" s="15">
        <f>'MeOH FU 0.72'!$E27</f>
        <v>69.535300530000001</v>
      </c>
      <c r="E27" s="15">
        <f>'MeOH FU 0.73'!$E27</f>
        <v>69.157704789999997</v>
      </c>
      <c r="F27" s="15">
        <f>'MeOH FU 0.74'!$E27</f>
        <v>68.780057819999996</v>
      </c>
      <c r="G27" s="15">
        <f>'MeOH FU 0.75'!$E27</f>
        <v>68.402347480000003</v>
      </c>
      <c r="H27" s="15">
        <f>'MeOH FU 0.76'!$E27</f>
        <v>68.024558929999998</v>
      </c>
      <c r="I27" s="15">
        <f>'MeOH FU 0.77'!$E27</f>
        <v>67.646674020000006</v>
      </c>
      <c r="J27" s="15">
        <f>'MeOH FU 0.78'!$E27</f>
        <v>67.268670459999996</v>
      </c>
      <c r="K27" s="15">
        <f>'MeOH FU 0.79'!$E27</f>
        <v>66.890522849999996</v>
      </c>
      <c r="L27" s="15">
        <f>'MeOH FU 0.8'!$E27</f>
        <v>66.512192999999996</v>
      </c>
      <c r="M27" s="15">
        <f>'MeOH FU 0.81'!$E27</f>
        <v>66.133639070000001</v>
      </c>
      <c r="N27" s="15">
        <f>'MeOH FU 0.82'!$E27</f>
        <v>65.754804960000001</v>
      </c>
      <c r="O27" s="15">
        <f>'MeOH FU 0.83'!$E27</f>
        <v>65.375616960000002</v>
      </c>
      <c r="P27" s="15">
        <f>'MeOH FU 0.84'!$E27</f>
        <v>64.995975729999998</v>
      </c>
      <c r="Q27" s="15">
        <f>'MeOH FU 0.85'!$E27</f>
        <v>64.615742949999998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workbookViewId="0">
      <selection activeCell="R30" sqref="R30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'MeOH FU 0.7'!A2</f>
        <v>0.6</v>
      </c>
      <c r="B2" s="16">
        <f>'MeOH FU 0.7'!$L2</f>
        <v>8450.9881999999998</v>
      </c>
      <c r="C2" s="16">
        <f>'MeOH FU 0.71'!$L2</f>
        <v>8432.5334999999995</v>
      </c>
      <c r="D2" s="16">
        <f>'MeOH FU 0.72'!$L2</f>
        <v>8413.9722999999994</v>
      </c>
      <c r="E2" s="16">
        <f>'MeOH FU 0.73'!$L2</f>
        <v>8395.0691999999999</v>
      </c>
      <c r="F2" s="16">
        <f>'MeOH FU 0.74'!$L2</f>
        <v>8375.9140000000007</v>
      </c>
      <c r="G2" s="16">
        <f>'MeOH FU 0.75'!$L2</f>
        <v>8356.4891000000007</v>
      </c>
      <c r="H2" s="16">
        <f>'MeOH FU 0.76'!$L2</f>
        <v>8336.7751000000007</v>
      </c>
      <c r="I2" s="16">
        <f>'MeOH FU 0.77'!$L2</f>
        <v>8316.7505999999994</v>
      </c>
      <c r="J2" s="16">
        <f>'MeOH FU 0.78'!$L2</f>
        <v>8296.3919999999998</v>
      </c>
      <c r="K2" s="16">
        <f>'MeOH FU 0.79'!$L2</f>
        <v>8275.6731</v>
      </c>
      <c r="L2" s="16">
        <f>'MeOH FU 0.8'!$L2</f>
        <v>8254.5645999999997</v>
      </c>
      <c r="M2" s="16">
        <f>'MeOH FU 0.81'!$L2</f>
        <v>8233.0336000000007</v>
      </c>
      <c r="N2" s="16">
        <f>'MeOH FU 0.82'!$L2</f>
        <v>8211.0427999999993</v>
      </c>
      <c r="O2" s="16">
        <f>'MeOH FU 0.83'!$L2</f>
        <v>8188.55</v>
      </c>
      <c r="P2" s="16">
        <f>'MeOH FU 0.84'!$L2</f>
        <v>8165.5065000000004</v>
      </c>
      <c r="Q2" s="16">
        <f>'MeOH FU 0.85'!$L2</f>
        <v>8141.8561</v>
      </c>
    </row>
    <row r="3" spans="1:17" x14ac:dyDescent="0.25">
      <c r="A3">
        <f>'MeOH FU 0.7'!A3</f>
        <v>0.61</v>
      </c>
      <c r="B3" s="16">
        <f>'MeOH FU 0.7'!$L3</f>
        <v>8218.1492999999991</v>
      </c>
      <c r="C3" s="16">
        <f>'MeOH FU 0.71'!$L3</f>
        <v>8199.7464</v>
      </c>
      <c r="D3" s="16">
        <f>'MeOH FU 0.72'!$L3</f>
        <v>8181.0210999999999</v>
      </c>
      <c r="E3" s="16">
        <f>'MeOH FU 0.73'!$L3</f>
        <v>8162.0571</v>
      </c>
      <c r="F3" s="16">
        <f>'MeOH FU 0.74'!$L3</f>
        <v>8142.8378000000002</v>
      </c>
      <c r="G3" s="16">
        <f>'MeOH FU 0.75'!$L3</f>
        <v>8123.3455000000004</v>
      </c>
      <c r="H3" s="16">
        <f>'MeOH FU 0.76'!$L3</f>
        <v>8103.5604000000003</v>
      </c>
      <c r="I3" s="16">
        <f>'MeOH FU 0.77'!$L3</f>
        <v>8083.4607999999998</v>
      </c>
      <c r="J3" s="16">
        <f>'MeOH FU 0.78'!$L3</f>
        <v>8063.0227999999997</v>
      </c>
      <c r="K3" s="16">
        <f>'MeOH FU 0.79'!$L3</f>
        <v>8042.2196000000004</v>
      </c>
      <c r="L3" s="16">
        <f>'MeOH FU 0.8'!$L3</f>
        <v>8021.0216</v>
      </c>
      <c r="M3" s="16">
        <f>'MeOH FU 0.81'!$L3</f>
        <v>7999.3950999999997</v>
      </c>
      <c r="N3" s="16">
        <f>'MeOH FU 0.82'!$L3</f>
        <v>7977.3023999999996</v>
      </c>
      <c r="O3" s="16">
        <f>'MeOH FU 0.83'!$L3</f>
        <v>7954.7003000000004</v>
      </c>
      <c r="P3" s="16">
        <f>'MeOH FU 0.84'!$L3</f>
        <v>7931.5392000000002</v>
      </c>
      <c r="Q3" s="16">
        <f>'MeOH FU 0.85'!$L3</f>
        <v>7907.7617</v>
      </c>
    </row>
    <row r="4" spans="1:17" x14ac:dyDescent="0.25">
      <c r="A4">
        <f>'MeOH FU 0.7'!A4</f>
        <v>0.62</v>
      </c>
      <c r="B4" s="16">
        <f>'MeOH FU 0.7'!$L4</f>
        <v>7985.2232999999997</v>
      </c>
      <c r="C4" s="16">
        <f>'MeOH FU 0.71'!$L4</f>
        <v>7966.7628000000004</v>
      </c>
      <c r="D4" s="16">
        <f>'MeOH FU 0.72'!$L4</f>
        <v>7947.9755999999998</v>
      </c>
      <c r="E4" s="16">
        <f>'MeOH FU 0.73'!$L4</f>
        <v>7928.9467000000004</v>
      </c>
      <c r="F4" s="16">
        <f>'MeOH FU 0.74'!$L4</f>
        <v>7909.6592000000001</v>
      </c>
      <c r="G4" s="16">
        <f>'MeOH FU 0.75'!$L4</f>
        <v>7890.0950000000003</v>
      </c>
      <c r="H4" s="16">
        <f>'MeOH FU 0.76'!$L4</f>
        <v>7870.2340000000004</v>
      </c>
      <c r="I4" s="16">
        <f>'MeOH FU 0.77'!$L4</f>
        <v>7850.0542999999998</v>
      </c>
      <c r="J4" s="16">
        <f>'MeOH FU 0.78'!$L4</f>
        <v>7829.5315000000001</v>
      </c>
      <c r="K4" s="16">
        <f>'MeOH FU 0.79'!$L4</f>
        <v>7808.6383999999998</v>
      </c>
      <c r="L4" s="16">
        <f>'MeOH FU 0.8'!$L4</f>
        <v>7787.3446999999996</v>
      </c>
      <c r="M4" s="16">
        <f>'MeOH FU 0.81'!$L4</f>
        <v>7765.6162000000004</v>
      </c>
      <c r="N4" s="16">
        <f>'MeOH FU 0.82'!$L4</f>
        <v>7743.4143999999997</v>
      </c>
      <c r="O4" s="16">
        <f>'MeOH FU 0.83'!$L4</f>
        <v>7720.6953000000003</v>
      </c>
      <c r="P4" s="16">
        <f>'MeOH FU 0.84'!$L4</f>
        <v>7697.4081999999999</v>
      </c>
      <c r="Q4" s="16">
        <f>'MeOH FU 0.85'!$L4</f>
        <v>7673.4946</v>
      </c>
    </row>
    <row r="5" spans="1:17" x14ac:dyDescent="0.25">
      <c r="A5">
        <f>'MeOH FU 0.7'!A5</f>
        <v>0.63</v>
      </c>
      <c r="B5" s="16">
        <f>'MeOH FU 0.7'!$L5</f>
        <v>7752.3041000000003</v>
      </c>
      <c r="C5" s="16">
        <f>'MeOH FU 0.71'!$L5</f>
        <v>7733.6805000000004</v>
      </c>
      <c r="D5" s="16">
        <f>'MeOH FU 0.72'!$L5</f>
        <v>7714.8274000000001</v>
      </c>
      <c r="E5" s="16">
        <f>'MeOH FU 0.73'!$L5</f>
        <v>7695.7290999999996</v>
      </c>
      <c r="F5" s="16">
        <f>'MeOH FU 0.74'!$L5</f>
        <v>7676.3687</v>
      </c>
      <c r="G5" s="16">
        <f>'MeOH FU 0.75'!$L5</f>
        <v>7656.7277000000004</v>
      </c>
      <c r="H5" s="16">
        <f>'MeOH FU 0.76'!$L5</f>
        <v>7636.7857000000004</v>
      </c>
      <c r="I5" s="16">
        <f>'MeOH FU 0.77'!$L5</f>
        <v>7616.5204000000003</v>
      </c>
      <c r="J5" s="16">
        <f>'MeOH FU 0.78'!$L5</f>
        <v>7595.9069</v>
      </c>
      <c r="K5" s="16">
        <f>'MeOH FU 0.79'!$L5</f>
        <v>7574.9174999999996</v>
      </c>
      <c r="L5" s="16">
        <f>'MeOH FU 0.8'!$L5</f>
        <v>7553.5213000000003</v>
      </c>
      <c r="M5" s="16">
        <f>'MeOH FU 0.81'!$L5</f>
        <v>7531.6835000000001</v>
      </c>
      <c r="N5" s="16">
        <f>'MeOH FU 0.82'!$L5</f>
        <v>7509.3648000000003</v>
      </c>
      <c r="O5" s="16">
        <f>'MeOH FU 0.83'!$L5</f>
        <v>7486.5200999999997</v>
      </c>
      <c r="P5" s="16">
        <f>'MeOH FU 0.84'!$L5</f>
        <v>7463.0977000000003</v>
      </c>
      <c r="Q5" s="16">
        <f>'MeOH FU 0.85'!$L5</f>
        <v>7439.1238999999996</v>
      </c>
    </row>
    <row r="6" spans="1:17" x14ac:dyDescent="0.25">
      <c r="A6">
        <f>'MeOH FU 0.7'!A6</f>
        <v>0.64</v>
      </c>
      <c r="B6" s="16">
        <f>'MeOH FU 0.7'!$L6</f>
        <v>7519.1812</v>
      </c>
      <c r="C6" s="16">
        <f>'MeOH FU 0.71'!$L6</f>
        <v>7500.4904999999999</v>
      </c>
      <c r="D6" s="16">
        <f>'MeOH FU 0.72'!$L6</f>
        <v>7481.5667999999996</v>
      </c>
      <c r="E6" s="16">
        <f>'MeOH FU 0.73'!$L6</f>
        <v>7462.3942999999999</v>
      </c>
      <c r="F6" s="16">
        <f>'MeOH FU 0.74'!$L6</f>
        <v>7442.9558999999999</v>
      </c>
      <c r="G6" s="16">
        <f>'MeOH FU 0.75'!$L6</f>
        <v>7423.2326999999996</v>
      </c>
      <c r="H6" s="16">
        <f>'MeOH FU 0.76'!$L6</f>
        <v>7403.2039000000004</v>
      </c>
      <c r="I6" s="16">
        <f>'MeOH FU 0.77'!$L6</f>
        <v>7382.8468000000003</v>
      </c>
      <c r="J6" s="16">
        <f>'MeOH FU 0.78'!$L6</f>
        <v>7362.1359000000002</v>
      </c>
      <c r="K6" s="16">
        <f>'MeOH FU 0.79'!$L6</f>
        <v>7341.0432000000001</v>
      </c>
      <c r="L6" s="16">
        <f>'MeOH FU 0.8'!$L6</f>
        <v>7319.5370000000003</v>
      </c>
      <c r="M6" s="16">
        <f>'MeOH FU 0.81'!$L6</f>
        <v>7297.5819000000001</v>
      </c>
      <c r="N6" s="16">
        <f>'MeOH FU 0.82'!$L6</f>
        <v>7275.1373999999996</v>
      </c>
      <c r="O6" s="16">
        <f>'MeOH FU 0.83'!$L6</f>
        <v>7252.1575999999995</v>
      </c>
      <c r="P6" s="16">
        <f>'MeOH FU 0.84'!$L6</f>
        <v>7228.5896000000002</v>
      </c>
      <c r="Q6" s="16">
        <f>'MeOH FU 0.85'!$L6</f>
        <v>7204.4602999999997</v>
      </c>
    </row>
    <row r="7" spans="1:17" x14ac:dyDescent="0.25">
      <c r="A7">
        <f>'MeOH FU 0.7'!A7</f>
        <v>0.65</v>
      </c>
      <c r="B7" s="16">
        <f>'MeOH FU 0.7'!$L7</f>
        <v>7285.9450999999999</v>
      </c>
      <c r="C7" s="16">
        <f>'MeOH FU 0.71'!$L7</f>
        <v>7267.1822000000002</v>
      </c>
      <c r="D7" s="16">
        <f>'MeOH FU 0.72'!$L7</f>
        <v>7248.1828999999998</v>
      </c>
      <c r="E7" s="16">
        <f>'MeOH FU 0.73'!$L7</f>
        <v>7228.9309000000003</v>
      </c>
      <c r="F7" s="16">
        <f>'MeOH FU 0.74'!$L7</f>
        <v>7209.4088000000002</v>
      </c>
      <c r="G7" s="16">
        <f>'MeOH FU 0.75'!$L7</f>
        <v>7189.5973000000004</v>
      </c>
      <c r="H7" s="16">
        <f>'MeOH FU 0.76'!$L7</f>
        <v>7169.4753000000001</v>
      </c>
      <c r="I7" s="16">
        <f>'MeOH FU 0.77'!$L7</f>
        <v>7149.0195999999896</v>
      </c>
      <c r="J7" s="16">
        <f>'MeOH FU 0.78'!$L7</f>
        <v>7128.2040999999999</v>
      </c>
      <c r="K7" s="16">
        <f>'MeOH FU 0.79'!$L7</f>
        <v>7107.0002999999997</v>
      </c>
      <c r="L7" s="16">
        <f>'MeOH FU 0.8'!$L7</f>
        <v>7085.3756999999996</v>
      </c>
      <c r="M7" s="16">
        <f>'MeOH FU 0.81'!$L7</f>
        <v>7063.2939999999999</v>
      </c>
      <c r="N7" s="16">
        <f>'MeOH FU 0.82'!$L7</f>
        <v>7040.7138999999997</v>
      </c>
      <c r="O7" s="16">
        <f>'MeOH FU 0.83'!$L7</f>
        <v>7017.5883999999996</v>
      </c>
      <c r="P7" s="16">
        <f>'MeOH FU 0.84'!$L7</f>
        <v>6993.8630999999996</v>
      </c>
      <c r="Q7" s="16">
        <f>'MeOH FU 0.85'!$L7</f>
        <v>6969.5658000000003</v>
      </c>
    </row>
    <row r="8" spans="1:17" x14ac:dyDescent="0.25">
      <c r="A8">
        <f>'MeOH FU 0.7'!A8</f>
        <v>0.66</v>
      </c>
      <c r="B8" s="16">
        <f>'MeOH FU 0.7'!$L8</f>
        <v>7052.5843000000004</v>
      </c>
      <c r="C8" s="16">
        <f>'MeOH FU 0.71'!$L8</f>
        <v>7033.7440999999999</v>
      </c>
      <c r="D8" s="16">
        <f>'MeOH FU 0.72'!$L8</f>
        <v>7014.6634000000004</v>
      </c>
      <c r="E8" s="16">
        <f>'MeOH FU 0.73'!$L8</f>
        <v>6995.326</v>
      </c>
      <c r="F8" s="16">
        <f>'MeOH FU 0.74'!$L8</f>
        <v>6975.7138000000004</v>
      </c>
      <c r="G8" s="16">
        <f>'MeOH FU 0.75'!$L8</f>
        <v>6955.8073999999997</v>
      </c>
      <c r="H8" s="16">
        <f>'MeOH FU 0.76'!$L8</f>
        <v>6935.585</v>
      </c>
      <c r="I8" s="16">
        <f>'MeOH FU 0.77'!$L8</f>
        <v>6915.0230000000001</v>
      </c>
      <c r="J8" s="16">
        <f>'MeOH FU 0.78'!$L8</f>
        <v>6894.0947999999999</v>
      </c>
      <c r="K8" s="16">
        <f>'MeOH FU 0.79'!$L8</f>
        <v>6872.7709999999997</v>
      </c>
      <c r="L8" s="16">
        <f>'MeOH FU 0.8'!$L8</f>
        <v>6851.0186000000003</v>
      </c>
      <c r="M8" s="16">
        <f>'MeOH FU 0.81'!$L8</f>
        <v>6828.8001999999997</v>
      </c>
      <c r="N8" s="16">
        <f>'MeOH FU 0.82'!$L8</f>
        <v>6806.0735999999997</v>
      </c>
      <c r="O8" s="16">
        <f>'MeOH FU 0.83'!$L8</f>
        <v>6782.7903999999999</v>
      </c>
      <c r="P8" s="16">
        <f>'MeOH FU 0.84'!$L8</f>
        <v>6758.9733999999999</v>
      </c>
      <c r="Q8" s="16">
        <f>'MeOH FU 0.85'!$L8</f>
        <v>6734.4152999999997</v>
      </c>
    </row>
    <row r="9" spans="1:17" x14ac:dyDescent="0.25">
      <c r="A9">
        <f>'MeOH FU 0.7'!A9</f>
        <v>0.67</v>
      </c>
      <c r="B9" s="16">
        <f>'MeOH FU 0.7'!$L9</f>
        <v>6819.0861999999997</v>
      </c>
      <c r="C9" s="16">
        <f>'MeOH FU 0.71'!$L9</f>
        <v>6800.1625999999997</v>
      </c>
      <c r="D9" s="16">
        <f>'MeOH FU 0.72'!$L9</f>
        <v>6780.9943999999996</v>
      </c>
      <c r="E9" s="16">
        <f>'MeOH FU 0.73'!$L9</f>
        <v>6761.5648000000001</v>
      </c>
      <c r="F9" s="16">
        <f>'MeOH FU 0.74'!$L9</f>
        <v>6741.8554999999997</v>
      </c>
      <c r="G9" s="16">
        <f>'MeOH FU 0.75'!$L9</f>
        <v>6721.8464999999997</v>
      </c>
      <c r="H9" s="16">
        <f>'MeOH FU 0.76'!$L9</f>
        <v>6701.5158000000001</v>
      </c>
      <c r="I9" s="16">
        <f>'MeOH FU 0.77'!$L9</f>
        <v>6680.8388999999997</v>
      </c>
      <c r="J9" s="16">
        <f>'MeOH FU 0.78'!$L9</f>
        <v>6659.7888000000003</v>
      </c>
      <c r="K9" s="16">
        <f>'MeOH FU 0.79'!$L9</f>
        <v>6638.3352999999997</v>
      </c>
      <c r="L9" s="16">
        <f>'MeOH FU 0.8'!$L9</f>
        <v>6616.4444000000003</v>
      </c>
      <c r="M9" s="16">
        <f>'MeOH FU 0.81'!$L9</f>
        <v>6594.0779000000002</v>
      </c>
      <c r="N9" s="16">
        <f>'MeOH FU 0.82'!$L9</f>
        <v>6571.1922999999997</v>
      </c>
      <c r="O9" s="16">
        <f>'MeOH FU 0.83'!$L9</f>
        <v>6547.7377999999999</v>
      </c>
      <c r="P9" s="16">
        <f>'MeOH FU 0.84'!$L9</f>
        <v>6523.7380000000003</v>
      </c>
      <c r="Q9" s="16">
        <f>'MeOH FU 0.85'!$L9</f>
        <v>6498.9795000000004</v>
      </c>
    </row>
    <row r="10" spans="1:17" x14ac:dyDescent="0.25">
      <c r="A10">
        <f>'MeOH FU 0.7'!A10</f>
        <v>0.68</v>
      </c>
      <c r="B10" s="16">
        <f>'MeOH FU 0.7'!$L10</f>
        <v>6585.4362000000001</v>
      </c>
      <c r="C10" s="16">
        <f>'MeOH FU 0.71'!$L10</f>
        <v>6566.4225999999999</v>
      </c>
      <c r="D10" s="16">
        <f>'MeOH FU 0.72'!$L10</f>
        <v>6547.1597000000002</v>
      </c>
      <c r="E10" s="16">
        <f>'MeOH FU 0.73'!$L10</f>
        <v>6527.6304</v>
      </c>
      <c r="F10" s="16">
        <f>'MeOH FU 0.74'!$L10</f>
        <v>6507.8161</v>
      </c>
      <c r="G10" s="16">
        <f>'MeOH FU 0.75'!$L10</f>
        <v>6487.6961000000001</v>
      </c>
      <c r="H10" s="16">
        <f>'MeOH FU 0.76'!$L10</f>
        <v>6467.2479000000003</v>
      </c>
      <c r="I10" s="16">
        <f>'MeOH FU 0.77'!$L10</f>
        <v>6446.4466000000002</v>
      </c>
      <c r="J10" s="16">
        <f>'MeOH FU 0.78'!$L10</f>
        <v>6425.2641999999996</v>
      </c>
      <c r="K10" s="16">
        <f>'MeOH FU 0.79'!$L10</f>
        <v>6403.6697999999997</v>
      </c>
      <c r="L10" s="16">
        <f>'MeOH FU 0.8'!$L10</f>
        <v>6381.6283999999996</v>
      </c>
      <c r="M10" s="16">
        <f>'MeOH FU 0.81'!$L10</f>
        <v>6359.1008000000002</v>
      </c>
      <c r="N10" s="16">
        <f>'MeOH FU 0.82'!$L10</f>
        <v>6336.0420999999997</v>
      </c>
      <c r="O10" s="16">
        <f>'MeOH FU 0.83'!$L10</f>
        <v>6312.4722000000002</v>
      </c>
      <c r="P10" s="16">
        <f>'MeOH FU 0.84'!$L10</f>
        <v>6288.2019</v>
      </c>
      <c r="Q10" s="16">
        <f>'MeOH FU 0.85'!$L10</f>
        <v>6263.2244000000001</v>
      </c>
    </row>
    <row r="11" spans="1:17" x14ac:dyDescent="0.25">
      <c r="A11">
        <f>'MeOH FU 0.7'!A11</f>
        <v>0.69</v>
      </c>
      <c r="B11" s="16">
        <f>'MeOH FU 0.7'!$L11</f>
        <v>6351.6174000000001</v>
      </c>
      <c r="C11" s="16">
        <f>'MeOH FU 0.71'!$L11</f>
        <v>6332.5061999999998</v>
      </c>
      <c r="D11" s="16">
        <f>'MeOH FU 0.72'!$L11</f>
        <v>6313.1406999999999</v>
      </c>
      <c r="E11" s="16">
        <f>'MeOH FU 0.73'!$L11</f>
        <v>6293.5033000000003</v>
      </c>
      <c r="F11" s="16">
        <f>'MeOH FU 0.74'!$L11</f>
        <v>6273.5748999999996</v>
      </c>
      <c r="G11" s="16">
        <f>'MeOH FU 0.75'!$L11</f>
        <v>6253.3343999999997</v>
      </c>
      <c r="H11" s="16">
        <f>'MeOH FU 0.76'!$L11</f>
        <v>6232.7586000000001</v>
      </c>
      <c r="I11" s="16">
        <f>'MeOH FU 0.77'!$L11</f>
        <v>6211.8217999999997</v>
      </c>
      <c r="J11" s="16">
        <f>'MeOH FU 0.78'!$L11</f>
        <v>6190.4953999999998</v>
      </c>
      <c r="K11" s="16">
        <f>'MeOH FU 0.79'!$L11</f>
        <v>6168.7475000000004</v>
      </c>
      <c r="L11" s="16">
        <f>'MeOH FU 0.8'!$L11</f>
        <v>6146.5420999999997</v>
      </c>
      <c r="M11" s="16">
        <f>'MeOH FU 0.81'!$L11</f>
        <v>6123.8386</v>
      </c>
      <c r="N11" s="16">
        <f>'MeOH FU 0.82'!$L11</f>
        <v>6100.5906999999997</v>
      </c>
      <c r="O11" s="16">
        <f>'MeOH FU 0.83'!$L11</f>
        <v>6076.8190000000004</v>
      </c>
      <c r="P11" s="16">
        <f>'MeOH FU 0.84'!$L11</f>
        <v>6052.3280000000004</v>
      </c>
      <c r="Q11" s="16">
        <f>'MeOH FU 0.85'!$L11</f>
        <v>6027.1104999999998</v>
      </c>
    </row>
    <row r="12" spans="1:17" x14ac:dyDescent="0.25">
      <c r="A12">
        <f>'MeOH FU 0.7'!A12</f>
        <v>0.7</v>
      </c>
      <c r="B12" s="16">
        <f>'MeOH FU 0.7'!$L12</f>
        <v>6117.6104999999998</v>
      </c>
      <c r="C12" s="16">
        <f>'MeOH FU 0.71'!$L12</f>
        <v>6098.3932000000004</v>
      </c>
      <c r="D12" s="16">
        <f>'MeOH FU 0.72'!$L12</f>
        <v>6078.9161000000004</v>
      </c>
      <c r="E12" s="16">
        <f>'MeOH FU 0.73'!$L12</f>
        <v>6059.1610000000001</v>
      </c>
      <c r="F12" s="16">
        <f>'MeOH FU 0.74'!$L12</f>
        <v>6039.1082999999999</v>
      </c>
      <c r="G12" s="16">
        <f>'MeOH FU 0.75'!$L12</f>
        <v>6018.7363999999998</v>
      </c>
      <c r="H12" s="16">
        <f>'MeOH FU 0.76'!$L12</f>
        <v>5998.0213000000003</v>
      </c>
      <c r="I12" s="16">
        <f>'MeOH FU 0.77'!$L12</f>
        <v>5976.9366</v>
      </c>
      <c r="J12" s="16">
        <f>'MeOH FU 0.78'!$L12</f>
        <v>5955.4528</v>
      </c>
      <c r="K12" s="16">
        <f>'MeOH FU 0.79'!$L12</f>
        <v>5933.5369000000001</v>
      </c>
      <c r="L12" s="16">
        <f>'MeOH FU 0.8'!$L12</f>
        <v>5911.1518999999998</v>
      </c>
      <c r="M12" s="16">
        <f>'MeOH FU 0.81'!$L12</f>
        <v>5888.2556000000004</v>
      </c>
      <c r="N12" s="16">
        <f>'MeOH FU 0.82'!$L12</f>
        <v>5864.8657000000003</v>
      </c>
      <c r="O12" s="16">
        <f>'MeOH FU 0.83'!$L12</f>
        <v>5840.8068000000003</v>
      </c>
      <c r="P12" s="16">
        <f>'MeOH FU 0.84'!$L12</f>
        <v>5816.0730000000003</v>
      </c>
      <c r="Q12" s="16">
        <f>'MeOH FU 0.85'!$L12</f>
        <v>5790.5909000000001</v>
      </c>
    </row>
    <row r="13" spans="1:17" x14ac:dyDescent="0.25">
      <c r="A13">
        <f>'MeOH FU 0.7'!A13</f>
        <v>0.71</v>
      </c>
      <c r="B13" s="16">
        <f>'MeOH FU 0.7'!$L13</f>
        <v>5883.3927000000003</v>
      </c>
      <c r="C13" s="16">
        <f>'MeOH FU 0.71'!$L13</f>
        <v>5864.0596999999998</v>
      </c>
      <c r="D13" s="16">
        <f>'MeOH FU 0.72'!$L13</f>
        <v>5844.4606000000003</v>
      </c>
      <c r="E13" s="16">
        <f>'MeOH FU 0.73'!$L13</f>
        <v>5824.5770000000002</v>
      </c>
      <c r="F13" s="16">
        <f>'MeOH FU 0.74'!$L13</f>
        <v>5804.3883999999998</v>
      </c>
      <c r="G13" s="16">
        <f>'MeOH FU 0.75'!$L13</f>
        <v>5783.8725999999997</v>
      </c>
      <c r="H13" s="16">
        <f>'MeOH FU 0.76'!$L13</f>
        <v>5763.0050000000001</v>
      </c>
      <c r="I13" s="16">
        <f>'MeOH FU 0.77'!$L13</f>
        <v>5741.7581</v>
      </c>
      <c r="J13" s="16">
        <f>'MeOH FU 0.78'!$L13</f>
        <v>5720.1014999999998</v>
      </c>
      <c r="K13" s="16">
        <f>'MeOH FU 0.79'!$L13</f>
        <v>5698.0011999999997</v>
      </c>
      <c r="L13" s="16">
        <f>'MeOH FU 0.8'!$L13</f>
        <v>5675.4184999999998</v>
      </c>
      <c r="M13" s="16">
        <f>'MeOH FU 0.81'!$L13</f>
        <v>5652.3099000000002</v>
      </c>
      <c r="N13" s="16">
        <f>'MeOH FU 0.82'!$L13</f>
        <v>5628.6935000000003</v>
      </c>
      <c r="O13" s="16">
        <f>'MeOH FU 0.83'!$L13</f>
        <v>5604.3876</v>
      </c>
      <c r="P13" s="16">
        <f>'MeOH FU 0.84'!$L13</f>
        <v>5579.3854000000001</v>
      </c>
      <c r="Q13" s="16">
        <f>'MeOH FU 0.85'!$L13</f>
        <v>5553.6103000000003</v>
      </c>
    </row>
    <row r="14" spans="1:17" x14ac:dyDescent="0.25">
      <c r="A14">
        <f>'MeOH FU 0.7'!A14</f>
        <v>0.72</v>
      </c>
      <c r="B14" s="16">
        <f>'MeOH FU 0.7'!$L14</f>
        <v>5648.9377999999997</v>
      </c>
      <c r="C14" s="16">
        <f>'MeOH FU 0.71'!$L14</f>
        <v>5629.4778999999999</v>
      </c>
      <c r="D14" s="16">
        <f>'MeOH FU 0.72'!$L14</f>
        <v>5609.7452000000003</v>
      </c>
      <c r="E14" s="16">
        <f>'MeOH FU 0.73'!$L14</f>
        <v>5589.7203</v>
      </c>
      <c r="F14" s="16">
        <f>'MeOH FU 0.74'!$L14</f>
        <v>5569.3824999999997</v>
      </c>
      <c r="G14" s="16">
        <f>'MeOH FU 0.75'!$L14</f>
        <v>5548.7085999999999</v>
      </c>
      <c r="H14" s="16">
        <f>'MeOH FU 0.76'!$L14</f>
        <v>5527.6729999999998</v>
      </c>
      <c r="I14" s="16">
        <f>'MeOH FU 0.77'!$L14</f>
        <v>5506.2475000000004</v>
      </c>
      <c r="J14" s="16">
        <f>'MeOH FU 0.78'!$L14</f>
        <v>5484.4004999999997</v>
      </c>
      <c r="K14" s="16">
        <f>'MeOH FU 0.79'!$L14</f>
        <v>5462.0964000000004</v>
      </c>
      <c r="L14" s="16">
        <f>'MeOH FU 0.8'!$L14</f>
        <v>5439.2952999999998</v>
      </c>
      <c r="M14" s="16">
        <f>'MeOH FU 0.81'!$L14</f>
        <v>5416.0129999999999</v>
      </c>
      <c r="N14" s="16">
        <f>'MeOH FU 0.82'!$L14</f>
        <v>5392.0844999999999</v>
      </c>
      <c r="O14" s="16">
        <f>'MeOH FU 0.83'!$L14</f>
        <v>5367.5042999999996</v>
      </c>
      <c r="P14" s="16">
        <f>'MeOH FU 0.84'!$L14</f>
        <v>5342.2037</v>
      </c>
      <c r="Q14" s="16">
        <f>'MeOH FU 0.85'!$L14</f>
        <v>5316.1022000000003</v>
      </c>
    </row>
    <row r="15" spans="1:17" x14ac:dyDescent="0.25">
      <c r="A15">
        <f>'MeOH FU 0.7'!A15</f>
        <v>0.73</v>
      </c>
      <c r="B15" s="16">
        <f>'MeOH FU 0.7'!$L15</f>
        <v>5414.2143999999998</v>
      </c>
      <c r="C15" s="16">
        <f>'MeOH FU 0.71'!$L15</f>
        <v>5394.6149999999998</v>
      </c>
      <c r="D15" s="16">
        <f>'MeOH FU 0.72'!$L15</f>
        <v>5374.7349000000004</v>
      </c>
      <c r="E15" s="16">
        <f>'MeOH FU 0.73'!$L15</f>
        <v>5354.5545000000002</v>
      </c>
      <c r="F15" s="16">
        <f>'MeOH FU 0.74'!$L15</f>
        <v>5334.0519000000004</v>
      </c>
      <c r="G15" s="16">
        <f>'MeOH FU 0.75'!$L15</f>
        <v>5313.2031999999999</v>
      </c>
      <c r="H15" s="16">
        <f>'MeOH FU 0.76'!$L15</f>
        <v>5291.982</v>
      </c>
      <c r="I15" s="16">
        <f>'MeOH FU 0.77'!$L15</f>
        <v>5270.3588</v>
      </c>
      <c r="J15" s="16">
        <f>'MeOH FU 0.78'!$L15</f>
        <v>5248.3005999999996</v>
      </c>
      <c r="K15" s="16">
        <f>'MeOH FU 0.79'!$L15</f>
        <v>5225.7704000000003</v>
      </c>
      <c r="L15" s="16">
        <f>'MeOH FU 0.8'!$L15</f>
        <v>5202.7264999999998</v>
      </c>
      <c r="M15" s="16">
        <f>'MeOH FU 0.81'!$L15</f>
        <v>5179.1853000000001</v>
      </c>
      <c r="N15" s="16">
        <f>'MeOH FU 0.82'!$L15</f>
        <v>5154.9746999999998</v>
      </c>
      <c r="O15" s="16">
        <f>'MeOH FU 0.83'!$L15</f>
        <v>5130.0883999999996</v>
      </c>
      <c r="P15" s="16">
        <f>'MeOH FU 0.84'!$L15</f>
        <v>5104.4539999999997</v>
      </c>
      <c r="Q15" s="16">
        <f>'MeOH FU 0.85'!$L15</f>
        <v>5077.9866000000002</v>
      </c>
    </row>
    <row r="16" spans="1:17" x14ac:dyDescent="0.25">
      <c r="A16">
        <f>'MeOH FU 0.7'!A16</f>
        <v>0.74</v>
      </c>
      <c r="B16" s="16">
        <f>'MeOH FU 0.7'!$L16</f>
        <v>5179.1857</v>
      </c>
      <c r="C16" s="16">
        <f>'MeOH FU 0.71'!$L16</f>
        <v>5159.4318000000003</v>
      </c>
      <c r="D16" s="16">
        <f>'MeOH FU 0.72'!$L16</f>
        <v>5139.3887000000004</v>
      </c>
      <c r="E16" s="16">
        <f>'MeOH FU 0.73'!$L16</f>
        <v>5119.0357999999997</v>
      </c>
      <c r="F16" s="16">
        <f>'MeOH FU 0.74'!$L16</f>
        <v>5098.3504000000003</v>
      </c>
      <c r="G16" s="16">
        <f>'MeOH FU 0.75'!$L16</f>
        <v>5077.3077000000003</v>
      </c>
      <c r="H16" s="16">
        <f>'MeOH FU 0.76'!$L16</f>
        <v>5055.88</v>
      </c>
      <c r="I16" s="16">
        <f>'MeOH FU 0.77'!$L16</f>
        <v>5034.0366000000004</v>
      </c>
      <c r="J16" s="16">
        <f>'MeOH FU 0.78'!$L16</f>
        <v>5011.7430000000004</v>
      </c>
      <c r="K16" s="16">
        <f>'MeOH FU 0.79'!$L16</f>
        <v>4988.9603999999999</v>
      </c>
      <c r="L16" s="16">
        <f>'MeOH FU 0.8'!$L16</f>
        <v>4965.7034999999996</v>
      </c>
      <c r="M16" s="16">
        <f>'MeOH FU 0.81'!$L16</f>
        <v>4941.8140999999996</v>
      </c>
      <c r="N16" s="16">
        <f>'MeOH FU 0.82'!$L16</f>
        <v>4917.2870000000003</v>
      </c>
      <c r="O16" s="16">
        <f>'MeOH FU 0.83'!$L16</f>
        <v>4892.0564999999997</v>
      </c>
      <c r="P16" s="16">
        <f>'MeOH FU 0.84'!$L16</f>
        <v>4866.0460000000003</v>
      </c>
      <c r="Q16" s="16">
        <f>'MeOH FU 0.85'!$L16</f>
        <v>4839.1656000000003</v>
      </c>
    </row>
    <row r="17" spans="1:17" x14ac:dyDescent="0.25">
      <c r="A17">
        <f>'MeOH FU 0.7'!A17</f>
        <v>0.75</v>
      </c>
      <c r="B17" s="16">
        <f>'MeOH FU 0.7'!$L17</f>
        <v>4943.8072000000002</v>
      </c>
      <c r="C17" s="16">
        <f>'MeOH FU 0.71'!$L17</f>
        <v>4923.8815000000004</v>
      </c>
      <c r="D17" s="16">
        <f>'MeOH FU 0.72'!$L17</f>
        <v>4903.6569</v>
      </c>
      <c r="E17" s="16">
        <f>'MeOH FU 0.73'!$L17</f>
        <v>4883.1117000000004</v>
      </c>
      <c r="F17" s="16">
        <f>'MeOH FU 0.74'!$L17</f>
        <v>4862.2223999999997</v>
      </c>
      <c r="G17" s="16">
        <f>'MeOH FU 0.75'!$L17</f>
        <v>4840.9628000000002</v>
      </c>
      <c r="H17" s="16">
        <f>'MeOH FU 0.76'!$L17</f>
        <v>4819.3041999999996</v>
      </c>
      <c r="I17" s="16">
        <f>'MeOH FU 0.77'!$L17</f>
        <v>4797.2141000000001</v>
      </c>
      <c r="J17" s="16">
        <f>'MeOH FU 0.78'!$L17</f>
        <v>4774.6562999999996</v>
      </c>
      <c r="K17" s="16">
        <f>'MeOH FU 0.79'!$L17</f>
        <v>4751.6439</v>
      </c>
      <c r="L17" s="16">
        <f>'MeOH FU 0.8'!$L17</f>
        <v>4728.0304999999998</v>
      </c>
      <c r="M17" s="16">
        <f>'MeOH FU 0.81'!$L17</f>
        <v>4703.8114999999998</v>
      </c>
      <c r="N17" s="16">
        <f>'MeOH FU 0.82'!$L17</f>
        <v>4678.9267</v>
      </c>
      <c r="O17" s="16">
        <f>'MeOH FU 0.83'!$L17</f>
        <v>4653.3064000000004</v>
      </c>
      <c r="P17" s="16">
        <f>'MeOH FU 0.84'!$L17</f>
        <v>4626.8689999999997</v>
      </c>
      <c r="Q17" s="16">
        <f>'MeOH FU 0.85'!$L17</f>
        <v>4599.5182000000004</v>
      </c>
    </row>
    <row r="18" spans="1:17" x14ac:dyDescent="0.25">
      <c r="A18">
        <f>'MeOH FU 0.7'!A18</f>
        <v>0.76</v>
      </c>
      <c r="B18" s="16">
        <f>'MeOH FU 0.7'!$L18</f>
        <v>4708.0253000000002</v>
      </c>
      <c r="C18" s="16">
        <f>'MeOH FU 0.71'!$L18</f>
        <v>4687.9075000000003</v>
      </c>
      <c r="D18" s="16">
        <f>'MeOH FU 0.72'!$L18</f>
        <v>4667.4794000000002</v>
      </c>
      <c r="E18" s="16">
        <f>'MeOH FU 0.73'!$L18</f>
        <v>4646.7184999999999</v>
      </c>
      <c r="F18" s="16">
        <f>'MeOH FU 0.74'!$L18</f>
        <v>4625.6000999999997</v>
      </c>
      <c r="G18" s="16">
        <f>'MeOH FU 0.75'!$L18</f>
        <v>4604.0965999999999</v>
      </c>
      <c r="H18" s="16">
        <f>'MeOH FU 0.76'!$L18</f>
        <v>4582.1777000000002</v>
      </c>
      <c r="I18" s="16">
        <f>'MeOH FU 0.77'!$L18</f>
        <v>4559.8092999999999</v>
      </c>
      <c r="J18" s="16">
        <f>'MeOH FU 0.78'!$L18</f>
        <v>4536.9529000000002</v>
      </c>
      <c r="K18" s="16">
        <f>'MeOH FU 0.79'!$L18</f>
        <v>4513.6221999999998</v>
      </c>
      <c r="L18" s="16">
        <f>'MeOH FU 0.8'!$L18</f>
        <v>4489.6628000000001</v>
      </c>
      <c r="M18" s="16">
        <f>'MeOH FU 0.81'!$L18</f>
        <v>4465.0690000000004</v>
      </c>
      <c r="N18" s="16">
        <f>'MeOH FU 0.82'!$L18</f>
        <v>4439.7766000000001</v>
      </c>
      <c r="O18" s="16">
        <f>'MeOH FU 0.83'!$L18</f>
        <v>4413.7109</v>
      </c>
      <c r="P18" s="16">
        <f>'MeOH FU 0.84'!$L18</f>
        <v>4386.7843999999996</v>
      </c>
      <c r="Q18" s="16">
        <f>'MeOH FU 0.85'!$L18</f>
        <v>4358.8932000000004</v>
      </c>
    </row>
    <row r="19" spans="1:17" x14ac:dyDescent="0.25">
      <c r="A19">
        <f>'MeOH FU 0.7'!A19</f>
        <v>0.77</v>
      </c>
      <c r="B19" s="16">
        <f>'MeOH FU 0.7'!$L19</f>
        <v>4471.7745999999997</v>
      </c>
      <c r="C19" s="16">
        <f>'MeOH FU 0.71'!$L19</f>
        <v>4451.4402</v>
      </c>
      <c r="D19" s="16">
        <f>'MeOH FU 0.72'!$L19</f>
        <v>4430.7825000000003</v>
      </c>
      <c r="E19" s="16">
        <f>'MeOH FU 0.73'!$L19</f>
        <v>4409.7779</v>
      </c>
      <c r="F19" s="16">
        <f>'MeOH FU 0.74'!$L19</f>
        <v>4388.4002</v>
      </c>
      <c r="G19" s="16">
        <f>'MeOH FU 0.75'!$L19</f>
        <v>4366.6202999999996</v>
      </c>
      <c r="H19" s="16">
        <f>'MeOH FU 0.76'!$L19</f>
        <v>4344.4058999999997</v>
      </c>
      <c r="I19" s="16">
        <f>'MeOH FU 0.77'!$L19</f>
        <v>4321.7206999999999</v>
      </c>
      <c r="J19" s="16">
        <f>'MeOH FU 0.78'!$L19</f>
        <v>4298.5771000000004</v>
      </c>
      <c r="K19" s="16">
        <f>'MeOH FU 0.79'!$L19</f>
        <v>4274.83</v>
      </c>
      <c r="L19" s="16">
        <f>'MeOH FU 0.8'!$L19</f>
        <v>4250.4745999999996</v>
      </c>
      <c r="M19" s="16">
        <f>'MeOH FU 0.81'!$L19</f>
        <v>4225.4507999999996</v>
      </c>
      <c r="N19" s="16">
        <f>'MeOH FU 0.82'!$L19</f>
        <v>4199.6894000000002</v>
      </c>
      <c r="O19" s="16">
        <f>'MeOH FU 0.83'!$L19</f>
        <v>4173.1098000000002</v>
      </c>
      <c r="P19" s="16">
        <f>'MeOH FU 0.84'!$L19</f>
        <v>4145.6170000000002</v>
      </c>
      <c r="Q19" s="16">
        <f>'MeOH FU 0.85'!$L19</f>
        <v>4117.0977999999996</v>
      </c>
    </row>
    <row r="20" spans="1:17" x14ac:dyDescent="0.25">
      <c r="A20">
        <f>'MeOH FU 0.7'!A20</f>
        <v>0.78</v>
      </c>
      <c r="B20" s="16">
        <f>'MeOH FU 0.7'!$L20</f>
        <v>4234.9741999999997</v>
      </c>
      <c r="C20" s="16">
        <f>'MeOH FU 0.71'!$L20</f>
        <v>4214.3937999999998</v>
      </c>
      <c r="D20" s="16">
        <f>'MeOH FU 0.72'!$L20</f>
        <v>4193.4750000000004</v>
      </c>
      <c r="E20" s="16">
        <f>'MeOH FU 0.73'!$L20</f>
        <v>4172.1926999999996</v>
      </c>
      <c r="F20" s="16">
        <f>'MeOH FU 0.74'!$L20</f>
        <v>4150.5190000000002</v>
      </c>
      <c r="G20" s="16">
        <f>'MeOH FU 0.75'!$L20</f>
        <v>4128.4229999999998</v>
      </c>
      <c r="H20" s="16">
        <f>'MeOH FU 0.76'!$L20</f>
        <v>4105.87</v>
      </c>
      <c r="I20" s="16">
        <f>'MeOH FU 0.77'!$L20</f>
        <v>4082.8712999999998</v>
      </c>
      <c r="J20" s="16">
        <f>'MeOH FU 0.78'!$L20</f>
        <v>4059.2896000000001</v>
      </c>
      <c r="K20" s="16">
        <f>'MeOH FU 0.79'!$L20</f>
        <v>4035.1201999999998</v>
      </c>
      <c r="L20" s="16">
        <f>'MeOH FU 0.8'!$L20</f>
        <v>4010.3067000000001</v>
      </c>
      <c r="M20" s="16">
        <f>'MeOH FU 0.81'!$L20</f>
        <v>3984.7840999999999</v>
      </c>
      <c r="N20" s="16">
        <f>'MeOH FU 0.82'!$L20</f>
        <v>3958.4771999999998</v>
      </c>
      <c r="O20" s="16">
        <f>'MeOH FU 0.83'!$L20</f>
        <v>3931.2975999999999</v>
      </c>
      <c r="P20" s="16">
        <f>'MeOH FU 0.84'!$L20</f>
        <v>3903.1410000000001</v>
      </c>
      <c r="Q20" s="16">
        <f>'MeOH FU 0.85'!$L20</f>
        <v>3873.8827999999999</v>
      </c>
    </row>
    <row r="21" spans="1:17" x14ac:dyDescent="0.25">
      <c r="A21">
        <f>'MeOH FU 0.7'!A21</f>
        <v>0.79</v>
      </c>
      <c r="B21" s="16">
        <f>'MeOH FU 0.7'!$L21</f>
        <v>3997.5228000000002</v>
      </c>
      <c r="C21" s="16">
        <f>'MeOH FU 0.71'!$L21</f>
        <v>3976.6605</v>
      </c>
      <c r="D21" s="16">
        <f>'MeOH FU 0.72'!$L21</f>
        <v>3955.4418999999998</v>
      </c>
      <c r="E21" s="16">
        <f>'MeOH FU 0.73'!$L21</f>
        <v>3933.8402000000001</v>
      </c>
      <c r="F21" s="16">
        <f>'MeOH FU 0.74'!$L21</f>
        <v>3911.8254000000002</v>
      </c>
      <c r="G21" s="16">
        <f>'MeOH FU 0.75'!$L21</f>
        <v>3889.3642</v>
      </c>
      <c r="H21" s="16">
        <f>'MeOH FU 0.76'!$L21</f>
        <v>3866.4668999999999</v>
      </c>
      <c r="I21" s="16">
        <f>'MeOH FU 0.77'!$L21</f>
        <v>3843.0021999999999</v>
      </c>
      <c r="J21" s="16">
        <f>'MeOH FU 0.78'!$L21</f>
        <v>3818.9657000000002</v>
      </c>
      <c r="K21" s="16">
        <f>'MeOH FU 0.79'!$L21</f>
        <v>3794.3035</v>
      </c>
      <c r="L21" s="16">
        <f>'MeOH FU 0.8'!$L21</f>
        <v>3768.9539</v>
      </c>
      <c r="M21" s="16">
        <f>'MeOH FU 0.81'!$L21</f>
        <v>3742.8456000000001</v>
      </c>
      <c r="N21" s="16">
        <f>'MeOH FU 0.82'!$L21</f>
        <v>3715.8953999999999</v>
      </c>
      <c r="O21" s="16">
        <f>'MeOH FU 0.83'!$L21</f>
        <v>3688.0056</v>
      </c>
      <c r="P21" s="16">
        <f>'MeOH FU 0.84'!$L21</f>
        <v>3659.0598</v>
      </c>
      <c r="Q21" s="16">
        <f>'MeOH FU 0.85'!$L21</f>
        <v>3628.9180999999999</v>
      </c>
    </row>
    <row r="22" spans="1:17" x14ac:dyDescent="0.25">
      <c r="A22">
        <f>'MeOH FU 0.7'!A22</f>
        <v>0.8</v>
      </c>
      <c r="B22" s="16">
        <f>'MeOH FU 0.7'!$L22</f>
        <v>3759.2919000000002</v>
      </c>
      <c r="C22" s="16">
        <f>'MeOH FU 0.71'!$L22</f>
        <v>3738.1030000000001</v>
      </c>
      <c r="D22" s="16">
        <f>'MeOH FU 0.72'!$L22</f>
        <v>3716.5365000000002</v>
      </c>
      <c r="E22" s="16">
        <f>'MeOH FU 0.73'!$L22</f>
        <v>3694.5632999999998</v>
      </c>
      <c r="F22" s="16">
        <f>'MeOH FU 0.74'!$L22</f>
        <v>3672.1507999999999</v>
      </c>
      <c r="G22" s="16">
        <f>'MeOH FU 0.75'!$L22</f>
        <v>3649.3085999999998</v>
      </c>
      <c r="H22" s="16">
        <f>'MeOH FU 0.76'!$L22</f>
        <v>3625.91</v>
      </c>
      <c r="I22" s="16">
        <f>'MeOH FU 0.77'!$L22</f>
        <v>3601.9503</v>
      </c>
      <c r="J22" s="16">
        <f>'MeOH FU 0.78'!$L22</f>
        <v>3577.3775999999998</v>
      </c>
      <c r="K22" s="16">
        <f>'MeOH FU 0.79'!$L22</f>
        <v>3552.1325000000002</v>
      </c>
      <c r="L22" s="16">
        <f>'MeOH FU 0.8'!$L22</f>
        <v>3526.1464000000001</v>
      </c>
      <c r="M22" s="16">
        <f>'MeOH FU 0.81'!$L22</f>
        <v>3499.3397</v>
      </c>
      <c r="N22" s="16">
        <f>'MeOH FU 0.82'!$L22</f>
        <v>3471.6192999999998</v>
      </c>
      <c r="O22" s="16">
        <f>'MeOH FU 0.83'!$L22</f>
        <v>3442.8746000000001</v>
      </c>
      <c r="P22" s="16">
        <f>'MeOH FU 0.84'!$L22</f>
        <v>3412.9735999999998</v>
      </c>
      <c r="Q22" s="16">
        <f>'MeOH FU 0.85'!$L22</f>
        <v>3381.7557999999999</v>
      </c>
    </row>
    <row r="23" spans="1:17" x14ac:dyDescent="0.25">
      <c r="A23">
        <f>'MeOH FU 0.7'!A23</f>
        <v>0.81</v>
      </c>
      <c r="B23" s="16">
        <f>'MeOH FU 0.7'!$L23</f>
        <v>3520.1149999999998</v>
      </c>
      <c r="C23" s="16">
        <f>'MeOH FU 0.71'!$L23</f>
        <v>3498.5432999999998</v>
      </c>
      <c r="D23" s="16">
        <f>'MeOH FU 0.72'!$L23</f>
        <v>3476.5680000000002</v>
      </c>
      <c r="E23" s="16">
        <f>'MeOH FU 0.73'!$L23</f>
        <v>3454.1570000000002</v>
      </c>
      <c r="F23" s="16">
        <f>'MeOH FU 0.74'!$L23</f>
        <v>3431.3193000000001</v>
      </c>
      <c r="G23" s="16">
        <f>'MeOH FU 0.75'!$L23</f>
        <v>3407.9308000000001</v>
      </c>
      <c r="H23" s="16">
        <f>'MeOH FU 0.76'!$L23</f>
        <v>3383.9870000000001</v>
      </c>
      <c r="I23" s="16">
        <f>'MeOH FU 0.77'!$L23</f>
        <v>3359.4367999999999</v>
      </c>
      <c r="J23" s="16">
        <f>'MeOH FU 0.78'!$L23</f>
        <v>3334.2221</v>
      </c>
      <c r="K23" s="16">
        <f>'MeOH FU 0.79'!$L23</f>
        <v>3308.2759999999998</v>
      </c>
      <c r="L23" s="16">
        <f>'MeOH FU 0.8'!$L23</f>
        <v>3281.5209</v>
      </c>
      <c r="M23" s="16">
        <f>'MeOH FU 0.81'!$L23</f>
        <v>3253.8665000000001</v>
      </c>
      <c r="N23" s="16">
        <f>'MeOH FU 0.82'!$L23</f>
        <v>3225.2057</v>
      </c>
      <c r="O23" s="16">
        <f>'MeOH FU 0.83'!$L23</f>
        <v>3195.4110000000001</v>
      </c>
      <c r="P23" s="16">
        <f>'MeOH FU 0.84'!$L23</f>
        <v>3164.3283000000001</v>
      </c>
      <c r="Q23" s="16">
        <f>'MeOH FU 0.85'!$L23</f>
        <v>3131.8031999999998</v>
      </c>
    </row>
    <row r="24" spans="1:17" x14ac:dyDescent="0.25">
      <c r="A24">
        <f>'MeOH FU 0.7'!A24</f>
        <v>0.82</v>
      </c>
      <c r="B24" s="16">
        <f>'MeOH FU 0.7'!$L24</f>
        <v>3279.7728000000002</v>
      </c>
      <c r="C24" s="16">
        <f>'MeOH FU 0.71'!$L24</f>
        <v>3257.7460000000001</v>
      </c>
      <c r="D24" s="16">
        <f>'MeOH FU 0.72'!$L24</f>
        <v>3235.3226</v>
      </c>
      <c r="E24" s="16">
        <f>'MeOH FU 0.73'!$L24</f>
        <v>3212.3919999999998</v>
      </c>
      <c r="F24" s="16">
        <f>'MeOH FU 0.74'!$L24</f>
        <v>3188.9506000000001</v>
      </c>
      <c r="G24" s="16">
        <f>'MeOH FU 0.75'!$L24</f>
        <v>3164.9535999999998</v>
      </c>
      <c r="H24" s="16">
        <f>'MeOH FU 0.76'!$L24</f>
        <v>3140.3503000000001</v>
      </c>
      <c r="I24" s="16">
        <f>'MeOH FU 0.77'!$L24</f>
        <v>3115.0826000000002</v>
      </c>
      <c r="J24" s="16">
        <f>'MeOH FU 0.78'!$L24</f>
        <v>3089.0841999999998</v>
      </c>
      <c r="K24" s="16">
        <f>'MeOH FU 0.79'!$L24</f>
        <v>3062.2779999999998</v>
      </c>
      <c r="L24" s="16">
        <f>'MeOH FU 0.8'!$L24</f>
        <v>3034.5742</v>
      </c>
      <c r="M24" s="16">
        <f>'MeOH FU 0.81'!$L24</f>
        <v>3005.8670000000002</v>
      </c>
      <c r="N24" s="16">
        <f>'MeOH FU 0.82'!$L24</f>
        <v>2976.0304000000001</v>
      </c>
      <c r="O24" s="16">
        <f>'MeOH FU 0.83'!$L24</f>
        <v>2944.9123</v>
      </c>
      <c r="P24" s="16">
        <f>'MeOH FU 0.84'!$L24</f>
        <v>2912.3602999999998</v>
      </c>
      <c r="Q24" s="16">
        <f>'MeOH FU 0.85'!$L24</f>
        <v>2878.0866999999998</v>
      </c>
    </row>
    <row r="25" spans="1:17" x14ac:dyDescent="0.25">
      <c r="A25">
        <f>'MeOH FU 0.7'!A25</f>
        <v>0.83</v>
      </c>
      <c r="B25" s="16">
        <f>'MeOH FU 0.7'!$L25</f>
        <v>3037.9692</v>
      </c>
      <c r="C25" s="16">
        <f>'MeOH FU 0.71'!$L25</f>
        <v>3015.4308999999998</v>
      </c>
      <c r="D25" s="16">
        <f>'MeOH FU 0.72'!$L25</f>
        <v>2992.3797</v>
      </c>
      <c r="E25" s="16">
        <f>'MeOH FU 0.73'!$L25</f>
        <v>2968.8112000000001</v>
      </c>
      <c r="F25" s="16">
        <f>'MeOH FU 0.74'!$L25</f>
        <v>2944.6801</v>
      </c>
      <c r="G25" s="16">
        <f>'MeOH FU 0.75'!$L25</f>
        <v>2919.9346</v>
      </c>
      <c r="H25" s="16">
        <f>'MeOH FU 0.76'!$L25</f>
        <v>2894.5160000000001</v>
      </c>
      <c r="I25" s="16">
        <f>'MeOH FU 0.77'!$L25</f>
        <v>2868.3566000000001</v>
      </c>
      <c r="J25" s="16">
        <f>'MeOH FU 0.78'!$L25</f>
        <v>2841.3782999999999</v>
      </c>
      <c r="K25" s="16">
        <f>'MeOH FU 0.79'!$L25</f>
        <v>2813.4897000000001</v>
      </c>
      <c r="L25" s="16">
        <f>'MeOH FU 0.8'!$L25</f>
        <v>2784.5832999999998</v>
      </c>
      <c r="M25" s="16">
        <f>'MeOH FU 0.81'!$L25</f>
        <v>2754.5308</v>
      </c>
      <c r="N25" s="16">
        <f>'MeOH FU 0.82'!$L25</f>
        <v>2723.2044000000001</v>
      </c>
      <c r="O25" s="16">
        <f>'MeOH FU 0.83'!$L25</f>
        <v>2690.3687</v>
      </c>
      <c r="P25" s="16">
        <f>'MeOH FU 0.84'!$L25</f>
        <v>2655.8117999999999</v>
      </c>
      <c r="Q25" s="16">
        <f>'MeOH FU 0.85'!$L25</f>
        <v>2619.2379999999998</v>
      </c>
    </row>
    <row r="26" spans="1:17" x14ac:dyDescent="0.25">
      <c r="A26">
        <f>'MeOH FU 0.7'!A26</f>
        <v>0.84</v>
      </c>
      <c r="B26" s="16">
        <f>'MeOH FU 0.7'!$L26</f>
        <v>2794.3326000000002</v>
      </c>
      <c r="C26" s="16">
        <f>'MeOH FU 0.71'!$L26</f>
        <v>2771.0778</v>
      </c>
      <c r="D26" s="16">
        <f>'MeOH FU 0.72'!$L26</f>
        <v>2747.2916</v>
      </c>
      <c r="E26" s="16">
        <f>'MeOH FU 0.73'!$L26</f>
        <v>2722.9268999999999</v>
      </c>
      <c r="F26" s="16">
        <f>'MeOH FU 0.74'!$L26</f>
        <v>2697.93</v>
      </c>
      <c r="G26" s="16">
        <f>'MeOH FU 0.75'!$L26</f>
        <v>2672.2395999999999</v>
      </c>
      <c r="H26" s="16">
        <f>'MeOH FU 0.76'!$L26</f>
        <v>2645.7851999999998</v>
      </c>
      <c r="I26" s="16">
        <f>'MeOH FU 0.77'!$L26</f>
        <v>2618.4850000000001</v>
      </c>
      <c r="J26" s="16">
        <f>'MeOH FU 0.78'!$L26</f>
        <v>2590.2433999999998</v>
      </c>
      <c r="K26" s="16">
        <f>'MeOH FU 0.79'!$L26</f>
        <v>2560.9472999999998</v>
      </c>
      <c r="L26" s="16">
        <f>'MeOH FU 0.8'!$L26</f>
        <v>2530.4616999999998</v>
      </c>
      <c r="M26" s="16">
        <f>'MeOH FU 0.81'!$L26</f>
        <v>2498.6513</v>
      </c>
      <c r="N26" s="16">
        <f>'MeOH FU 0.82'!$L26</f>
        <v>2465.2678999999998</v>
      </c>
      <c r="O26" s="16">
        <f>'MeOH FU 0.83'!$L26</f>
        <v>2430.0853000000002</v>
      </c>
      <c r="P26" s="16">
        <f>'MeOH FU 0.84'!$L26</f>
        <v>2392.7876999999999</v>
      </c>
      <c r="Q26" s="16">
        <f>'MeOH FU 0.85'!$L26</f>
        <v>2352.9643000000001</v>
      </c>
    </row>
    <row r="27" spans="1:17" x14ac:dyDescent="0.25">
      <c r="A27">
        <f>'MeOH FU 0.7'!A27</f>
        <v>0.85</v>
      </c>
      <c r="B27" s="16">
        <f>'MeOH FU 0.7'!$L27</f>
        <v>2548.1968000000002</v>
      </c>
      <c r="C27" s="16">
        <f>'MeOH FU 0.71'!$L27</f>
        <v>2524.0771</v>
      </c>
      <c r="D27" s="16">
        <f>'MeOH FU 0.72'!$L27</f>
        <v>2499.3514</v>
      </c>
      <c r="E27" s="16">
        <f>'MeOH FU 0.73'!$L27</f>
        <v>2473.9621999999999</v>
      </c>
      <c r="F27" s="16">
        <f>'MeOH FU 0.74'!$L27</f>
        <v>2447.8436000000002</v>
      </c>
      <c r="G27" s="16">
        <f>'MeOH FU 0.75'!$L27</f>
        <v>2420.9194000000002</v>
      </c>
      <c r="H27" s="16">
        <f>'MeOH FU 0.76'!$L27</f>
        <v>2393.1010000000001</v>
      </c>
      <c r="I27" s="16">
        <f>'MeOH FU 0.77'!$L27</f>
        <v>2364.2842000000001</v>
      </c>
      <c r="J27" s="16">
        <f>'MeOH FU 0.78'!$L27</f>
        <v>2334.3454000000002</v>
      </c>
      <c r="K27" s="16">
        <f>'MeOH FU 0.79'!$L27</f>
        <v>2303.1601999999998</v>
      </c>
      <c r="L27" s="16">
        <f>'MeOH FU 0.8'!$L27</f>
        <v>2270.5052000000001</v>
      </c>
      <c r="M27" s="16">
        <f>'MeOH FU 0.81'!$L27</f>
        <v>2236.1774</v>
      </c>
      <c r="N27" s="16">
        <f>'MeOH FU 0.82'!$L27</f>
        <v>2199.8966999999998</v>
      </c>
      <c r="O27" s="16">
        <f>'MeOH FU 0.83'!$L27</f>
        <v>2161.3029000000001</v>
      </c>
      <c r="P27" s="16">
        <f>'MeOH FU 0.84'!$L27</f>
        <v>2119.9216999999999</v>
      </c>
      <c r="Q27" s="16">
        <f>'MeOH FU 0.85'!$L27</f>
        <v>2075.1080999999999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7"/>
  <sheetViews>
    <sheetView workbookViewId="0">
      <selection activeCell="L19" sqref="L19:L27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>34.51544156</f>
        <v>34.515441559999999</v>
      </c>
      <c r="C2">
        <f>29.82851043</f>
        <v>29.828510430000001</v>
      </c>
      <c r="D2">
        <f>28.41442067</f>
        <v>28.414420669999998</v>
      </c>
      <c r="E2">
        <f>58.24293111</f>
        <v>58.242931110000001</v>
      </c>
      <c r="F2">
        <f>32.3865101</f>
        <v>32.386510100000002</v>
      </c>
      <c r="G2">
        <f>27.98867147</f>
        <v>27.98867147</v>
      </c>
      <c r="H2">
        <f>7.00977647</f>
        <v>7.0097764700000003</v>
      </c>
      <c r="I2">
        <f>34.99844794</f>
        <v>34.998447939999998</v>
      </c>
      <c r="J2">
        <f>154.60035</f>
        <v>154.60034999999999</v>
      </c>
      <c r="K2">
        <f>5.1549551</f>
        <v>5.1549550999999996</v>
      </c>
      <c r="L2">
        <f>8450.9882</f>
        <v>8450.9881999999998</v>
      </c>
    </row>
    <row r="3" spans="1:12" x14ac:dyDescent="0.25">
      <c r="A3">
        <f>0.61</f>
        <v>0.61</v>
      </c>
      <c r="B3">
        <f>35.09069892</f>
        <v>35.090698920000001</v>
      </c>
      <c r="C3">
        <f>30.47718983</f>
        <v>30.47718983</v>
      </c>
      <c r="D3">
        <f>28.25080045</f>
        <v>28.25080045</v>
      </c>
      <c r="E3">
        <f>58.72799028</f>
        <v>58.72799028</v>
      </c>
      <c r="F3">
        <f>32.92628527</f>
        <v>32.926285270000001</v>
      </c>
      <c r="G3">
        <f>28.59733996</f>
        <v>28.597339959999999</v>
      </c>
      <c r="H3">
        <f>6.983680484</f>
        <v>6.9836804839999997</v>
      </c>
      <c r="I3">
        <f>35.58102045</f>
        <v>35.581020449999997</v>
      </c>
      <c r="J3">
        <f>152.84653</f>
        <v>152.84653</v>
      </c>
      <c r="K3">
        <f>5.2379226</f>
        <v>5.2379226000000001</v>
      </c>
      <c r="L3">
        <f>8218.1493</f>
        <v>8218.1492999999991</v>
      </c>
    </row>
    <row r="4" spans="1:12" x14ac:dyDescent="0.25">
      <c r="A4">
        <f>0.62</f>
        <v>0.62</v>
      </c>
      <c r="B4">
        <f>35.66595627</f>
        <v>35.665956270000002</v>
      </c>
      <c r="C4">
        <f>31.12593644</f>
        <v>31.12593644</v>
      </c>
      <c r="D4">
        <f>28.08703193</f>
        <v>28.087031929999998</v>
      </c>
      <c r="E4">
        <f>59.21296836</f>
        <v>59.212968359999998</v>
      </c>
      <c r="F4">
        <f>33.46606043</f>
        <v>33.466060429999999</v>
      </c>
      <c r="G4">
        <f>29.20607152</f>
        <v>29.206071519999998</v>
      </c>
      <c r="H4">
        <f>6.957814785</f>
        <v>6.9578147850000001</v>
      </c>
      <c r="I4">
        <f>36.16388631</f>
        <v>36.163886310000002</v>
      </c>
      <c r="J4">
        <f>150.94908</f>
        <v>150.94908000000001</v>
      </c>
      <c r="K4">
        <f>5.3236841</f>
        <v>5.3236841000000004</v>
      </c>
      <c r="L4">
        <f>7985.2233</f>
        <v>7985.2232999999997</v>
      </c>
    </row>
    <row r="5" spans="1:12" x14ac:dyDescent="0.25">
      <c r="A5">
        <f>0.63</f>
        <v>0.63</v>
      </c>
      <c r="B5">
        <f>36.24121363</f>
        <v>36.241213629999997</v>
      </c>
      <c r="C5">
        <f>31.77475581</f>
        <v>31.774755809999998</v>
      </c>
      <c r="D5">
        <f>27.92310279</f>
        <v>27.923102790000002</v>
      </c>
      <c r="E5">
        <f>59.6978586</f>
        <v>59.697858600000004</v>
      </c>
      <c r="F5">
        <f>34.0058356</f>
        <v>34.005835599999997</v>
      </c>
      <c r="G5">
        <f>29.81487136</f>
        <v>29.814871360000001</v>
      </c>
      <c r="H5">
        <f>6.932189605</f>
        <v>6.9321896049999996</v>
      </c>
      <c r="I5">
        <f>36.74706097</f>
        <v>36.74706097</v>
      </c>
      <c r="J5">
        <f>148.90973</f>
        <v>148.90973</v>
      </c>
      <c r="K5">
        <f>5.4123899</f>
        <v>5.4123899</v>
      </c>
      <c r="L5">
        <f>7752.3041</f>
        <v>7752.3041000000003</v>
      </c>
    </row>
    <row r="6" spans="1:12" x14ac:dyDescent="0.25">
      <c r="A6">
        <f>0.64</f>
        <v>0.64</v>
      </c>
      <c r="B6">
        <f>36.81647099</f>
        <v>36.816470989999999</v>
      </c>
      <c r="C6">
        <f>32.42365599</f>
        <v>32.42365599</v>
      </c>
      <c r="D6">
        <f>27.75899522</f>
        <v>27.758995219999999</v>
      </c>
      <c r="E6">
        <f>60.18265121</f>
        <v>60.182651210000003</v>
      </c>
      <c r="F6">
        <f>34.54561077</f>
        <v>34.545610770000003</v>
      </c>
      <c r="G6">
        <f>30.42374702</f>
        <v>30.42374702</v>
      </c>
      <c r="H6">
        <f>6.906815183</f>
        <v>6.906815183</v>
      </c>
      <c r="I6">
        <f>37.3305622</f>
        <v>37.330562200000003</v>
      </c>
      <c r="J6">
        <f>146.72437</f>
        <v>146.72436999999999</v>
      </c>
      <c r="K6">
        <f>5.5042045</f>
        <v>5.5042045000000002</v>
      </c>
      <c r="L6">
        <f>7519.1812</f>
        <v>7519.1812</v>
      </c>
    </row>
    <row r="7" spans="1:12" x14ac:dyDescent="0.25">
      <c r="A7">
        <f>0.65</f>
        <v>0.65</v>
      </c>
      <c r="B7">
        <f>37.39172835</f>
        <v>37.391728350000001</v>
      </c>
      <c r="C7">
        <f>33.07264426</f>
        <v>33.072644259999997</v>
      </c>
      <c r="D7">
        <f>27.59469306</f>
        <v>27.594693060000001</v>
      </c>
      <c r="E7">
        <f>60.66733732</f>
        <v>60.667337320000001</v>
      </c>
      <c r="F7">
        <f>35.08538594</f>
        <v>35.085385940000002</v>
      </c>
      <c r="G7">
        <f>31.03270533</f>
        <v>31.032705329999999</v>
      </c>
      <c r="H7">
        <f>6.881702973</f>
        <v>6.8817029730000003</v>
      </c>
      <c r="I7">
        <f>37.9144083</f>
        <v>37.914408299999998</v>
      </c>
      <c r="J7">
        <f>144.39461</f>
        <v>144.39461</v>
      </c>
      <c r="K7">
        <f>5.5993034</f>
        <v>5.5993034000000002</v>
      </c>
      <c r="L7">
        <f>7285.9451</f>
        <v>7285.9450999999999</v>
      </c>
    </row>
    <row r="8" spans="1:12" x14ac:dyDescent="0.25">
      <c r="A8">
        <f>0.66</f>
        <v>0.66</v>
      </c>
      <c r="B8">
        <f>37.96698571</f>
        <v>37.966985710000003</v>
      </c>
      <c r="C8">
        <f>33.7217295</f>
        <v>33.721729500000002</v>
      </c>
      <c r="D8">
        <f>27.4301766</f>
        <v>27.430176599999999</v>
      </c>
      <c r="E8">
        <f>61.15190611</f>
        <v>61.151906109999999</v>
      </c>
      <c r="F8">
        <f>35.62516111</f>
        <v>35.625161110000001</v>
      </c>
      <c r="G8">
        <f>31.64175464</f>
        <v>31.641754639999998</v>
      </c>
      <c r="H8">
        <f>6.856864927</f>
        <v>6.8568649270000002</v>
      </c>
      <c r="I8">
        <f>38.49861957</f>
        <v>38.498619570000002</v>
      </c>
      <c r="J8">
        <f>141.92011</f>
        <v>141.92010999999999</v>
      </c>
      <c r="K8">
        <f>5.6978779</f>
        <v>5.6978778999999999</v>
      </c>
      <c r="L8">
        <f>7052.5843</f>
        <v>7052.5843000000004</v>
      </c>
    </row>
    <row r="9" spans="1:12" x14ac:dyDescent="0.25">
      <c r="A9">
        <f>0.67</f>
        <v>0.67</v>
      </c>
      <c r="B9">
        <f>38.54224307</f>
        <v>38.542243069999998</v>
      </c>
      <c r="C9">
        <f>34.37092186</f>
        <v>34.370921860000003</v>
      </c>
      <c r="D9">
        <f>27.26542337</f>
        <v>27.265423370000001</v>
      </c>
      <c r="E9">
        <f>61.63634523</f>
        <v>61.636345230000003</v>
      </c>
      <c r="F9">
        <f>36.16493628</f>
        <v>36.164936279999999</v>
      </c>
      <c r="G9">
        <f>32.25090445</f>
        <v>32.25090445</v>
      </c>
      <c r="H9">
        <f>6.832313738</f>
        <v>6.8323137379999999</v>
      </c>
      <c r="I9">
        <f>39.08321819</f>
        <v>39.083218189999997</v>
      </c>
      <c r="J9">
        <f>139.30051</f>
        <v>139.30051</v>
      </c>
      <c r="K9">
        <f>5.8001363</f>
        <v>5.8001363000000001</v>
      </c>
      <c r="L9">
        <f>6819.0862</f>
        <v>6819.0861999999997</v>
      </c>
    </row>
    <row r="10" spans="1:12" x14ac:dyDescent="0.25">
      <c r="A10">
        <f>0.68</f>
        <v>0.68</v>
      </c>
      <c r="B10">
        <f>39.11750043</f>
        <v>39.11750043</v>
      </c>
      <c r="C10">
        <f>35.02023294</f>
        <v>35.02023294</v>
      </c>
      <c r="D10">
        <f>27.1004076</f>
        <v>27.1004076</v>
      </c>
      <c r="E10">
        <f>62.12064054</f>
        <v>62.120640539999997</v>
      </c>
      <c r="F10">
        <f>36.70471144</f>
        <v>36.704711439999997</v>
      </c>
      <c r="G10">
        <f>32.86016567</f>
        <v>32.860165670000001</v>
      </c>
      <c r="H10">
        <f>6.808062899</f>
        <v>6.8080628990000003</v>
      </c>
      <c r="I10">
        <f>39.66822857</f>
        <v>39.668228569999997</v>
      </c>
      <c r="J10">
        <f>136.53537</f>
        <v>136.53537</v>
      </c>
      <c r="K10">
        <f>5.9063054</f>
        <v>5.9063053999999999</v>
      </c>
      <c r="L10">
        <f>6585.4362</f>
        <v>6585.4362000000001</v>
      </c>
    </row>
    <row r="11" spans="1:12" x14ac:dyDescent="0.25">
      <c r="A11">
        <f>0.69</f>
        <v>0.69</v>
      </c>
      <c r="B11">
        <f>39.69275779</f>
        <v>39.692757790000002</v>
      </c>
      <c r="C11">
        <f>35.66967612</f>
        <v>35.669676119999998</v>
      </c>
      <c r="D11">
        <f>26.93509961</f>
        <v>26.935099610000002</v>
      </c>
      <c r="E11">
        <f>62.60477572</f>
        <v>62.604775719999999</v>
      </c>
      <c r="F11">
        <f>37.24448661</f>
        <v>37.244486610000003</v>
      </c>
      <c r="G11">
        <f>33.46955083</f>
        <v>33.469550830000003</v>
      </c>
      <c r="H11">
        <f>6.784126771</f>
        <v>6.7841267710000004</v>
      </c>
      <c r="I11">
        <f>40.2536776</f>
        <v>40.253677600000003</v>
      </c>
      <c r="J11">
        <f>133.62421</f>
        <v>133.62421000000001</v>
      </c>
      <c r="K11">
        <f>6.0166339</f>
        <v>6.0166339000000004</v>
      </c>
      <c r="L11">
        <f>6351.6174</f>
        <v>6351.6174000000001</v>
      </c>
    </row>
    <row r="12" spans="1:12" x14ac:dyDescent="0.25">
      <c r="A12">
        <f>0.7</f>
        <v>0.7</v>
      </c>
      <c r="B12">
        <f>40.26801515</f>
        <v>40.268015149999997</v>
      </c>
      <c r="C12">
        <f>36.31926687</f>
        <v>36.31926687</v>
      </c>
      <c r="D12">
        <f>26.76946503</f>
        <v>26.769465029999999</v>
      </c>
      <c r="E12">
        <f>63.0887319</f>
        <v>63.088731899999999</v>
      </c>
      <c r="F12">
        <f>37.78426178</f>
        <v>37.784261780000001</v>
      </c>
      <c r="G12">
        <f>34.07907447</f>
        <v>34.079074470000002</v>
      </c>
      <c r="H12">
        <f>6.760520651</f>
        <v>6.7605206510000002</v>
      </c>
      <c r="I12">
        <f>40.83959512</f>
        <v>40.839595119999998</v>
      </c>
      <c r="J12">
        <f>130.56645</f>
        <v>130.56645</v>
      </c>
      <c r="K12">
        <f>6.1313949</f>
        <v>6.1313949000000001</v>
      </c>
      <c r="L12">
        <f>6117.6105</f>
        <v>6117.6104999999998</v>
      </c>
    </row>
    <row r="13" spans="1:12" x14ac:dyDescent="0.25">
      <c r="A13">
        <f>0.71</f>
        <v>0.71</v>
      </c>
      <c r="B13">
        <f>40.84327251</f>
        <v>40.843272509999998</v>
      </c>
      <c r="C13">
        <f>36.96902323</f>
        <v>36.969023229999998</v>
      </c>
      <c r="D13">
        <f>26.60346383</f>
        <v>26.603463829999999</v>
      </c>
      <c r="E13">
        <f>63.57248706</f>
        <v>63.57248706</v>
      </c>
      <c r="F13">
        <f>38.32403695</f>
        <v>38.32403695</v>
      </c>
      <c r="G13">
        <f>34.6887535</f>
        <v>34.688753499999997</v>
      </c>
      <c r="H13">
        <f>6.737260855</f>
        <v>6.7372608549999997</v>
      </c>
      <c r="I13">
        <f>41.42601436</f>
        <v>41.426014360000003</v>
      </c>
      <c r="J13">
        <f>127.36143</f>
        <v>127.36143</v>
      </c>
      <c r="K13">
        <f>6.2508897</f>
        <v>6.2508897000000001</v>
      </c>
      <c r="L13">
        <f>5883.3927</f>
        <v>5883.3927000000003</v>
      </c>
    </row>
    <row r="14" spans="1:12" x14ac:dyDescent="0.25">
      <c r="A14">
        <f>0.72</f>
        <v>0.72</v>
      </c>
      <c r="B14">
        <f>41.41852987</f>
        <v>41.41852987</v>
      </c>
      <c r="C14">
        <f>37.61896633</f>
        <v>37.618966329999999</v>
      </c>
      <c r="D14">
        <f>26.4370491</f>
        <v>26.437049099999999</v>
      </c>
      <c r="E14">
        <f>64.05601542</f>
        <v>64.056015419999994</v>
      </c>
      <c r="F14">
        <f>38.86381212</f>
        <v>38.863812119999999</v>
      </c>
      <c r="G14">
        <f>35.29860775</f>
        <v>35.298607750000002</v>
      </c>
      <c r="H14">
        <f>6.714364805</f>
        <v>6.7143648049999998</v>
      </c>
      <c r="I14">
        <f>42.01297256</f>
        <v>42.012972560000001</v>
      </c>
      <c r="J14">
        <f>124.00837</f>
        <v>124.00837</v>
      </c>
      <c r="K14">
        <f>6.3754523</f>
        <v>6.3754523000000001</v>
      </c>
      <c r="L14">
        <f>5648.9378</f>
        <v>5648.9377999999997</v>
      </c>
    </row>
    <row r="15" spans="1:12" x14ac:dyDescent="0.25">
      <c r="A15">
        <f>0.73</f>
        <v>0.73</v>
      </c>
      <c r="B15">
        <f>41.99378723</f>
        <v>41.993787230000002</v>
      </c>
      <c r="C15">
        <f>38.2691211</f>
        <v>38.2691211</v>
      </c>
      <c r="D15">
        <f>26.27016542</f>
        <v>26.270165420000001</v>
      </c>
      <c r="E15">
        <f>64.53928652</f>
        <v>64.539286520000005</v>
      </c>
      <c r="F15">
        <f>39.40358728</f>
        <v>39.403587280000004</v>
      </c>
      <c r="G15">
        <f>35.90866062</f>
        <v>35.908660619999999</v>
      </c>
      <c r="H15">
        <f>6.691851128</f>
        <v>6.6918511279999997</v>
      </c>
      <c r="I15">
        <f>42.60051175</f>
        <v>42.600511750000003</v>
      </c>
      <c r="J15">
        <f>120.50638</f>
        <v>120.50637999999999</v>
      </c>
      <c r="K15">
        <f>6.5054552</f>
        <v>6.5054552000000001</v>
      </c>
      <c r="L15">
        <f>5414.2144</f>
        <v>5414.2143999999998</v>
      </c>
    </row>
    <row r="16" spans="1:12" x14ac:dyDescent="0.25">
      <c r="A16">
        <f>0.74</f>
        <v>0.74</v>
      </c>
      <c r="B16">
        <f>42.56904459</f>
        <v>42.569044589999997</v>
      </c>
      <c r="C16">
        <f>38.91951721</f>
        <v>38.919517210000002</v>
      </c>
      <c r="D16">
        <f>26.10274691</f>
        <v>26.10274691</v>
      </c>
      <c r="E16">
        <f>65.02226412</f>
        <v>65.022264120000003</v>
      </c>
      <c r="F16">
        <f>39.94336245</f>
        <v>39.943362450000002</v>
      </c>
      <c r="G16">
        <f>36.51893994</f>
        <v>36.518939940000003</v>
      </c>
      <c r="H16">
        <f>6.669739769</f>
        <v>6.6697397690000004</v>
      </c>
      <c r="I16">
        <f>43.18867971</f>
        <v>43.188679710000002</v>
      </c>
      <c r="J16">
        <f>116.85436</f>
        <v>116.85436</v>
      </c>
      <c r="K16">
        <f>6.6413157</f>
        <v>6.6413156999999998</v>
      </c>
      <c r="L16">
        <f>5179.1857</f>
        <v>5179.1857</v>
      </c>
    </row>
    <row r="17" spans="1:12" x14ac:dyDescent="0.25">
      <c r="A17">
        <f>0.75</f>
        <v>0.75</v>
      </c>
      <c r="B17">
        <f>43.14430195</f>
        <v>43.144301949999999</v>
      </c>
      <c r="C17">
        <f>39.57019022</f>
        <v>39.570190220000001</v>
      </c>
      <c r="D17">
        <f>25.93471452</f>
        <v>25.93471452</v>
      </c>
      <c r="E17">
        <f>65.50490475</f>
        <v>65.504904749999994</v>
      </c>
      <c r="F17">
        <f>40.48313762</f>
        <v>40.483137620000001</v>
      </c>
      <c r="G17">
        <f>37.12947908</f>
        <v>37.129479080000003</v>
      </c>
      <c r="H17">
        <f>6.648052116</f>
        <v>6.6480521159999997</v>
      </c>
      <c r="I17">
        <f>43.77753119</f>
        <v>43.777531189999998</v>
      </c>
      <c r="J17">
        <f>113.05103</f>
        <v>113.05103</v>
      </c>
      <c r="K17">
        <f>6.783505</f>
        <v>6.7835049999999999</v>
      </c>
      <c r="L17">
        <f>4943.8072</f>
        <v>4943.8072000000002</v>
      </c>
    </row>
    <row r="18" spans="1:12" x14ac:dyDescent="0.25">
      <c r="A18">
        <f>0.76</f>
        <v>0.76</v>
      </c>
      <c r="B18">
        <f>43.7195593</f>
        <v>43.7195593</v>
      </c>
      <c r="C18">
        <f>40.22118319</f>
        <v>40.221183189999998</v>
      </c>
      <c r="D18">
        <f>25.76597258</f>
        <v>25.76597258</v>
      </c>
      <c r="E18">
        <f>65.98715577</f>
        <v>65.987155770000001</v>
      </c>
      <c r="F18">
        <f>41.02291279</f>
        <v>41.022912789999999</v>
      </c>
      <c r="G18">
        <f>37.74031844</f>
        <v>37.740318440000003</v>
      </c>
      <c r="H18">
        <f>6.626811144</f>
        <v>6.6268111440000004</v>
      </c>
      <c r="I18">
        <f>44.36712959</f>
        <v>44.367129589999998</v>
      </c>
      <c r="J18">
        <f>109.09481</f>
        <v>109.09481</v>
      </c>
      <c r="K18">
        <f>6.9325596</f>
        <v>6.9325596000000003</v>
      </c>
      <c r="L18">
        <f>4708.0253</f>
        <v>4708.0253000000002</v>
      </c>
    </row>
    <row r="19" spans="1:12" x14ac:dyDescent="0.25">
      <c r="A19">
        <f>0.77</f>
        <v>0.77</v>
      </c>
      <c r="B19">
        <f>44.29481666</f>
        <v>44.294816660000002</v>
      </c>
      <c r="C19">
        <f>40.87254878</f>
        <v>40.872548780000002</v>
      </c>
      <c r="D19">
        <f>25.59640399</f>
        <v>25.596403989999999</v>
      </c>
      <c r="E19">
        <f>66.46895277</f>
        <v>66.468952770000001</v>
      </c>
      <c r="F19">
        <f>41.56268796</f>
        <v>41.562687959999998</v>
      </c>
      <c r="G19">
        <f>38.35150744</f>
        <v>38.351507439999999</v>
      </c>
      <c r="H19">
        <f>6.606041581</f>
        <v>6.6060415810000004</v>
      </c>
      <c r="I19">
        <f>44.95754902</f>
        <v>44.957549020000002</v>
      </c>
      <c r="J19">
        <f>104.98382</f>
        <v>104.98381999999999</v>
      </c>
      <c r="K19">
        <f>7.0890953</f>
        <v>7.0890953000000003</v>
      </c>
      <c r="L19">
        <f>4471.7746</f>
        <v>4471.7745999999997</v>
      </c>
    </row>
    <row r="20" spans="1:12" x14ac:dyDescent="0.25">
      <c r="A20">
        <f>0.78</f>
        <v>0.78</v>
      </c>
      <c r="B20">
        <f>44.87007402</f>
        <v>44.870074019999997</v>
      </c>
      <c r="C20">
        <f>41.52435216</f>
        <v>41.524352159999999</v>
      </c>
      <c r="D20">
        <f>25.42586386</f>
        <v>25.42586386</v>
      </c>
      <c r="E20">
        <f>66.95021602</f>
        <v>66.950216019999999</v>
      </c>
      <c r="F20">
        <f>42.10246313</f>
        <v>42.102463129999997</v>
      </c>
      <c r="G20">
        <f>38.96310724</f>
        <v>38.963107239999999</v>
      </c>
      <c r="H20">
        <f>6.5857701</f>
        <v>6.5857701000000004</v>
      </c>
      <c r="I20">
        <f>45.54887734</f>
        <v>45.548877339999997</v>
      </c>
      <c r="J20">
        <f>100.71568</f>
        <v>100.71568000000001</v>
      </c>
      <c r="K20">
        <f>7.2538273</f>
        <v>7.2538273000000002</v>
      </c>
      <c r="L20">
        <f>4234.9742</f>
        <v>4234.9741999999997</v>
      </c>
    </row>
    <row r="21" spans="1:12" x14ac:dyDescent="0.25">
      <c r="A21">
        <f>0.79</f>
        <v>0.79</v>
      </c>
      <c r="B21">
        <f>45.44533138</f>
        <v>45.445331379999999</v>
      </c>
      <c r="C21">
        <f>42.17667506</f>
        <v>42.176675060000001</v>
      </c>
      <c r="D21">
        <f>25.25417046</f>
        <v>25.254170460000001</v>
      </c>
      <c r="E21">
        <f>67.43084552</f>
        <v>67.430845520000005</v>
      </c>
      <c r="F21">
        <f>42.64223829</f>
        <v>42.642238290000002</v>
      </c>
      <c r="G21">
        <f>39.5751945</f>
        <v>39.575194500000002</v>
      </c>
      <c r="H21">
        <f>6.566025556</f>
        <v>6.5660255559999996</v>
      </c>
      <c r="I21">
        <f>46.14122005</f>
        <v>46.141220050000001</v>
      </c>
      <c r="J21">
        <f>96.287469</f>
        <v>96.287469000000002</v>
      </c>
      <c r="K21">
        <f>7.4275966</f>
        <v>7.4275966000000002</v>
      </c>
      <c r="L21">
        <f>3997.5228</f>
        <v>3997.5228000000002</v>
      </c>
    </row>
    <row r="22" spans="1:12" x14ac:dyDescent="0.25">
      <c r="A22">
        <f>0.8</f>
        <v>0.8</v>
      </c>
      <c r="B22">
        <f>46.02058874</f>
        <v>46.020588740000001</v>
      </c>
      <c r="C22">
        <f>42.82962151</f>
        <v>42.829621510000003</v>
      </c>
      <c r="D22">
        <f>25.08109241</f>
        <v>25.08109241</v>
      </c>
      <c r="E22">
        <f>67.91071392</f>
        <v>67.910713920000006</v>
      </c>
      <c r="F22">
        <f>43.18201346</f>
        <v>43.18201346</v>
      </c>
      <c r="G22">
        <f>40.18786685</f>
        <v>40.187866849999999</v>
      </c>
      <c r="H22">
        <f>6.546839263</f>
        <v>6.5468392629999999</v>
      </c>
      <c r="I22">
        <f>46.73470611</f>
        <v>46.734706109999998</v>
      </c>
      <c r="J22">
        <f>91.695444</f>
        <v>91.695443999999995</v>
      </c>
      <c r="K22">
        <f>7.6114072</f>
        <v>7.6114072000000004</v>
      </c>
      <c r="L22">
        <f>3759.2919</f>
        <v>3759.2919000000002</v>
      </c>
    </row>
    <row r="23" spans="1:12" x14ac:dyDescent="0.25">
      <c r="A23">
        <f>0.81</f>
        <v>0.81</v>
      </c>
      <c r="B23">
        <f>46.5958461</f>
        <v>46.595846100000003</v>
      </c>
      <c r="C23">
        <f>43.48332628</f>
        <v>43.48332628</v>
      </c>
      <c r="D23">
        <f>24.90632992</f>
        <v>24.906329920000001</v>
      </c>
      <c r="E23">
        <f>68.3896562</f>
        <v>68.389656200000005</v>
      </c>
      <c r="F23">
        <f>43.72178863</f>
        <v>43.721788629999999</v>
      </c>
      <c r="G23">
        <f>40.80125075</f>
        <v>40.801250750000001</v>
      </c>
      <c r="H23">
        <f>6.528245363</f>
        <v>6.5282453629999999</v>
      </c>
      <c r="I23">
        <f>47.32949611</f>
        <v>47.329496110000001</v>
      </c>
      <c r="J23">
        <f>86.934787</f>
        <v>86.934787</v>
      </c>
      <c r="K23">
        <f>7.8064798</f>
        <v>7.8064798</v>
      </c>
      <c r="L23">
        <f>3520.115</f>
        <v>3520.1149999999998</v>
      </c>
    </row>
    <row r="24" spans="1:12" x14ac:dyDescent="0.25">
      <c r="A24">
        <f>0.82</f>
        <v>0.82</v>
      </c>
      <c r="B24">
        <f>47.17110346</f>
        <v>47.171103459999998</v>
      </c>
      <c r="C24">
        <f>44.13796756</f>
        <v>44.13796756</v>
      </c>
      <c r="D24">
        <f>24.72948658</f>
        <v>24.72948658</v>
      </c>
      <c r="E24">
        <f>68.86745414</f>
        <v>68.867454140000007</v>
      </c>
      <c r="F24">
        <f>44.2615638</f>
        <v>44.261563799999998</v>
      </c>
      <c r="G24">
        <f>41.41551339</f>
        <v>41.415513390000001</v>
      </c>
      <c r="H24">
        <f>6.510281299</f>
        <v>6.5102812989999999</v>
      </c>
      <c r="I24">
        <f>47.92579469</f>
        <v>47.925794689999996</v>
      </c>
      <c r="J24">
        <f>81.999148</f>
        <v>81.999148000000005</v>
      </c>
      <c r="K24">
        <f>8.0143309</f>
        <v>8.0143308999999991</v>
      </c>
      <c r="L24">
        <f>3279.7728</f>
        <v>3279.7728000000002</v>
      </c>
    </row>
    <row r="25" spans="1:12" x14ac:dyDescent="0.25">
      <c r="A25">
        <f>0.83</f>
        <v>0.83</v>
      </c>
      <c r="B25">
        <f>47.74636082</f>
        <v>47.74636082</v>
      </c>
      <c r="C25">
        <f>44.79378672</f>
        <v>44.79378672</v>
      </c>
      <c r="D25">
        <f>24.55002535</f>
        <v>24.550025349999999</v>
      </c>
      <c r="E25">
        <f>69.34381207</f>
        <v>69.343812069999998</v>
      </c>
      <c r="F25">
        <f>44.80133897</f>
        <v>44.801338970000003</v>
      </c>
      <c r="G25">
        <f>42.03088127</f>
        <v>42.030881270000002</v>
      </c>
      <c r="H25">
        <f>6.492988498</f>
        <v>6.4929884979999999</v>
      </c>
      <c r="I25">
        <f>48.52386977</f>
        <v>48.523869769999997</v>
      </c>
      <c r="J25">
        <f>76.879966</f>
        <v>76.879965999999996</v>
      </c>
      <c r="K25">
        <f>8.2368962</f>
        <v>8.2368962000000003</v>
      </c>
      <c r="L25">
        <f>3037.9692</f>
        <v>3037.9692</v>
      </c>
    </row>
    <row r="26" spans="1:12" x14ac:dyDescent="0.25">
      <c r="A26">
        <f>0.84</f>
        <v>0.84</v>
      </c>
      <c r="B26">
        <f>48.32161818</f>
        <v>48.321618180000002</v>
      </c>
      <c r="C26">
        <f>45.45111875</f>
        <v>45.451118749999999</v>
      </c>
      <c r="D26">
        <f>24.36720084</f>
        <v>24.367200839999999</v>
      </c>
      <c r="E26">
        <f>69.81831958</f>
        <v>69.818319579999994</v>
      </c>
      <c r="F26">
        <f>45.34111414</f>
        <v>45.341114140000002</v>
      </c>
      <c r="G26">
        <f>42.64766869</f>
        <v>42.647668690000003</v>
      </c>
      <c r="H26">
        <f>6.476413745</f>
        <v>6.4764137450000003</v>
      </c>
      <c r="I26">
        <f>49.12408244</f>
        <v>49.124082440000002</v>
      </c>
      <c r="J26">
        <f>71.566391</f>
        <v>71.566390999999996</v>
      </c>
      <c r="K26">
        <f>8.4767232</f>
        <v>8.4767232000000003</v>
      </c>
      <c r="L26">
        <f>2794.3326</f>
        <v>2794.3326000000002</v>
      </c>
    </row>
    <row r="27" spans="1:12" x14ac:dyDescent="0.25">
      <c r="A27">
        <f>0.85</f>
        <v>0.85</v>
      </c>
      <c r="B27">
        <f>48.89687554</f>
        <v>48.896875540000003</v>
      </c>
      <c r="C27">
        <f>46.11045362</f>
        <v>46.110453620000001</v>
      </c>
      <c r="D27">
        <f>24.17992266</f>
        <v>24.179922659999999</v>
      </c>
      <c r="E27">
        <f>70.29037628</f>
        <v>70.290376280000004</v>
      </c>
      <c r="F27">
        <f>45.8808893</f>
        <v>45.8808893</v>
      </c>
      <c r="G27">
        <f>43.26633542</f>
        <v>43.266335419999997</v>
      </c>
      <c r="H27">
        <f>6.460609626</f>
        <v>6.4606096260000001</v>
      </c>
      <c r="I27">
        <f>49.72694505</f>
        <v>49.726945049999998</v>
      </c>
      <c r="J27">
        <f>66.039476</f>
        <v>66.039475999999993</v>
      </c>
      <c r="K27">
        <f>8.7373289</f>
        <v>8.7373288999999996</v>
      </c>
      <c r="L27">
        <f>2548.1968</f>
        <v>2548.1968000000002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7"/>
  <sheetViews>
    <sheetView workbookViewId="0">
      <selection activeCell="C2" sqref="C2"/>
    </sheetView>
  </sheetViews>
  <sheetFormatPr defaultRowHeight="15" x14ac:dyDescent="0.25"/>
  <cols>
    <col min="2" max="2" width="22.140625" bestFit="1" customWidth="1"/>
    <col min="3" max="3" width="20.28515625" bestFit="1" customWidth="1"/>
    <col min="9" max="9" width="21.42578125" bestFit="1" customWidth="1"/>
    <col min="10" max="10" width="15.85546875" bestFit="1" customWidth="1"/>
    <col min="11" max="11" width="10.42578125" bestFit="1" customWidth="1"/>
    <col min="12" max="12" width="10" bestFit="1" customWidth="1"/>
  </cols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35.00851929</f>
        <v>35.008519290000002</v>
      </c>
      <c r="C2">
        <f>30.24767127</f>
        <v>30.247671270000001</v>
      </c>
      <c r="D2">
        <f>27.44717798</f>
        <v>27.447177979999999</v>
      </c>
      <c r="E2">
        <f>57.69484925</f>
        <v>57.694849249999997</v>
      </c>
      <c r="F2">
        <f>32.84917453</f>
        <v>32.849174529999999</v>
      </c>
      <c r="G2">
        <f>28.38197824</f>
        <v>28.381978239999999</v>
      </c>
      <c r="H2">
        <f>6.70116101</f>
        <v>6.7011610099999999</v>
      </c>
      <c r="I2">
        <f>35.08313925</f>
        <v>35.083139250000002</v>
      </c>
      <c r="J2">
        <f>154.26274</f>
        <v>154.26274000000001</v>
      </c>
      <c r="K2">
        <f>5.1465281</f>
        <v>5.1465281000000003</v>
      </c>
      <c r="L2">
        <f>8432.5335</f>
        <v>8432.5334999999995</v>
      </c>
    </row>
    <row r="3" spans="1:12" x14ac:dyDescent="0.25">
      <c r="A3">
        <f>0.61</f>
        <v>0.61</v>
      </c>
      <c r="B3">
        <f>35.59199461</f>
        <v>35.59199461</v>
      </c>
      <c r="C3">
        <f>30.90562241</f>
        <v>30.905622409999999</v>
      </c>
      <c r="D3">
        <f>27.28120799</f>
        <v>27.281207989999999</v>
      </c>
      <c r="E3">
        <f>58.1868304</f>
        <v>58.186830399999998</v>
      </c>
      <c r="F3">
        <f>33.39666077</f>
        <v>33.396660769999997</v>
      </c>
      <c r="G3">
        <f>28.99934659</f>
        <v>28.999346589999998</v>
      </c>
      <c r="H3">
        <f>6.67345831</f>
        <v>6.67345831</v>
      </c>
      <c r="I3">
        <f>35.6728049</f>
        <v>35.672804900000003</v>
      </c>
      <c r="J3">
        <f>152.50426</f>
        <v>152.50425999999999</v>
      </c>
      <c r="K3">
        <f>5.2292279</f>
        <v>5.2292278999999997</v>
      </c>
      <c r="L3">
        <f>8199.7464</f>
        <v>8199.7464</v>
      </c>
    </row>
    <row r="4" spans="1:12" x14ac:dyDescent="0.25">
      <c r="A4">
        <f>0.62</f>
        <v>0.62</v>
      </c>
      <c r="B4">
        <f>36.17546994</f>
        <v>36.175469939999999</v>
      </c>
      <c r="C4">
        <f>31.56364275</f>
        <v>31.56364275</v>
      </c>
      <c r="D4">
        <f>27.11508526</f>
        <v>27.115085260000001</v>
      </c>
      <c r="E4">
        <f>58.67872801</f>
        <v>58.67872801</v>
      </c>
      <c r="F4">
        <f>33.94414701</f>
        <v>33.944147010000002</v>
      </c>
      <c r="G4">
        <f>29.61677986</f>
        <v>29.616779860000001</v>
      </c>
      <c r="H4">
        <f>6.645952143</f>
        <v>6.6459521429999997</v>
      </c>
      <c r="I4">
        <f>36.26273201</f>
        <v>36.262732010000001</v>
      </c>
      <c r="J4">
        <f>150.60011</f>
        <v>150.60011</v>
      </c>
      <c r="K4">
        <f>5.3147095</f>
        <v>5.3147095000000002</v>
      </c>
      <c r="L4">
        <f>7966.7628</f>
        <v>7966.7628000000004</v>
      </c>
    </row>
    <row r="5" spans="1:12" x14ac:dyDescent="0.25">
      <c r="A5">
        <f>0.63</f>
        <v>0.63</v>
      </c>
      <c r="B5">
        <f>36.75894526</f>
        <v>36.758945259999997</v>
      </c>
      <c r="C5">
        <f>32.22173805</f>
        <v>32.221738049999999</v>
      </c>
      <c r="D5">
        <f>26.94879697</f>
        <v>26.94879697</v>
      </c>
      <c r="E5">
        <f>59.17053502</f>
        <v>59.170535020000003</v>
      </c>
      <c r="F5">
        <f>34.49163325</f>
        <v>34.49163325</v>
      </c>
      <c r="G5">
        <f>30.23428349</f>
        <v>30.234283489999999</v>
      </c>
      <c r="H5">
        <f>6.618651087</f>
        <v>6.6186510869999999</v>
      </c>
      <c r="I5">
        <f>36.85293457</f>
        <v>36.852934570000002</v>
      </c>
      <c r="J5">
        <f>148.552</f>
        <v>148.55199999999999</v>
      </c>
      <c r="K5">
        <f>5.4031226</f>
        <v>5.4031225999999997</v>
      </c>
      <c r="L5">
        <f>7733.6805</f>
        <v>7733.6805000000004</v>
      </c>
    </row>
    <row r="6" spans="1:12" x14ac:dyDescent="0.25">
      <c r="A6">
        <f>0.64</f>
        <v>0.64</v>
      </c>
      <c r="B6">
        <f>37.34242058</f>
        <v>37.342420580000002</v>
      </c>
      <c r="C6">
        <f>32.87991542</f>
        <v>32.879915420000003</v>
      </c>
      <c r="D6">
        <f>26.7823274</f>
        <v>26.7823274</v>
      </c>
      <c r="E6">
        <f>59.66224282</f>
        <v>59.662242820000003</v>
      </c>
      <c r="F6">
        <f>35.0391195</f>
        <v>35.039119499999998</v>
      </c>
      <c r="G6">
        <f>30.85186412</f>
        <v>30.851864119999998</v>
      </c>
      <c r="H6">
        <f>6.591563997</f>
        <v>6.5915639969999997</v>
      </c>
      <c r="I6">
        <f>37.44342812</f>
        <v>37.44342812</v>
      </c>
      <c r="J6">
        <f>146.35965</f>
        <v>146.35964999999999</v>
      </c>
      <c r="K6">
        <f>5.4946292</f>
        <v>5.4946292000000003</v>
      </c>
      <c r="L6">
        <f>7500.4905</f>
        <v>7500.4904999999999</v>
      </c>
    </row>
    <row r="7" spans="1:12" x14ac:dyDescent="0.25">
      <c r="A7">
        <f>0.65</f>
        <v>0.65</v>
      </c>
      <c r="B7">
        <f>37.9258959</f>
        <v>37.9258959</v>
      </c>
      <c r="C7">
        <f>33.5381829</f>
        <v>33.538182900000002</v>
      </c>
      <c r="D7">
        <f>26.61565872</f>
        <v>26.615658719999999</v>
      </c>
      <c r="E7">
        <f>60.15384162</f>
        <v>60.153841620000001</v>
      </c>
      <c r="F7">
        <f>35.58660574</f>
        <v>35.586605740000003</v>
      </c>
      <c r="G7">
        <f>31.46952929</f>
        <v>31.469529290000001</v>
      </c>
      <c r="H7">
        <f>6.564700229</f>
        <v>6.5647002289999996</v>
      </c>
      <c r="I7">
        <f>38.03422952</f>
        <v>38.034229519999997</v>
      </c>
      <c r="J7">
        <f>144.02276</f>
        <v>144.02276000000001</v>
      </c>
      <c r="K7">
        <f>5.5894049</f>
        <v>5.5894048999999999</v>
      </c>
      <c r="L7">
        <f>7267.1822</f>
        <v>7267.1822000000002</v>
      </c>
    </row>
    <row r="8" spans="1:12" x14ac:dyDescent="0.25">
      <c r="A8">
        <f>0.66</f>
        <v>0.66</v>
      </c>
      <c r="B8">
        <f>38.50937122</f>
        <v>38.509371219999998</v>
      </c>
      <c r="C8">
        <f>34.1965496</f>
        <v>34.196549599999997</v>
      </c>
      <c r="D8">
        <f>26.44877072</f>
        <v>26.448770719999999</v>
      </c>
      <c r="E8">
        <f>60.64532031</f>
        <v>60.645320310000002</v>
      </c>
      <c r="F8">
        <f>36.13409198</f>
        <v>36.134091980000001</v>
      </c>
      <c r="G8">
        <f>32.08728757</f>
        <v>32.087287570000001</v>
      </c>
      <c r="H8">
        <f>6.538069674</f>
        <v>6.5380696739999999</v>
      </c>
      <c r="I8">
        <f>38.62535724</f>
        <v>38.62535724</v>
      </c>
      <c r="J8">
        <f>141.54099</f>
        <v>141.54098999999999</v>
      </c>
      <c r="K8">
        <f>5.68764</f>
        <v>5.68764</v>
      </c>
      <c r="L8">
        <f>7033.7441</f>
        <v>7033.7440999999999</v>
      </c>
    </row>
    <row r="9" spans="1:12" x14ac:dyDescent="0.25">
      <c r="A9">
        <f>0.67</f>
        <v>0.67</v>
      </c>
      <c r="B9">
        <f>39.09284654</f>
        <v>39.092846539999996</v>
      </c>
      <c r="C9">
        <f>34.85502593</f>
        <v>34.855025929999996</v>
      </c>
      <c r="D9">
        <f>26.28164028</f>
        <v>26.281640280000001</v>
      </c>
      <c r="E9">
        <f>61.1366662</f>
        <v>61.136666200000001</v>
      </c>
      <c r="F9">
        <f>36.68157822</f>
        <v>36.681578219999999</v>
      </c>
      <c r="G9">
        <f>32.70514872</f>
        <v>32.705148719999997</v>
      </c>
      <c r="H9">
        <f>6.511682787</f>
        <v>6.5116827869999998</v>
      </c>
      <c r="I9">
        <f>39.2168315</f>
        <v>39.216831499999998</v>
      </c>
      <c r="J9">
        <f>138.91394</f>
        <v>138.91394</v>
      </c>
      <c r="K9">
        <f>5.7895415</f>
        <v>5.7895415000000003</v>
      </c>
      <c r="L9">
        <f>6800.1626</f>
        <v>6800.1625999999997</v>
      </c>
    </row>
    <row r="10" spans="1:12" x14ac:dyDescent="0.25">
      <c r="A10">
        <f>0.68</f>
        <v>0.68</v>
      </c>
      <c r="B10">
        <f>39.67632187</f>
        <v>39.676321870000002</v>
      </c>
      <c r="C10">
        <f>35.51362382</f>
        <v>35.513623819999999</v>
      </c>
      <c r="D10">
        <f>26.11424092</f>
        <v>26.11424092</v>
      </c>
      <c r="E10">
        <f>61.62786474</f>
        <v>61.62786474</v>
      </c>
      <c r="F10">
        <f>37.22906446</f>
        <v>37.229064459999996</v>
      </c>
      <c r="G10">
        <f>33.32312393</f>
        <v>33.323123930000001</v>
      </c>
      <c r="H10">
        <f>6.485550632</f>
        <v>6.4855506319999998</v>
      </c>
      <c r="I10">
        <f>39.80867456</f>
        <v>39.80867456</v>
      </c>
      <c r="J10">
        <f>136.14117</f>
        <v>136.14116999999999</v>
      </c>
      <c r="K10">
        <f>5.8953353</f>
        <v>5.8953353000000002</v>
      </c>
      <c r="L10">
        <f>6566.4226</f>
        <v>6566.4225999999999</v>
      </c>
    </row>
    <row r="11" spans="1:12" x14ac:dyDescent="0.25">
      <c r="A11">
        <f>0.69</f>
        <v>0.69</v>
      </c>
      <c r="B11">
        <f>40.25979719</f>
        <v>40.25979719</v>
      </c>
      <c r="C11">
        <f>36.17235703</f>
        <v>36.172357030000001</v>
      </c>
      <c r="D11">
        <f>25.94654213</f>
        <v>25.946542130000001</v>
      </c>
      <c r="E11">
        <f>62.11889917</f>
        <v>62.118899169999999</v>
      </c>
      <c r="F11">
        <f>37.77655071</f>
        <v>37.776550710000002</v>
      </c>
      <c r="G11">
        <f>33.94122611</f>
        <v>33.941226110000002</v>
      </c>
      <c r="H11">
        <f>6.459684914</f>
        <v>6.4596849140000003</v>
      </c>
      <c r="I11">
        <f>40.40091103</f>
        <v>40.400911030000003</v>
      </c>
      <c r="J11">
        <f>133.22215</f>
        <v>133.22215</v>
      </c>
      <c r="K11">
        <f>6.0052688</f>
        <v>6.0052687999999996</v>
      </c>
      <c r="L11">
        <f>6332.5062</f>
        <v>6332.5061999999998</v>
      </c>
    </row>
    <row r="12" spans="1:12" x14ac:dyDescent="0.25">
      <c r="A12">
        <f>0.7</f>
        <v>0.7</v>
      </c>
      <c r="B12">
        <f>40.84327251</f>
        <v>40.843272509999998</v>
      </c>
      <c r="C12">
        <f>36.83124149</f>
        <v>36.831241489999996</v>
      </c>
      <c r="D12">
        <f>25.77850854</f>
        <v>25.778508540000001</v>
      </c>
      <c r="E12">
        <f>62.60975003</f>
        <v>62.609750030000001</v>
      </c>
      <c r="F12">
        <f>38.32403695</f>
        <v>38.32403695</v>
      </c>
      <c r="G12">
        <f>34.55947021</f>
        <v>34.559470210000001</v>
      </c>
      <c r="H12">
        <f>6.434098021</f>
        <v>6.4340980209999996</v>
      </c>
      <c r="I12">
        <f>40.99356823</f>
        <v>40.993568230000001</v>
      </c>
      <c r="J12">
        <f>130.1563</f>
        <v>130.15629999999999</v>
      </c>
      <c r="K12">
        <f>6.1196138</f>
        <v>6.1196137999999998</v>
      </c>
      <c r="L12">
        <f>6098.3932</f>
        <v>6098.3932000000004</v>
      </c>
    </row>
    <row r="13" spans="1:12" x14ac:dyDescent="0.25">
      <c r="A13">
        <f>0.71</f>
        <v>0.71</v>
      </c>
      <c r="B13">
        <f>41.42674783</f>
        <v>41.426747829999996</v>
      </c>
      <c r="C13">
        <f>37.49029576</f>
        <v>37.490295760000002</v>
      </c>
      <c r="D13">
        <f>25.61009892</f>
        <v>25.610098919999999</v>
      </c>
      <c r="E13">
        <f>63.10039468</f>
        <v>63.100394680000001</v>
      </c>
      <c r="F13">
        <f>38.87152319</f>
        <v>38.871523189999998</v>
      </c>
      <c r="G13">
        <f>35.17787365</f>
        <v>35.177873650000002</v>
      </c>
      <c r="H13">
        <f>6.408803066</f>
        <v>6.4088030659999999</v>
      </c>
      <c r="I13">
        <f>41.58667672</f>
        <v>41.58667672</v>
      </c>
      <c r="J13">
        <f>126.94291</f>
        <v>126.94291</v>
      </c>
      <c r="K13">
        <f>6.2386706</f>
        <v>6.2386705999999998</v>
      </c>
      <c r="L13">
        <f>5864.0597</f>
        <v>5864.0596999999998</v>
      </c>
    </row>
    <row r="14" spans="1:12" x14ac:dyDescent="0.25">
      <c r="A14">
        <f>0.72</f>
        <v>0.72</v>
      </c>
      <c r="B14">
        <f>42.01022315</f>
        <v>42.010223150000002</v>
      </c>
      <c r="C14">
        <f>38.14954161</f>
        <v>38.14954161</v>
      </c>
      <c r="D14">
        <f>25.4412649</f>
        <v>25.4412649</v>
      </c>
      <c r="E14">
        <f>63.59080651</f>
        <v>63.59080651</v>
      </c>
      <c r="F14">
        <f>39.41900943</f>
        <v>39.419009430000003</v>
      </c>
      <c r="G14">
        <f>35.79645686</f>
        <v>35.796456859999999</v>
      </c>
      <c r="H14">
        <f>6.383813923</f>
        <v>6.3838139229999999</v>
      </c>
      <c r="I14">
        <f>42.18027078</f>
        <v>42.180270780000001</v>
      </c>
      <c r="J14">
        <f>123.58118</f>
        <v>123.58118</v>
      </c>
      <c r="K14">
        <f>6.3627717</f>
        <v>6.3627716999999997</v>
      </c>
      <c r="L14">
        <f>5629.4779</f>
        <v>5629.4778999999999</v>
      </c>
    </row>
    <row r="15" spans="1:12" x14ac:dyDescent="0.25">
      <c r="A15">
        <f>0.73</f>
        <v>0.73</v>
      </c>
      <c r="B15">
        <f>42.59369847</f>
        <v>42.59369847</v>
      </c>
      <c r="C15">
        <f>38.80900477</f>
        <v>38.809004770000001</v>
      </c>
      <c r="D15">
        <f>25.27194933</f>
        <v>25.271949330000002</v>
      </c>
      <c r="E15">
        <f>64.0809541</f>
        <v>64.0809541</v>
      </c>
      <c r="F15">
        <f>39.96649567</f>
        <v>39.96649567</v>
      </c>
      <c r="G15">
        <f>36.41524397</f>
        <v>36.415243969999999</v>
      </c>
      <c r="H15">
        <f>6.359145271</f>
        <v>6.359145271</v>
      </c>
      <c r="I15">
        <f>42.77438924</f>
        <v>42.774389239999998</v>
      </c>
      <c r="J15">
        <f>120.07015</f>
        <v>120.07015</v>
      </c>
      <c r="K15">
        <f>6.4922882</f>
        <v>6.4922882</v>
      </c>
      <c r="L15">
        <f>5394.615</f>
        <v>5394.6149999999998</v>
      </c>
    </row>
    <row r="16" spans="1:12" x14ac:dyDescent="0.25">
      <c r="A16">
        <f>0.74</f>
        <v>0.74</v>
      </c>
      <c r="B16">
        <f>43.17717379</f>
        <v>43.177173789999998</v>
      </c>
      <c r="C16">
        <f>39.46871587</f>
        <v>39.468715869999997</v>
      </c>
      <c r="D16">
        <f>25.10208416</f>
        <v>25.10208416</v>
      </c>
      <c r="E16">
        <f>64.57080003</f>
        <v>64.570800030000001</v>
      </c>
      <c r="F16">
        <f>40.51398192</f>
        <v>40.513981919999999</v>
      </c>
      <c r="G16">
        <f>37.03426372</f>
        <v>37.034263719999998</v>
      </c>
      <c r="H16">
        <f>6.334812625</f>
        <v>6.3348126249999996</v>
      </c>
      <c r="I16">
        <f>43.36907635</f>
        <v>43.36907635</v>
      </c>
      <c r="J16">
        <f>116.40867</f>
        <v>116.40867</v>
      </c>
      <c r="K16">
        <f>6.6276364</f>
        <v>6.6276364000000001</v>
      </c>
      <c r="L16">
        <f>5159.4318</f>
        <v>5159.4318000000003</v>
      </c>
    </row>
    <row r="17" spans="1:12" x14ac:dyDescent="0.25">
      <c r="A17">
        <f>0.75</f>
        <v>0.75</v>
      </c>
      <c r="B17">
        <f>43.76064912</f>
        <v>43.760649119999997</v>
      </c>
      <c r="C17">
        <f>40.12871167</f>
        <v>40.128711670000001</v>
      </c>
      <c r="D17">
        <f>24.93158768</f>
        <v>24.93158768</v>
      </c>
      <c r="E17">
        <f>65.06029935</f>
        <v>65.060299349999994</v>
      </c>
      <c r="F17">
        <f>41.06146816</f>
        <v>41.061468159999997</v>
      </c>
      <c r="G17">
        <f>37.65355061</f>
        <v>37.653550610000003</v>
      </c>
      <c r="H17">
        <f>6.310832371</f>
        <v>6.3108323710000001</v>
      </c>
      <c r="I17">
        <f>43.96438298</f>
        <v>43.964382980000003</v>
      </c>
      <c r="J17">
        <f>112.59538</f>
        <v>112.59538000000001</v>
      </c>
      <c r="K17">
        <f>6.7692863</f>
        <v>6.7692863000000001</v>
      </c>
      <c r="L17">
        <f>4923.8815</f>
        <v>4923.8815000000004</v>
      </c>
    </row>
    <row r="18" spans="1:12" x14ac:dyDescent="0.25">
      <c r="A18">
        <f>0.76</f>
        <v>0.76</v>
      </c>
      <c r="B18">
        <f>44.34412444</f>
        <v>44.344124440000002</v>
      </c>
      <c r="C18">
        <f>40.78903672</f>
        <v>40.789036719999999</v>
      </c>
      <c r="D18">
        <f>24.76036084</f>
        <v>24.760360840000001</v>
      </c>
      <c r="E18">
        <f>65.54939756</f>
        <v>65.549397560000003</v>
      </c>
      <c r="F18">
        <f>41.6089544</f>
        <v>41.608954400000002</v>
      </c>
      <c r="G18">
        <f>38.27314646</f>
        <v>38.27314646</v>
      </c>
      <c r="H18">
        <f>6.287221774</f>
        <v>6.2872217739999998</v>
      </c>
      <c r="I18">
        <f>44.56036823</f>
        <v>44.560368230000002</v>
      </c>
      <c r="J18">
        <f>108.62864</f>
        <v>108.62864</v>
      </c>
      <c r="K18">
        <f>6.9177734</f>
        <v>6.9177733999999997</v>
      </c>
      <c r="L18">
        <f>4687.9075</f>
        <v>4687.9075000000003</v>
      </c>
    </row>
    <row r="19" spans="1:12" x14ac:dyDescent="0.25">
      <c r="A19">
        <f>0.77</f>
        <v>0.77</v>
      </c>
      <c r="B19">
        <f>44.92759976</f>
        <v>44.92759976</v>
      </c>
      <c r="C19">
        <f>41.44974563</f>
        <v>41.449745630000002</v>
      </c>
      <c r="D19">
        <f>24.58828227</f>
        <v>24.588282270000001</v>
      </c>
      <c r="E19">
        <f>66.0380279</f>
        <v>66.038027900000003</v>
      </c>
      <c r="F19">
        <f>42.15644064</f>
        <v>42.15644064</v>
      </c>
      <c r="G19">
        <f>38.89310247</f>
        <v>38.893102470000002</v>
      </c>
      <c r="H19">
        <f>6.263998986</f>
        <v>6.2639989859999998</v>
      </c>
      <c r="I19">
        <f>45.15710146</f>
        <v>45.15710146</v>
      </c>
      <c r="J19">
        <f>104.50643</f>
        <v>104.50642999999999</v>
      </c>
      <c r="K19">
        <f>7.0737132</f>
        <v>7.0737132000000003</v>
      </c>
      <c r="L19">
        <f>4451.4402</f>
        <v>4451.4402</v>
      </c>
    </row>
    <row r="20" spans="1:12" x14ac:dyDescent="0.25">
      <c r="A20">
        <f>0.78</f>
        <v>0.78</v>
      </c>
      <c r="B20">
        <f>45.51107508</f>
        <v>45.511075079999998</v>
      </c>
      <c r="C20">
        <f>42.11090605</f>
        <v>42.110906049999997</v>
      </c>
      <c r="D20">
        <f>24.41520151</f>
        <v>24.415201509999999</v>
      </c>
      <c r="E20">
        <f>66.52610755</f>
        <v>66.526107550000006</v>
      </c>
      <c r="F20">
        <f>42.70392689</f>
        <v>42.703926889999998</v>
      </c>
      <c r="G20">
        <f>39.51348215</f>
        <v>39.513482150000002</v>
      </c>
      <c r="H20">
        <f>6.241183011</f>
        <v>6.2411830110000004</v>
      </c>
      <c r="I20">
        <f>45.75466516</f>
        <v>45.754665160000002</v>
      </c>
      <c r="J20">
        <f>100.22624</f>
        <v>100.22624</v>
      </c>
      <c r="K20">
        <f>7.2378213</f>
        <v>7.2378213000000002</v>
      </c>
      <c r="L20">
        <f>4214.3938</f>
        <v>4214.3937999999998</v>
      </c>
    </row>
    <row r="21" spans="1:12" x14ac:dyDescent="0.25">
      <c r="A21">
        <f>0.79</f>
        <v>0.79</v>
      </c>
      <c r="B21">
        <f>46.0945504</f>
        <v>46.094550400000003</v>
      </c>
      <c r="C21">
        <f>42.77260298</f>
        <v>42.772602980000002</v>
      </c>
      <c r="D21">
        <f>24.24092949</f>
        <v>24.240929489999999</v>
      </c>
      <c r="E21">
        <f>67.01353248</f>
        <v>67.013532479999995</v>
      </c>
      <c r="F21">
        <f>43.25141313</f>
        <v>43.251413130000003</v>
      </c>
      <c r="G21">
        <f>40.13436526</f>
        <v>40.134365260000003</v>
      </c>
      <c r="H21">
        <f>6.218793624</f>
        <v>6.2187936239999999</v>
      </c>
      <c r="I21">
        <f>46.35315888</f>
        <v>46.353158880000002</v>
      </c>
      <c r="J21">
        <f>95.784962</f>
        <v>95.784961999999993</v>
      </c>
      <c r="K21">
        <f>7.4109404</f>
        <v>7.4109404000000003</v>
      </c>
      <c r="L21">
        <f>3976.6605</f>
        <v>3976.6605</v>
      </c>
    </row>
    <row r="22" spans="1:12" x14ac:dyDescent="0.25">
      <c r="A22">
        <f>0.8</f>
        <v>0.8</v>
      </c>
      <c r="B22">
        <f>46.67802572</f>
        <v>46.678025720000001</v>
      </c>
      <c r="C22">
        <f>43.43494491</f>
        <v>43.434944909999999</v>
      </c>
      <c r="D22">
        <f>24.06522495</f>
        <v>24.065224950000001</v>
      </c>
      <c r="E22">
        <f>67.50016986</f>
        <v>67.50016986</v>
      </c>
      <c r="F22">
        <f>43.79889937</f>
        <v>43.798899370000001</v>
      </c>
      <c r="G22">
        <f>40.75585357</f>
        <v>40.755853569999999</v>
      </c>
      <c r="H22">
        <f>6.196851218</f>
        <v>6.1968512179999999</v>
      </c>
      <c r="I22">
        <f>46.95270479</f>
        <v>46.952704789999999</v>
      </c>
      <c r="J22">
        <f>91.178612</f>
        <v>91.178612000000001</v>
      </c>
      <c r="K22">
        <f>7.5940784</f>
        <v>7.5940783999999999</v>
      </c>
      <c r="L22">
        <f>3738.103</f>
        <v>3738.1030000000001</v>
      </c>
    </row>
    <row r="23" spans="1:12" x14ac:dyDescent="0.25">
      <c r="A23">
        <f>0.81</f>
        <v>0.81</v>
      </c>
      <c r="B23">
        <f>47.26150105</f>
        <v>47.26150105</v>
      </c>
      <c r="C23">
        <f>44.09807273</f>
        <v>44.098072729999998</v>
      </c>
      <c r="D23">
        <f>23.88777444</f>
        <v>23.887774440000001</v>
      </c>
      <c r="E23">
        <f>67.98584717</f>
        <v>67.98584717</v>
      </c>
      <c r="F23">
        <f>44.34638561</f>
        <v>44.346385609999999</v>
      </c>
      <c r="G23">
        <f>41.3780793</f>
        <v>41.378079300000003</v>
      </c>
      <c r="H23">
        <f>6.175376528</f>
        <v>6.1753765280000001</v>
      </c>
      <c r="I23">
        <f>47.55345583</f>
        <v>47.553455829999997</v>
      </c>
      <c r="J23">
        <f>86.402042</f>
        <v>86.402041999999994</v>
      </c>
      <c r="K23">
        <f>7.7884637</f>
        <v>7.7884637000000003</v>
      </c>
      <c r="L23">
        <f>3498.5433</f>
        <v>3498.5432999999998</v>
      </c>
    </row>
    <row r="24" spans="1:12" x14ac:dyDescent="0.25">
      <c r="A24">
        <f>0.82</f>
        <v>0.82</v>
      </c>
      <c r="B24">
        <f>47.84497637</f>
        <v>47.844976369999998</v>
      </c>
      <c r="C24">
        <f>44.76217333</f>
        <v>44.762173330000003</v>
      </c>
      <c r="D24">
        <f>23.70816213</f>
        <v>23.708162130000002</v>
      </c>
      <c r="E24">
        <f>68.47033547</f>
        <v>68.470335469999995</v>
      </c>
      <c r="F24">
        <f>44.89387185</f>
        <v>44.893871849999996</v>
      </c>
      <c r="G24">
        <f>42.00121781</f>
        <v>42.00121781</v>
      </c>
      <c r="H24">
        <f>6.154390146</f>
        <v>6.1543901459999999</v>
      </c>
      <c r="I24">
        <f>48.15560796</f>
        <v>48.155607959999998</v>
      </c>
      <c r="J24">
        <f>81.448444</f>
        <v>81.448443999999995</v>
      </c>
      <c r="K24">
        <f>7.9956269</f>
        <v>7.9956269000000004</v>
      </c>
      <c r="L24">
        <f>3257.746</f>
        <v>3257.7460000000001</v>
      </c>
    </row>
    <row r="25" spans="1:12" x14ac:dyDescent="0.25">
      <c r="A25">
        <f>0.83</f>
        <v>0.83</v>
      </c>
      <c r="B25">
        <f>48.42845169</f>
        <v>48.428451690000003</v>
      </c>
      <c r="C25">
        <f>45.42749941</f>
        <v>45.427499410000003</v>
      </c>
      <c r="D25">
        <f>23.52582576</f>
        <v>23.52582576</v>
      </c>
      <c r="E25">
        <f>68.95332518</f>
        <v>68.953325179999993</v>
      </c>
      <c r="F25">
        <f>45.4413581</f>
        <v>45.441358100000002</v>
      </c>
      <c r="G25">
        <f>42.62550621</f>
        <v>42.625506209999998</v>
      </c>
      <c r="H25">
        <f>6.133912079</f>
        <v>6.1339120789999999</v>
      </c>
      <c r="I25">
        <f>48.75941829</f>
        <v>48.759418289999999</v>
      </c>
      <c r="J25">
        <f>76.309604</f>
        <v>76.309603999999993</v>
      </c>
      <c r="K25">
        <f>8.2175248</f>
        <v>8.2175247999999996</v>
      </c>
      <c r="L25">
        <f>3015.4309</f>
        <v>3015.4308999999998</v>
      </c>
    </row>
    <row r="26" spans="1:12" x14ac:dyDescent="0.25">
      <c r="A26">
        <f>0.84</f>
        <v>0.84</v>
      </c>
      <c r="B26">
        <f>49.01192701</f>
        <v>49.011927010000001</v>
      </c>
      <c r="C26">
        <f>46.09440987</f>
        <v>46.09440987</v>
      </c>
      <c r="D26">
        <f>23.33996662</f>
        <v>23.339966619999998</v>
      </c>
      <c r="E26">
        <f>69.43437649</f>
        <v>69.434376490000005</v>
      </c>
      <c r="F26">
        <f>45.98884434</f>
        <v>45.98884434</v>
      </c>
      <c r="G26">
        <f>43.25128127</f>
        <v>43.25128127</v>
      </c>
      <c r="H26">
        <f>6.113958955</f>
        <v>6.1139589550000002</v>
      </c>
      <c r="I26">
        <f>49.36524022</f>
        <v>49.365240219999997</v>
      </c>
      <c r="J26">
        <f>70.970804</f>
        <v>70.970804000000001</v>
      </c>
      <c r="K26">
        <f>8.4567634</f>
        <v>8.4567633999999998</v>
      </c>
      <c r="L26">
        <f>2771.0778</f>
        <v>2771.0778</v>
      </c>
    </row>
    <row r="27" spans="1:12" x14ac:dyDescent="0.25">
      <c r="A27">
        <f>0.85</f>
        <v>0.85</v>
      </c>
      <c r="B27">
        <f>49.59540233</f>
        <v>49.595402329999999</v>
      </c>
      <c r="C27">
        <f>46.76342239</f>
        <v>46.763422390000002</v>
      </c>
      <c r="D27">
        <f>23.1494326</f>
        <v>23.149432600000001</v>
      </c>
      <c r="E27">
        <f>69.912855</f>
        <v>69.912854999999993</v>
      </c>
      <c r="F27">
        <f>46.53633058</f>
        <v>46.536330579999998</v>
      </c>
      <c r="G27">
        <f>43.87902873</f>
        <v>43.879028730000002</v>
      </c>
      <c r="H27">
        <f>6.094543511</f>
        <v>6.0945435110000004</v>
      </c>
      <c r="I27">
        <f>49.97357224</f>
        <v>49.973572240000003</v>
      </c>
      <c r="J27">
        <f>65.414387</f>
        <v>65.414387000000005</v>
      </c>
      <c r="K27">
        <f>8.7169351</f>
        <v>8.7169351000000006</v>
      </c>
      <c r="L27">
        <f>2524.0771</f>
        <v>2524.0771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7"/>
  <sheetViews>
    <sheetView workbookViewId="0">
      <selection activeCell="Q11" sqref="Q11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35.50159703</f>
        <v>35.501597029999999</v>
      </c>
      <c r="C2">
        <f>30.66684722</f>
        <v>30.666847220000001</v>
      </c>
      <c r="D2">
        <f>26.47999958</f>
        <v>26.479999580000001</v>
      </c>
      <c r="E2">
        <f>57.14684681</f>
        <v>57.14684681</v>
      </c>
      <c r="F2">
        <f>33.31183896</f>
        <v>33.311838960000003</v>
      </c>
      <c r="G2">
        <f>28.77529918</f>
        <v>28.775299180000001</v>
      </c>
      <c r="H2">
        <f>6.39887148</f>
        <v>6.3988714800000004</v>
      </c>
      <c r="I2">
        <f>35.17417066</f>
        <v>35.174170660000001</v>
      </c>
      <c r="J2">
        <f>153.92319</f>
        <v>153.92319000000001</v>
      </c>
      <c r="K2">
        <f>5.1383778</f>
        <v>5.1383777999999998</v>
      </c>
      <c r="L2">
        <f>8413.9723</f>
        <v>8413.9722999999994</v>
      </c>
    </row>
    <row r="3" spans="1:12" x14ac:dyDescent="0.25">
      <c r="A3">
        <f>0.61</f>
        <v>0.61</v>
      </c>
      <c r="B3">
        <f>36.09329031</f>
        <v>36.09329031</v>
      </c>
      <c r="C3">
        <f>31.33407144</f>
        <v>31.334071439999999</v>
      </c>
      <c r="D3">
        <f>26.3116769</f>
        <v>26.311676899999998</v>
      </c>
      <c r="E3">
        <f>57.64574833</f>
        <v>57.645748330000004</v>
      </c>
      <c r="F3">
        <f>33.86703627</f>
        <v>33.86703627</v>
      </c>
      <c r="G3">
        <f>29.40136864</f>
        <v>29.401368640000001</v>
      </c>
      <c r="H3">
        <f>6.369644584</f>
        <v>6.3696445840000004</v>
      </c>
      <c r="I3">
        <f>35.77101322</f>
        <v>35.77101322</v>
      </c>
      <c r="J3">
        <f>152.156</f>
        <v>152.15600000000001</v>
      </c>
      <c r="K3">
        <f>5.2208205</f>
        <v>5.2208205000000003</v>
      </c>
      <c r="L3">
        <f>8181.0211</f>
        <v>8181.0210999999999</v>
      </c>
    </row>
    <row r="4" spans="1:12" x14ac:dyDescent="0.25">
      <c r="A4">
        <f>0.62</f>
        <v>0.62</v>
      </c>
      <c r="B4">
        <f>36.6849836</f>
        <v>36.684983600000002</v>
      </c>
      <c r="C4">
        <f>32.00136583</f>
        <v>32.001365829999997</v>
      </c>
      <c r="D4">
        <f>26.14319924</f>
        <v>26.143199240000001</v>
      </c>
      <c r="E4">
        <f>58.14456507</f>
        <v>58.144565069999999</v>
      </c>
      <c r="F4">
        <f>34.42223359</f>
        <v>34.422233589999998</v>
      </c>
      <c r="G4">
        <f>30.02750395</f>
        <v>30.02750395</v>
      </c>
      <c r="H4">
        <f>6.340583102</f>
        <v>6.3405831020000001</v>
      </c>
      <c r="I4">
        <f>36.36808705</f>
        <v>36.36808705</v>
      </c>
      <c r="J4">
        <f>150.24497</f>
        <v>150.24497</v>
      </c>
      <c r="K4">
        <f>5.3060323</f>
        <v>5.3060323</v>
      </c>
      <c r="L4">
        <f>7947.9756</f>
        <v>7947.9755999999998</v>
      </c>
    </row>
    <row r="5" spans="1:12" x14ac:dyDescent="0.25">
      <c r="A5">
        <f>0.63</f>
        <v>0.63</v>
      </c>
      <c r="B5">
        <f>37.27667688</f>
        <v>37.276676879999997</v>
      </c>
      <c r="C5">
        <f>32.66873685</f>
        <v>32.668736850000002</v>
      </c>
      <c r="D5">
        <f>25.9745523</f>
        <v>25.974552299999999</v>
      </c>
      <c r="E5">
        <f>58.64328915</f>
        <v>58.643289150000001</v>
      </c>
      <c r="F5">
        <f>34.9774309</f>
        <v>34.977430900000002</v>
      </c>
      <c r="G5">
        <f>30.65371116</f>
        <v>30.65371116</v>
      </c>
      <c r="H5">
        <f>6.311693871</f>
        <v>6.3116938710000001</v>
      </c>
      <c r="I5">
        <f>36.96540503</f>
        <v>36.965405029999999</v>
      </c>
      <c r="J5">
        <f>148.18986</f>
        <v>148.18986000000001</v>
      </c>
      <c r="K5">
        <f>5.3941626</f>
        <v>5.3941625999999996</v>
      </c>
      <c r="L5">
        <f>7714.8274</f>
        <v>7714.8274000000001</v>
      </c>
    </row>
    <row r="6" spans="1:12" x14ac:dyDescent="0.25">
      <c r="A6">
        <f>0.64</f>
        <v>0.64</v>
      </c>
      <c r="B6">
        <f>37.86837016</f>
        <v>37.868370159999998</v>
      </c>
      <c r="C6">
        <f>33.33619179</f>
        <v>33.336191790000001</v>
      </c>
      <c r="D6">
        <f>25.80571994</f>
        <v>25.805719939999999</v>
      </c>
      <c r="E6">
        <f>59.14191172</f>
        <v>59.141911720000003</v>
      </c>
      <c r="F6">
        <f>35.53262822</f>
        <v>35.532628219999999</v>
      </c>
      <c r="G6">
        <f>31.2799971</f>
        <v>31.279997099999999</v>
      </c>
      <c r="H6">
        <f>6.282984078</f>
        <v>6.2829840780000001</v>
      </c>
      <c r="I6">
        <f>37.56298118</f>
        <v>37.562981180000001</v>
      </c>
      <c r="J6">
        <f>145.99039</f>
        <v>145.99038999999999</v>
      </c>
      <c r="K6">
        <f>5.4853726</f>
        <v>5.4853725999999998</v>
      </c>
      <c r="L6">
        <f>7481.5668</f>
        <v>7481.5667999999996</v>
      </c>
    </row>
    <row r="7" spans="1:12" x14ac:dyDescent="0.25">
      <c r="A7">
        <f>0.65</f>
        <v>0.65</v>
      </c>
      <c r="B7">
        <f>38.46006345</f>
        <v>38.46006345</v>
      </c>
      <c r="C7">
        <f>34.00373888</f>
        <v>34.00373888</v>
      </c>
      <c r="D7">
        <f>25.63668387</f>
        <v>25.636683869999999</v>
      </c>
      <c r="E7">
        <f>59.64042274</f>
        <v>59.640422739999998</v>
      </c>
      <c r="F7">
        <f>36.08782554</f>
        <v>36.087825539999997</v>
      </c>
      <c r="G7">
        <f>31.90636952</f>
        <v>31.906369519999998</v>
      </c>
      <c r="H7">
        <f>6.254461279</f>
        <v>6.254461279</v>
      </c>
      <c r="I7">
        <f>38.1608308</f>
        <v>38.160830799999999</v>
      </c>
      <c r="J7">
        <f>143.64623</f>
        <v>143.64623</v>
      </c>
      <c r="K7">
        <f>5.5798369</f>
        <v>5.5798369000000001</v>
      </c>
      <c r="L7">
        <f>7248.1829</f>
        <v>7248.1828999999998</v>
      </c>
    </row>
    <row r="8" spans="1:12" x14ac:dyDescent="0.25">
      <c r="A8">
        <f>0.66</f>
        <v>0.66</v>
      </c>
      <c r="B8">
        <f>39.05175673</f>
        <v>39.051756730000001</v>
      </c>
      <c r="C8">
        <f>34.67138748</f>
        <v>34.67138748</v>
      </c>
      <c r="D8">
        <f>25.46742332</f>
        <v>25.467423320000002</v>
      </c>
      <c r="E8">
        <f>60.1388108</f>
        <v>60.138810800000002</v>
      </c>
      <c r="F8">
        <f>36.64302285</f>
        <v>36.643022850000001</v>
      </c>
      <c r="G8">
        <f>32.53283719</f>
        <v>32.532837190000002</v>
      </c>
      <c r="H8">
        <f>6.226133418</f>
        <v>6.2261334179999999</v>
      </c>
      <c r="I8">
        <f>38.75897061</f>
        <v>38.758970609999999</v>
      </c>
      <c r="J8">
        <f>141.15703</f>
        <v>141.15702999999999</v>
      </c>
      <c r="K8">
        <f>5.677745</f>
        <v>5.6777449999999998</v>
      </c>
      <c r="L8">
        <f>7014.6634</f>
        <v>7014.6634000000004</v>
      </c>
    </row>
    <row r="9" spans="1:12" x14ac:dyDescent="0.25">
      <c r="A9">
        <f>0.67</f>
        <v>0.67</v>
      </c>
      <c r="B9">
        <f>39.64345002</f>
        <v>39.643450020000003</v>
      </c>
      <c r="C9">
        <f>35.3391483</f>
        <v>35.339148299999998</v>
      </c>
      <c r="D9">
        <f>25.29791456</f>
        <v>25.297914559999999</v>
      </c>
      <c r="E9">
        <f>60.63706286</f>
        <v>60.63706286</v>
      </c>
      <c r="F9">
        <f>37.19822017</f>
        <v>37.198220169999999</v>
      </c>
      <c r="G9">
        <f>33.15941015</f>
        <v>33.159410149999999</v>
      </c>
      <c r="H9">
        <f>6.198008839</f>
        <v>6.1980088389999999</v>
      </c>
      <c r="I9">
        <f>39.35741899</f>
        <v>39.357418989999999</v>
      </c>
      <c r="J9">
        <f>138.52237</f>
        <v>138.52237</v>
      </c>
      <c r="K9">
        <f>5.7793029</f>
        <v>5.7793029000000002</v>
      </c>
      <c r="L9">
        <f>6780.9944</f>
        <v>6780.9943999999996</v>
      </c>
    </row>
    <row r="10" spans="1:12" x14ac:dyDescent="0.25">
      <c r="A10">
        <f>0.68</f>
        <v>0.68</v>
      </c>
      <c r="B10">
        <f>40.2351433</f>
        <v>40.235143299999997</v>
      </c>
      <c r="C10">
        <f>36.00703358</f>
        <v>36.007033579999998</v>
      </c>
      <c r="D10">
        <f>25.12813037</f>
        <v>25.128130370000001</v>
      </c>
      <c r="E10">
        <f>61.13516396</f>
        <v>61.13516396</v>
      </c>
      <c r="F10">
        <f>37.75341748</f>
        <v>37.753417480000003</v>
      </c>
      <c r="G10">
        <f>33.78609991</f>
        <v>33.786099909999997</v>
      </c>
      <c r="H10">
        <f>6.170096308</f>
        <v>6.1700963079999998</v>
      </c>
      <c r="I10">
        <f>39.95619622</f>
        <v>39.956196220000002</v>
      </c>
      <c r="J10">
        <f>135.74179</f>
        <v>135.74179000000001</v>
      </c>
      <c r="K10">
        <f>5.8847354</f>
        <v>5.8847354000000003</v>
      </c>
      <c r="L10">
        <f>6547.1597</f>
        <v>6547.1597000000002</v>
      </c>
    </row>
    <row r="11" spans="1:12" x14ac:dyDescent="0.25">
      <c r="A11">
        <f>0.69</f>
        <v>0.69</v>
      </c>
      <c r="B11">
        <f>40.82683658</f>
        <v>40.826836579999998</v>
      </c>
      <c r="C11">
        <f>36.67505749</f>
        <v>36.67505749</v>
      </c>
      <c r="D11">
        <f>24.95803936</f>
        <v>24.958039360000001</v>
      </c>
      <c r="E11">
        <f>61.63309685</f>
        <v>61.633096850000001</v>
      </c>
      <c r="F11">
        <f>38.3086148</f>
        <v>38.308614800000001</v>
      </c>
      <c r="G11">
        <f>34.41291973</f>
        <v>34.412919729999999</v>
      </c>
      <c r="H11">
        <f>6.142405016</f>
        <v>6.1424050159999997</v>
      </c>
      <c r="I11">
        <f>40.55532474</f>
        <v>40.555324740000003</v>
      </c>
      <c r="J11">
        <f>132.81474</f>
        <v>132.81474</v>
      </c>
      <c r="K11">
        <f>5.9942889</f>
        <v>5.9942888999999999</v>
      </c>
      <c r="L11">
        <f>6313.1407</f>
        <v>6313.1406999999999</v>
      </c>
    </row>
    <row r="12" spans="1:12" x14ac:dyDescent="0.25">
      <c r="A12">
        <f>0.7</f>
        <v>0.7</v>
      </c>
      <c r="B12">
        <f>41.41852987</f>
        <v>41.41852987</v>
      </c>
      <c r="C12">
        <f>37.3432364</f>
        <v>37.343236400000002</v>
      </c>
      <c r="D12">
        <f>24.78760511</f>
        <v>24.787605110000001</v>
      </c>
      <c r="E12">
        <f>62.13084151</f>
        <v>62.130841510000003</v>
      </c>
      <c r="F12">
        <f>38.86381212</f>
        <v>38.863812119999999</v>
      </c>
      <c r="G12">
        <f>35.03988499</f>
        <v>35.039884989999997</v>
      </c>
      <c r="H12">
        <f>6.114944596</f>
        <v>6.114944596</v>
      </c>
      <c r="I12">
        <f>41.15482959</f>
        <v>41.154829589999999</v>
      </c>
      <c r="J12">
        <f>129.7406</f>
        <v>129.7406</v>
      </c>
      <c r="K12">
        <f>6.1082341</f>
        <v>6.1082340999999998</v>
      </c>
      <c r="L12">
        <f>6078.9161</f>
        <v>6078.9161000000004</v>
      </c>
    </row>
    <row r="13" spans="1:12" x14ac:dyDescent="0.25">
      <c r="A13">
        <f>0.71</f>
        <v>0.71</v>
      </c>
      <c r="B13">
        <f>42.01022315</f>
        <v>42.010223150000002</v>
      </c>
      <c r="C13">
        <f>38.01158944</f>
        <v>38.011589440000002</v>
      </c>
      <c r="D13">
        <f>24.61678517</f>
        <v>24.61678517</v>
      </c>
      <c r="E13">
        <f>62.62837461</f>
        <v>62.628374610000002</v>
      </c>
      <c r="F13">
        <f>39.41900943</f>
        <v>39.419009430000003</v>
      </c>
      <c r="G13">
        <f>35.66701365</f>
        <v>35.667013650000001</v>
      </c>
      <c r="H13">
        <f>6.087725118</f>
        <v>6.0877251179999998</v>
      </c>
      <c r="I13">
        <f>41.75473877</f>
        <v>41.754738770000003</v>
      </c>
      <c r="J13">
        <f>126.51864</f>
        <v>126.51864</v>
      </c>
      <c r="K13">
        <f>6.2268699</f>
        <v>6.2268698999999996</v>
      </c>
      <c r="L13">
        <f>5844.4606</f>
        <v>5844.4606000000003</v>
      </c>
    </row>
    <row r="14" spans="1:12" x14ac:dyDescent="0.25">
      <c r="A14">
        <f>0.72</f>
        <v>0.72</v>
      </c>
      <c r="B14">
        <f>42.60191644</f>
        <v>42.601916439999997</v>
      </c>
      <c r="C14">
        <f>38.68013905</f>
        <v>38.680139050000001</v>
      </c>
      <c r="D14">
        <f>24.44552967</f>
        <v>24.445529669999999</v>
      </c>
      <c r="E14">
        <f>63.12566872</f>
        <v>63.12566872</v>
      </c>
      <c r="F14">
        <f>39.97420675</f>
        <v>39.97420675</v>
      </c>
      <c r="G14">
        <f>36.29432675</f>
        <v>36.294326750000003</v>
      </c>
      <c r="H14">
        <f>6.060757086</f>
        <v>6.0607570859999997</v>
      </c>
      <c r="I14">
        <f>42.35508384</f>
        <v>42.355083839999999</v>
      </c>
      <c r="J14">
        <f>123.148</f>
        <v>123.148</v>
      </c>
      <c r="K14">
        <f>6.3505279</f>
        <v>6.3505279000000003</v>
      </c>
      <c r="L14">
        <f>5609.7452</f>
        <v>5609.7452000000003</v>
      </c>
    </row>
    <row r="15" spans="1:12" x14ac:dyDescent="0.25">
      <c r="A15">
        <f>0.73</f>
        <v>0.73</v>
      </c>
      <c r="B15">
        <f>43.19360972</f>
        <v>43.193609719999998</v>
      </c>
      <c r="C15">
        <f>39.34891177</f>
        <v>39.348911770000001</v>
      </c>
      <c r="D15">
        <f>24.27377964</f>
        <v>24.273779640000001</v>
      </c>
      <c r="E15">
        <f>63.62269141</f>
        <v>63.622691410000002</v>
      </c>
      <c r="F15">
        <f>40.52940406</f>
        <v>40.529404059999997</v>
      </c>
      <c r="G15">
        <f>36.92184921</f>
        <v>36.921849209999998</v>
      </c>
      <c r="H15">
        <f>6.034051417</f>
        <v>6.0340514169999997</v>
      </c>
      <c r="I15">
        <f>42.95590062</f>
        <v>42.955900620000001</v>
      </c>
      <c r="J15">
        <f>119.62767</f>
        <v>119.62766999999999</v>
      </c>
      <c r="K15">
        <f>6.4795779</f>
        <v>6.4795778999999998</v>
      </c>
      <c r="L15">
        <f>5374.7349</f>
        <v>5374.7349000000004</v>
      </c>
    </row>
    <row r="16" spans="1:12" x14ac:dyDescent="0.25">
      <c r="A16">
        <f>0.74</f>
        <v>0.74</v>
      </c>
      <c r="B16">
        <f>43.785303</f>
        <v>43.785302999999999</v>
      </c>
      <c r="C16">
        <f>40.01793923</f>
        <v>40.017939230000003</v>
      </c>
      <c r="D16">
        <f>24.10146479</f>
        <v>24.101464790000001</v>
      </c>
      <c r="E16">
        <f>64.11940402</f>
        <v>64.119404020000005</v>
      </c>
      <c r="F16">
        <f>41.08460138</f>
        <v>41.084601380000002</v>
      </c>
      <c r="G16">
        <f>37.54961068</f>
        <v>37.549610680000001</v>
      </c>
      <c r="H16">
        <f>6.007619401</f>
        <v>6.0076194010000004</v>
      </c>
      <c r="I16">
        <f>43.55723009</f>
        <v>43.557230089999997</v>
      </c>
      <c r="J16">
        <f>115.95645</f>
        <v>115.95645</v>
      </c>
      <c r="K16">
        <f>6.614435</f>
        <v>6.6144350000000003</v>
      </c>
      <c r="L16">
        <f>5139.3887</f>
        <v>5139.3887000000004</v>
      </c>
    </row>
    <row r="17" spans="1:12" x14ac:dyDescent="0.25">
      <c r="A17">
        <f>0.75</f>
        <v>0.75</v>
      </c>
      <c r="B17">
        <f>44.37699629</f>
        <v>44.376996290000001</v>
      </c>
      <c r="C17">
        <f>40.68725945</f>
        <v>40.687259449999999</v>
      </c>
      <c r="D17">
        <f>23.92850062</f>
        <v>23.928500620000001</v>
      </c>
      <c r="E17">
        <f>64.61576007</f>
        <v>64.615760069999993</v>
      </c>
      <c r="F17">
        <f>41.6397987</f>
        <v>41.6397987</v>
      </c>
      <c r="G17">
        <f>38.17764686</f>
        <v>38.177646860000003</v>
      </c>
      <c r="H17">
        <f>5.981472635</f>
        <v>5.9814726350000003</v>
      </c>
      <c r="I17">
        <f>44.1591195</f>
        <v>44.159119500000003</v>
      </c>
      <c r="J17">
        <f>112.1329</f>
        <v>112.13290000000001</v>
      </c>
      <c r="K17">
        <f>6.7555685</f>
        <v>6.7555684999999999</v>
      </c>
      <c r="L17">
        <f>4903.6569</f>
        <v>4903.6569</v>
      </c>
    </row>
    <row r="18" spans="1:12" x14ac:dyDescent="0.25">
      <c r="A18">
        <f>0.76</f>
        <v>0.76</v>
      </c>
      <c r="B18">
        <f>44.96868957</f>
        <v>44.968689570000002</v>
      </c>
      <c r="C18">
        <f>41.35691856</f>
        <v>41.356918559999997</v>
      </c>
      <c r="D18">
        <f>23.75478455</f>
        <v>23.75478455</v>
      </c>
      <c r="E18">
        <f>65.11170311</f>
        <v>65.111703109999993</v>
      </c>
      <c r="F18">
        <f>42.19499601</f>
        <v>42.194996009999997</v>
      </c>
      <c r="G18">
        <f>38.80600103</f>
        <v>38.806001029999997</v>
      </c>
      <c r="H18">
        <f>5.955622913</f>
        <v>5.955622913</v>
      </c>
      <c r="I18">
        <f>44.76162394</f>
        <v>44.76162394</v>
      </c>
      <c r="J18">
        <f>108.15528</f>
        <v>108.15528</v>
      </c>
      <c r="K18">
        <f>6.9035131</f>
        <v>6.9035130999999996</v>
      </c>
      <c r="L18">
        <f>4667.4794</f>
        <v>4667.4794000000002</v>
      </c>
    </row>
    <row r="19" spans="1:12" x14ac:dyDescent="0.25">
      <c r="A19">
        <f>0.77</f>
        <v>0.77</v>
      </c>
      <c r="B19">
        <f>45.56038285</f>
        <v>45.560382850000003</v>
      </c>
      <c r="C19">
        <f>42.02697317</f>
        <v>42.026973169999998</v>
      </c>
      <c r="D19">
        <f>23.58019073</f>
        <v>23.580190730000002</v>
      </c>
      <c r="E19">
        <f>65.6071639</f>
        <v>65.607163900000003</v>
      </c>
      <c r="F19">
        <f>42.75019333</f>
        <v>42.750193330000002</v>
      </c>
      <c r="G19">
        <f>39.4347263</f>
        <v>39.434726300000001</v>
      </c>
      <c r="H19">
        <f>5.930082058</f>
        <v>5.930082058</v>
      </c>
      <c r="I19">
        <f>45.36480836</f>
        <v>45.364808359999998</v>
      </c>
      <c r="J19">
        <f>104.02145</f>
        <v>104.02145</v>
      </c>
      <c r="K19">
        <f>7.0588844</f>
        <v>7.0588844000000002</v>
      </c>
      <c r="L19">
        <f>4430.7825</f>
        <v>4430.7825000000003</v>
      </c>
    </row>
    <row r="20" spans="1:12" x14ac:dyDescent="0.25">
      <c r="A20">
        <f>0.78</f>
        <v>0.78</v>
      </c>
      <c r="B20">
        <f>46.15207614</f>
        <v>46.152076139999998</v>
      </c>
      <c r="C20">
        <f>42.69749355</f>
        <v>42.697493549999997</v>
      </c>
      <c r="D20">
        <f>23.40456284</f>
        <v>23.404562840000001</v>
      </c>
      <c r="E20">
        <f>66.1020564</f>
        <v>66.102056399999995</v>
      </c>
      <c r="F20">
        <f>43.30539064</f>
        <v>43.305390639999999</v>
      </c>
      <c r="G20">
        <f>40.06388862</f>
        <v>40.06388862</v>
      </c>
      <c r="H20">
        <f>5.904861666</f>
        <v>5.9048616660000004</v>
      </c>
      <c r="I20">
        <f>45.96875028</f>
        <v>45.968750280000002</v>
      </c>
      <c r="J20">
        <f>99.728753</f>
        <v>99.728752999999998</v>
      </c>
      <c r="K20">
        <f>7.2223988</f>
        <v>7.2223987999999997</v>
      </c>
      <c r="L20">
        <f>4193.475</f>
        <v>4193.4750000000004</v>
      </c>
    </row>
    <row r="21" spans="1:12" x14ac:dyDescent="0.25">
      <c r="A21">
        <f>0.79</f>
        <v>0.79</v>
      </c>
      <c r="B21">
        <f>46.74376942</f>
        <v>46.74376942</v>
      </c>
      <c r="C21">
        <f>43.36856821</f>
        <v>43.368568209999999</v>
      </c>
      <c r="D21">
        <f>23.22770407</f>
        <v>23.227704070000001</v>
      </c>
      <c r="E21">
        <f>66.59627228</f>
        <v>66.596272279999994</v>
      </c>
      <c r="F21">
        <f>43.86058796</f>
        <v>43.860587959999997</v>
      </c>
      <c r="G21">
        <f>40.69357102</f>
        <v>40.69357102</v>
      </c>
      <c r="H21">
        <f>5.87997271</f>
        <v>5.8799727099999997</v>
      </c>
      <c r="I21">
        <f>46.57354373</f>
        <v>46.573543729999997</v>
      </c>
      <c r="J21">
        <f>95.273875</f>
        <v>95.273875000000004</v>
      </c>
      <c r="K21">
        <f>7.3949013</f>
        <v>7.3949012999999999</v>
      </c>
      <c r="L21">
        <f>3955.4419</f>
        <v>3955.4418999999998</v>
      </c>
    </row>
    <row r="22" spans="1:12" x14ac:dyDescent="0.25">
      <c r="A22">
        <f>0.8</f>
        <v>0.8</v>
      </c>
      <c r="B22">
        <f>47.33546271</f>
        <v>47.335462710000002</v>
      </c>
      <c r="C22">
        <f>44.04031031</f>
        <v>44.040310310000002</v>
      </c>
      <c r="D22">
        <f>23.04936265</f>
        <v>23.049362649999999</v>
      </c>
      <c r="E22">
        <f>67.08967296</f>
        <v>67.089672960000001</v>
      </c>
      <c r="F22">
        <f>44.41578528</f>
        <v>44.415785280000001</v>
      </c>
      <c r="G22">
        <f>41.3238797</f>
        <v>41.323879699999999</v>
      </c>
      <c r="H22">
        <f>5.855424936</f>
        <v>5.8554249360000004</v>
      </c>
      <c r="I22">
        <f>47.17930463</f>
        <v>47.179304629999997</v>
      </c>
      <c r="J22">
        <f>90.65257</f>
        <v>90.652569999999997</v>
      </c>
      <c r="K22">
        <f>7.5774046</f>
        <v>7.5774046000000004</v>
      </c>
      <c r="L22">
        <f>3716.5365</f>
        <v>3716.5365000000002</v>
      </c>
    </row>
    <row r="23" spans="1:12" x14ac:dyDescent="0.25">
      <c r="A23">
        <f>0.81</f>
        <v>0.81</v>
      </c>
      <c r="B23">
        <f>47.92715599</f>
        <v>47.927155990000003</v>
      </c>
      <c r="C23">
        <f>44.71286728</f>
        <v>44.712867279999998</v>
      </c>
      <c r="D23">
        <f>22.86921058</f>
        <v>22.869210580000001</v>
      </c>
      <c r="E23">
        <f>67.58207786</f>
        <v>67.582077859999998</v>
      </c>
      <c r="F23">
        <f>44.97098259</f>
        <v>44.970982589999998</v>
      </c>
      <c r="G23">
        <f>41.95495298</f>
        <v>41.954952980000002</v>
      </c>
      <c r="H23">
        <f>5.83122593</f>
        <v>5.8312259299999996</v>
      </c>
      <c r="I23">
        <f>47.78617891</f>
        <v>47.786178909999997</v>
      </c>
      <c r="J23">
        <f>85.859327</f>
        <v>85.859326999999993</v>
      </c>
      <c r="K23">
        <f>7.7711458</f>
        <v>7.7711458000000002</v>
      </c>
      <c r="L23">
        <f>3476.568</f>
        <v>3476.5680000000002</v>
      </c>
    </row>
    <row r="24" spans="1:12" x14ac:dyDescent="0.25">
      <c r="A24">
        <f>0.82</f>
        <v>0.82</v>
      </c>
      <c r="B24">
        <f>48.51884927</f>
        <v>48.518849269999997</v>
      </c>
      <c r="C24">
        <f>45.38643403</f>
        <v>45.386434029999997</v>
      </c>
      <c r="D24">
        <f>22.68681418</f>
        <v>22.686814179999999</v>
      </c>
      <c r="E24">
        <f>68.0732482</f>
        <v>68.073248199999995</v>
      </c>
      <c r="F24">
        <f>45.52617991</f>
        <v>45.526179910000003</v>
      </c>
      <c r="G24">
        <f>42.58697376</f>
        <v>42.586973759999999</v>
      </c>
      <c r="H24">
        <f>5.807380016</f>
        <v>5.8073800159999998</v>
      </c>
      <c r="I24">
        <f>48.39435378</f>
        <v>48.394353780000003</v>
      </c>
      <c r="J24">
        <f>80.887827</f>
        <v>80.887827000000001</v>
      </c>
      <c r="K24">
        <f>7.9776681</f>
        <v>7.9776680999999998</v>
      </c>
      <c r="L24">
        <f>3235.3226</f>
        <v>3235.3226</v>
      </c>
    </row>
    <row r="25" spans="1:12" x14ac:dyDescent="0.25">
      <c r="A25">
        <f>0.83</f>
        <v>0.83</v>
      </c>
      <c r="B25">
        <f>49.11054256</f>
        <v>49.110542559999999</v>
      </c>
      <c r="C25">
        <f>46.06128087</f>
        <v>46.061280869999997</v>
      </c>
      <c r="D25">
        <f>22.50157188</f>
        <v>22.50157188</v>
      </c>
      <c r="E25">
        <f>68.56285275</f>
        <v>68.562852750000005</v>
      </c>
      <c r="F25">
        <f>46.08137722</f>
        <v>46.08137722</v>
      </c>
      <c r="G25">
        <f>43.22019568</f>
        <v>43.220195680000003</v>
      </c>
      <c r="H25">
        <f>5.783884433</f>
        <v>5.7838844329999999</v>
      </c>
      <c r="I25">
        <f>49.00408011</f>
        <v>49.004080109999997</v>
      </c>
      <c r="J25">
        <f>75.726261</f>
        <v>75.726260999999994</v>
      </c>
      <c r="K25">
        <f>8.1989668</f>
        <v>8.1989668000000009</v>
      </c>
      <c r="L25">
        <f>2992.3797</f>
        <v>2992.3797</v>
      </c>
    </row>
    <row r="26" spans="1:12" x14ac:dyDescent="0.25">
      <c r="A26">
        <f>0.84</f>
        <v>0.84</v>
      </c>
      <c r="B26">
        <f>49.70223584</f>
        <v>49.70223584</v>
      </c>
      <c r="C26">
        <f>46.7377845</f>
        <v>46.737784499999997</v>
      </c>
      <c r="D26">
        <f>22.31264534</f>
        <v>22.31264534</v>
      </c>
      <c r="E26">
        <f>69.05042985</f>
        <v>69.05042985</v>
      </c>
      <c r="F26">
        <f>46.63657454</f>
        <v>46.636574539999998</v>
      </c>
      <c r="G26">
        <f>43.8549722</f>
        <v>43.854972199999999</v>
      </c>
      <c r="H26">
        <f>5.760727355</f>
        <v>5.7607273550000002</v>
      </c>
      <c r="I26">
        <f>49.61569955</f>
        <v>49.615699550000002</v>
      </c>
      <c r="J26">
        <f>70.361611</f>
        <v>70.361610999999996</v>
      </c>
      <c r="K26">
        <f>8.4376899</f>
        <v>8.4376899000000005</v>
      </c>
      <c r="L26">
        <f>2747.2916</f>
        <v>2747.2916</v>
      </c>
    </row>
    <row r="27" spans="1:12" x14ac:dyDescent="0.25">
      <c r="A27">
        <f>0.85</f>
        <v>0.85</v>
      </c>
      <c r="B27">
        <f>50.29392913</f>
        <v>50.293929130000002</v>
      </c>
      <c r="C27">
        <f>47.41649886</f>
        <v>47.416498859999997</v>
      </c>
      <c r="D27">
        <f>22.11880167</f>
        <v>22.11880167</v>
      </c>
      <c r="E27">
        <f>69.53530053</f>
        <v>69.535300530000001</v>
      </c>
      <c r="F27">
        <f>47.19177186</f>
        <v>47.191771860000003</v>
      </c>
      <c r="G27">
        <f>44.49182307</f>
        <v>44.491823070000002</v>
      </c>
      <c r="H27">
        <f>5.737879495</f>
        <v>5.7378794949999996</v>
      </c>
      <c r="I27">
        <f>50.22970257</f>
        <v>50.229702570000001</v>
      </c>
      <c r="J27">
        <f>64.773591</f>
        <v>64.773590999999996</v>
      </c>
      <c r="K27">
        <f>8.6975304</f>
        <v>8.6975303999999998</v>
      </c>
      <c r="L27">
        <f>2499.3514</f>
        <v>2499.3514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7"/>
  <sheetViews>
    <sheetView workbookViewId="0">
      <selection activeCell="V18" sqref="V18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>35.99467477</f>
        <v>35.994674770000003</v>
      </c>
      <c r="C2">
        <f>31.08603989</f>
        <v>31.086039889999999</v>
      </c>
      <c r="D2">
        <f>25.51288496</f>
        <v>25.512884960000001</v>
      </c>
      <c r="E2">
        <f>56.59892485</f>
        <v>56.598924850000003</v>
      </c>
      <c r="F2">
        <f>33.77450339</f>
        <v>33.77450339</v>
      </c>
      <c r="G2">
        <f>29.16863582</f>
        <v>29.168635819999999</v>
      </c>
      <c r="H2">
        <f>6.102715487</f>
        <v>6.1027154870000002</v>
      </c>
      <c r="I2">
        <f>35.2713513</f>
        <v>35.271351299999999</v>
      </c>
      <c r="J2">
        <f>153.57738</f>
        <v>153.57738000000001</v>
      </c>
      <c r="K2">
        <f>5.1304932</f>
        <v>5.1304932000000001</v>
      </c>
      <c r="L2">
        <f>8395.0692</f>
        <v>8395.0691999999999</v>
      </c>
    </row>
    <row r="3" spans="1:12" x14ac:dyDescent="0.25">
      <c r="A3">
        <f>0.61</f>
        <v>0.61</v>
      </c>
      <c r="B3">
        <f>36.59458601</f>
        <v>36.59458601</v>
      </c>
      <c r="C3">
        <f>31.76253694</f>
        <v>31.76253694</v>
      </c>
      <c r="D3">
        <f>25.34221012</f>
        <v>25.342210120000001</v>
      </c>
      <c r="E3">
        <f>57.10474706</f>
        <v>57.104747060000001</v>
      </c>
      <c r="F3">
        <f>34.33741178</f>
        <v>34.337411779999996</v>
      </c>
      <c r="G3">
        <f>29.80340616</f>
        <v>29.803406160000002</v>
      </c>
      <c r="H3">
        <f>6.072045952</f>
        <v>6.0720459519999999</v>
      </c>
      <c r="I3">
        <f>35.87545211</f>
        <v>35.875452109999998</v>
      </c>
      <c r="J3">
        <f>151.80329</f>
        <v>151.80329</v>
      </c>
      <c r="K3">
        <f>5.2126874</f>
        <v>5.2126874000000001</v>
      </c>
      <c r="L3">
        <f>8162.0571</f>
        <v>8162.0571</v>
      </c>
    </row>
    <row r="4" spans="1:12" x14ac:dyDescent="0.25">
      <c r="A4">
        <f>0.62</f>
        <v>0.62</v>
      </c>
      <c r="B4">
        <f>37.19449726</f>
        <v>37.194497259999999</v>
      </c>
      <c r="C4">
        <f>32.4391057</f>
        <v>32.439105699999999</v>
      </c>
      <c r="D4">
        <f>25.17137687</f>
        <v>25.17137687</v>
      </c>
      <c r="E4">
        <f>57.61048257</f>
        <v>57.610482570000002</v>
      </c>
      <c r="F4">
        <f>34.90032017</f>
        <v>34.900320170000001</v>
      </c>
      <c r="G4">
        <f>30.43824378</f>
        <v>30.438243780000001</v>
      </c>
      <c r="H4">
        <f>6.041512762</f>
        <v>6.041512762</v>
      </c>
      <c r="I4">
        <f>36.47975655</f>
        <v>36.479756549999998</v>
      </c>
      <c r="J4">
        <f>149.88526</f>
        <v>149.88525999999999</v>
      </c>
      <c r="K4">
        <f>5.297639</f>
        <v>5.2976390000000002</v>
      </c>
      <c r="L4">
        <f>7928.9467</f>
        <v>7928.9467000000004</v>
      </c>
    </row>
    <row r="5" spans="1:12" x14ac:dyDescent="0.25">
      <c r="A5">
        <f>0.63</f>
        <v>0.63</v>
      </c>
      <c r="B5">
        <f>37.7944085</f>
        <v>37.794408500000003</v>
      </c>
      <c r="C5">
        <f>33.11575279</f>
        <v>33.115752790000002</v>
      </c>
      <c r="D5">
        <f>25.00037054</f>
        <v>25.000370539999999</v>
      </c>
      <c r="E5">
        <f>58.11612333</f>
        <v>58.116123330000001</v>
      </c>
      <c r="F5">
        <f>35.46322856</f>
        <v>35.463228559999997</v>
      </c>
      <c r="G5">
        <f>31.0731549</f>
        <v>31.073154899999999</v>
      </c>
      <c r="H5">
        <f>6.011121298</f>
        <v>6.0111212979999999</v>
      </c>
      <c r="I5">
        <f>37.0842762</f>
        <v>37.084276199999998</v>
      </c>
      <c r="J5">
        <f>147.82301</f>
        <v>147.82301000000001</v>
      </c>
      <c r="K5">
        <f>5.3854965</f>
        <v>5.3854965000000004</v>
      </c>
      <c r="L5">
        <f>7695.7291</f>
        <v>7695.7290999999996</v>
      </c>
    </row>
    <row r="6" spans="1:12" x14ac:dyDescent="0.25">
      <c r="A6">
        <f>0.64</f>
        <v>0.64</v>
      </c>
      <c r="B6">
        <f>38.39431975</f>
        <v>38.394319750000001</v>
      </c>
      <c r="C6">
        <f>33.79248567</f>
        <v>33.792485669999998</v>
      </c>
      <c r="D6">
        <f>24.82917456</f>
        <v>24.829174559999998</v>
      </c>
      <c r="E6">
        <f>58.62166023</f>
        <v>58.621660230000003</v>
      </c>
      <c r="F6">
        <f>36.02613695</f>
        <v>36.026136950000001</v>
      </c>
      <c r="G6">
        <f>31.70814653</f>
        <v>31.70814653</v>
      </c>
      <c r="H6">
        <f>5.980877185</f>
        <v>5.9808771849999998</v>
      </c>
      <c r="I6">
        <f>37.68902371</f>
        <v>37.689023710000001</v>
      </c>
      <c r="J6">
        <f>145.61627</f>
        <v>145.61626999999999</v>
      </c>
      <c r="K6">
        <f>5.4764205</f>
        <v>5.4764204999999997</v>
      </c>
      <c r="L6">
        <f>7462.3943</f>
        <v>7462.3942999999999</v>
      </c>
    </row>
    <row r="7" spans="1:12" x14ac:dyDescent="0.25">
      <c r="A7">
        <f>0.65</f>
        <v>0.65</v>
      </c>
      <c r="B7">
        <f>38.994231</f>
        <v>38.994230999999999</v>
      </c>
      <c r="C7">
        <f>34.46931279</f>
        <v>34.469312789999996</v>
      </c>
      <c r="D7">
        <f>24.65777018</f>
        <v>24.65777018</v>
      </c>
      <c r="E7">
        <f>59.12708298</f>
        <v>59.127082979999997</v>
      </c>
      <c r="F7">
        <f>36.58904534</f>
        <v>36.589045339999998</v>
      </c>
      <c r="G7">
        <f>32.34322658</f>
        <v>32.34322658</v>
      </c>
      <c r="H7">
        <f>5.95078629</f>
        <v>5.9507862899999999</v>
      </c>
      <c r="I7">
        <f>38.29401287</f>
        <v>38.294012870000003</v>
      </c>
      <c r="J7">
        <f>143.26469</f>
        <v>143.26469</v>
      </c>
      <c r="K7">
        <f>5.5705848</f>
        <v>5.5705847999999998</v>
      </c>
      <c r="L7">
        <f>7228.9309</f>
        <v>7228.9309000000003</v>
      </c>
    </row>
    <row r="8" spans="1:12" x14ac:dyDescent="0.25">
      <c r="A8">
        <f>0.66</f>
        <v>0.66</v>
      </c>
      <c r="B8">
        <f>39.59414224</f>
        <v>39.594142239999996</v>
      </c>
      <c r="C8">
        <f>35.14624378</f>
        <v>35.146243779999999</v>
      </c>
      <c r="D8">
        <f>24.48613606</f>
        <v>24.48613606</v>
      </c>
      <c r="E8">
        <f>59.63237985</f>
        <v>59.63237985</v>
      </c>
      <c r="F8">
        <f>37.15195373</f>
        <v>37.151953730000002</v>
      </c>
      <c r="G8">
        <f>32.9784041</f>
        <v>32.978404099999999</v>
      </c>
      <c r="H8">
        <f>5.920854728</f>
        <v>5.9208547280000001</v>
      </c>
      <c r="I8">
        <f>38.89925882</f>
        <v>38.89925882</v>
      </c>
      <c r="J8">
        <f>140.7679</f>
        <v>140.7679</v>
      </c>
      <c r="K8">
        <f>5.6681778</f>
        <v>5.6681777999999996</v>
      </c>
      <c r="L8">
        <f>6995.326</f>
        <v>6995.326</v>
      </c>
    </row>
    <row r="9" spans="1:12" x14ac:dyDescent="0.25">
      <c r="A9">
        <f>0.67</f>
        <v>0.67</v>
      </c>
      <c r="B9">
        <f>40.19405349</f>
        <v>40.194053490000002</v>
      </c>
      <c r="C9">
        <f>35.82328962</f>
        <v>35.823289619999997</v>
      </c>
      <c r="D9">
        <f>24.31424782</f>
        <v>24.314247819999999</v>
      </c>
      <c r="E9">
        <f>60.13753744</f>
        <v>60.137537440000003</v>
      </c>
      <c r="F9">
        <f>37.71486212</f>
        <v>37.714862119999999</v>
      </c>
      <c r="G9">
        <f>33.61368937</f>
        <v>33.613689370000003</v>
      </c>
      <c r="H9">
        <f>5.891088858</f>
        <v>5.8910888579999998</v>
      </c>
      <c r="I9">
        <f>39.50477823</f>
        <v>39.504778229999999</v>
      </c>
      <c r="J9">
        <f>138.12546</f>
        <v>138.12546</v>
      </c>
      <c r="K9">
        <f>5.7694048</f>
        <v>5.7694048000000002</v>
      </c>
      <c r="L9">
        <f>6761.5648</f>
        <v>6761.5648000000001</v>
      </c>
    </row>
    <row r="10" spans="1:12" x14ac:dyDescent="0.25">
      <c r="A10">
        <f>0.68</f>
        <v>0.68</v>
      </c>
      <c r="B10">
        <f>40.79396473</f>
        <v>40.793964729999999</v>
      </c>
      <c r="C10">
        <f>36.50046291</f>
        <v>36.500462910000003</v>
      </c>
      <c r="D10">
        <f>24.14207747</f>
        <v>24.14207747</v>
      </c>
      <c r="E10">
        <f>60.64254038</f>
        <v>60.64254038</v>
      </c>
      <c r="F10">
        <f>38.27777051</f>
        <v>38.277770510000003</v>
      </c>
      <c r="G10">
        <f>34.24909424</f>
        <v>34.249094239999998</v>
      </c>
      <c r="H10">
        <f>5.86149528</f>
        <v>5.8614952799999998</v>
      </c>
      <c r="I10">
        <f>40.11058952</f>
        <v>40.110589519999998</v>
      </c>
      <c r="J10">
        <f>135.33689</f>
        <v>135.33689000000001</v>
      </c>
      <c r="K10">
        <f>5.8744896</f>
        <v>5.8744896000000004</v>
      </c>
      <c r="L10">
        <f>6527.6304</f>
        <v>6527.6304</v>
      </c>
    </row>
    <row r="11" spans="1:12" x14ac:dyDescent="0.25">
      <c r="A11">
        <f>0.69</f>
        <v>0.69</v>
      </c>
      <c r="B11">
        <f>41.39387598</f>
        <v>41.393875979999997</v>
      </c>
      <c r="C11">
        <f>37.1777782</f>
        <v>37.177778199999999</v>
      </c>
      <c r="D11">
        <f>23.96959271</f>
        <v>23.969592710000001</v>
      </c>
      <c r="E11">
        <f>61.14737091</f>
        <v>61.147370909999999</v>
      </c>
      <c r="F11">
        <f>38.8406789</f>
        <v>38.8406789</v>
      </c>
      <c r="G11">
        <f>34.88463235</f>
        <v>34.884632349999997</v>
      </c>
      <c r="H11">
        <f>5.832080819</f>
        <v>5.8320808189999997</v>
      </c>
      <c r="I11">
        <f>40.71671317</f>
        <v>40.716713169999998</v>
      </c>
      <c r="J11">
        <f>132.40162</f>
        <v>132.40162000000001</v>
      </c>
      <c r="K11">
        <f>5.9836775</f>
        <v>5.9836774999999998</v>
      </c>
      <c r="L11">
        <f>6293.5033</f>
        <v>6293.5033000000003</v>
      </c>
    </row>
    <row r="12" spans="1:12" x14ac:dyDescent="0.25">
      <c r="A12">
        <f>0.7</f>
        <v>0.7</v>
      </c>
      <c r="B12">
        <f>41.99378723</f>
        <v>41.993787230000002</v>
      </c>
      <c r="C12">
        <f>37.85525236</f>
        <v>37.855252360000001</v>
      </c>
      <c r="D12">
        <f>23.79675608</f>
        <v>23.796756080000002</v>
      </c>
      <c r="E12">
        <f>61.65200844</f>
        <v>61.652008440000003</v>
      </c>
      <c r="F12">
        <f>39.40358728</f>
        <v>39.403587280000004</v>
      </c>
      <c r="G12">
        <f>35.52031953</f>
        <v>35.520319530000002</v>
      </c>
      <c r="H12">
        <f>5.802852502</f>
        <v>5.8028525020000004</v>
      </c>
      <c r="I12">
        <f>41.32317203</f>
        <v>41.323172030000002</v>
      </c>
      <c r="J12">
        <f>129.31898</f>
        <v>129.31898000000001</v>
      </c>
      <c r="K12">
        <f>6.0972381</f>
        <v>6.0972381000000002</v>
      </c>
      <c r="L12">
        <f>6059.161</f>
        <v>6059.1610000000001</v>
      </c>
    </row>
    <row r="13" spans="1:12" x14ac:dyDescent="0.25">
      <c r="A13">
        <f>0.71</f>
        <v>0.71</v>
      </c>
      <c r="B13">
        <f>42.59369847</f>
        <v>42.59369847</v>
      </c>
      <c r="C13">
        <f>38.53290508</f>
        <v>38.532905079999999</v>
      </c>
      <c r="D13">
        <f>23.62352383</f>
        <v>23.62352383</v>
      </c>
      <c r="E13">
        <f>62.15642891</f>
        <v>62.156428910000002</v>
      </c>
      <c r="F13">
        <f>39.96649567</f>
        <v>39.96649567</v>
      </c>
      <c r="G13">
        <f>36.15617426</f>
        <v>36.15617426</v>
      </c>
      <c r="H13">
        <f>5.773817527</f>
        <v>5.7738175270000003</v>
      </c>
      <c r="I13">
        <f>41.92999178</f>
        <v>41.929991780000002</v>
      </c>
      <c r="J13">
        <f>126.08821</f>
        <v>126.08821</v>
      </c>
      <c r="K13">
        <f>6.2154694</f>
        <v>6.2154693999999999</v>
      </c>
      <c r="L13">
        <f>5824.577</f>
        <v>5824.5770000000002</v>
      </c>
    </row>
    <row r="14" spans="1:12" x14ac:dyDescent="0.25">
      <c r="A14">
        <f>0.72</f>
        <v>0.72</v>
      </c>
      <c r="B14">
        <f>43.19360972</f>
        <v>43.193609719999998</v>
      </c>
      <c r="C14">
        <f>39.21075951</f>
        <v>39.210759510000003</v>
      </c>
      <c r="D14">
        <f>23.44984452</f>
        <v>23.449844519999999</v>
      </c>
      <c r="E14">
        <f>62.66060403</f>
        <v>62.660604030000002</v>
      </c>
      <c r="F14">
        <f>40.52940406</f>
        <v>40.529404059999997</v>
      </c>
      <c r="G14">
        <f>36.79221825</f>
        <v>36.792218249999998</v>
      </c>
      <c r="H14">
        <f>5.744983204</f>
        <v>5.7449832040000004</v>
      </c>
      <c r="I14">
        <f>42.53720145</f>
        <v>42.537201449999998</v>
      </c>
      <c r="J14">
        <f>122.7084</f>
        <v>122.7084</v>
      </c>
      <c r="K14">
        <f>6.3387018</f>
        <v>6.3387017999999999</v>
      </c>
      <c r="L14">
        <f>5589.7203</f>
        <v>5589.7203</v>
      </c>
    </row>
    <row r="15" spans="1:12" x14ac:dyDescent="0.25">
      <c r="A15">
        <f>0.73</f>
        <v>0.73</v>
      </c>
      <c r="B15">
        <f>43.79352097</f>
        <v>43.793520970000003</v>
      </c>
      <c r="C15">
        <f>39.88884303</f>
        <v>39.888843029999997</v>
      </c>
      <c r="D15">
        <f>23.27565731</f>
        <v>23.27565731</v>
      </c>
      <c r="E15">
        <f>63.16450034</f>
        <v>63.164500339999996</v>
      </c>
      <c r="F15">
        <f>41.09231245</f>
        <v>41.092312450000001</v>
      </c>
      <c r="G15">
        <f>37.4284772</f>
        <v>37.428477200000003</v>
      </c>
      <c r="H15">
        <f>5.716356881</f>
        <v>5.7163568810000003</v>
      </c>
      <c r="I15">
        <f>43.14483409</f>
        <v>43.144834090000003</v>
      </c>
      <c r="J15">
        <f>119.1785</f>
        <v>119.1785</v>
      </c>
      <c r="K15">
        <f>6.4673042</f>
        <v>6.4673042000000001</v>
      </c>
      <c r="L15">
        <f>5354.5545</f>
        <v>5354.5545000000002</v>
      </c>
    </row>
    <row r="16" spans="1:12" x14ac:dyDescent="0.25">
      <c r="A16">
        <f>0.74</f>
        <v>0.74</v>
      </c>
      <c r="B16">
        <f>44.39343221</f>
        <v>44.39343221</v>
      </c>
      <c r="C16">
        <f>40.56718831</f>
        <v>40.567188309999999</v>
      </c>
      <c r="D16">
        <f>23.10088957</f>
        <v>23.10088957</v>
      </c>
      <c r="E16">
        <f>63.66807788</f>
        <v>63.668077879999998</v>
      </c>
      <c r="F16">
        <f>41.65522084</f>
        <v>41.655220839999998</v>
      </c>
      <c r="G16">
        <f>38.06498178</f>
        <v>38.064981779999997</v>
      </c>
      <c r="H16">
        <f>5.687945828</f>
        <v>5.6879458280000001</v>
      </c>
      <c r="I16">
        <f>43.75292761</f>
        <v>43.75292761</v>
      </c>
      <c r="J16">
        <f>115.49724</f>
        <v>115.49724000000001</v>
      </c>
      <c r="K16">
        <f>6.6016906</f>
        <v>6.6016906000000004</v>
      </c>
      <c r="L16">
        <f>5119.0358</f>
        <v>5119.0357999999997</v>
      </c>
    </row>
    <row r="17" spans="1:12" x14ac:dyDescent="0.25">
      <c r="A17">
        <f>0.75</f>
        <v>0.75</v>
      </c>
      <c r="B17">
        <f>44.99334346</f>
        <v>44.993343459999998</v>
      </c>
      <c r="C17">
        <f>41.24583469</f>
        <v>41.245834690000002</v>
      </c>
      <c r="D17">
        <f>22.92545388</f>
        <v>22.925453879999999</v>
      </c>
      <c r="E17">
        <f>64.17128857</f>
        <v>64.171288570000002</v>
      </c>
      <c r="F17">
        <f>42.21812923</f>
        <v>42.218129230000002</v>
      </c>
      <c r="G17">
        <f>38.70176887</f>
        <v>38.701768870000002</v>
      </c>
      <c r="H17">
        <f>5.659757077</f>
        <v>5.6597570770000001</v>
      </c>
      <c r="I17">
        <f>44.36152595</f>
        <v>44.361525950000001</v>
      </c>
      <c r="J17">
        <f>111.66309</f>
        <v>111.66309</v>
      </c>
      <c r="K17">
        <f>6.7423298</f>
        <v>6.7423298000000003</v>
      </c>
      <c r="L17">
        <f>4883.1117</f>
        <v>4883.1117000000004</v>
      </c>
    </row>
    <row r="18" spans="1:12" x14ac:dyDescent="0.25">
      <c r="A18">
        <f>0.76</f>
        <v>0.76</v>
      </c>
      <c r="B18">
        <f>45.5932547</f>
        <v>45.593254700000003</v>
      </c>
      <c r="C18">
        <f>41.92482994</f>
        <v>41.924829940000002</v>
      </c>
      <c r="D18">
        <f>22.74924398</f>
        <v>22.749243979999999</v>
      </c>
      <c r="E18">
        <f>64.67407392</f>
        <v>64.674073919999998</v>
      </c>
      <c r="F18">
        <f>42.78103762</f>
        <v>42.781037619999999</v>
      </c>
      <c r="G18">
        <f>39.33888332</f>
        <v>39.338883320000001</v>
      </c>
      <c r="H18">
        <f>5.631797187</f>
        <v>5.6317971870000001</v>
      </c>
      <c r="I18">
        <f>44.97068051</f>
        <v>44.970680510000001</v>
      </c>
      <c r="J18">
        <f>107.67421</f>
        <v>107.67421</v>
      </c>
      <c r="K18">
        <f>6.8897561</f>
        <v>6.8897560999999996</v>
      </c>
      <c r="L18">
        <f>4646.7185</f>
        <v>4646.7184999999999</v>
      </c>
    </row>
    <row r="19" spans="1:12" x14ac:dyDescent="0.25">
      <c r="A19">
        <f>0.77</f>
        <v>0.77</v>
      </c>
      <c r="B19">
        <f>46.19316595</f>
        <v>46.193165950000001</v>
      </c>
      <c r="C19">
        <f>42.60423279</f>
        <v>42.604232789999998</v>
      </c>
      <c r="D19">
        <f>22.57212928</f>
        <v>22.572129279999999</v>
      </c>
      <c r="E19">
        <f>65.17636207</f>
        <v>65.176362069999996</v>
      </c>
      <c r="F19">
        <f>43.34394601</f>
        <v>43.343946010000003</v>
      </c>
      <c r="G19">
        <f>39.97638023</f>
        <v>39.976380229999997</v>
      </c>
      <c r="H19">
        <f>5.604071908</f>
        <v>5.6040719079999999</v>
      </c>
      <c r="I19">
        <f>45.58045214</f>
        <v>45.580452139999998</v>
      </c>
      <c r="J19">
        <f>103.52832</f>
        <v>103.52831999999999</v>
      </c>
      <c r="K19">
        <f>7.0445854</f>
        <v>7.0445853999999999</v>
      </c>
      <c r="L19">
        <f>4409.7779</f>
        <v>4409.7779</v>
      </c>
    </row>
    <row r="20" spans="1:12" x14ac:dyDescent="0.25">
      <c r="A20">
        <f>0.78</f>
        <v>0.78</v>
      </c>
      <c r="B20">
        <f>46.7930772</f>
        <v>46.793077199999999</v>
      </c>
      <c r="C20">
        <f>43.2841163</f>
        <v>43.284116300000001</v>
      </c>
      <c r="D20">
        <f>22.39394731</f>
        <v>22.393947310000001</v>
      </c>
      <c r="E20">
        <f>65.6780636</f>
        <v>65.678063600000002</v>
      </c>
      <c r="F20">
        <f>43.9068544</f>
        <v>43.9068544</v>
      </c>
      <c r="G20">
        <f>40.61432815</f>
        <v>40.614328149999999</v>
      </c>
      <c r="H20">
        <f>5.5765857</f>
        <v>5.5765856999999999</v>
      </c>
      <c r="I20">
        <f>46.19091385</f>
        <v>46.190913850000001</v>
      </c>
      <c r="J20">
        <f>99.22262</f>
        <v>99.222620000000006</v>
      </c>
      <c r="K20">
        <f>7.2075353</f>
        <v>7.2075353</v>
      </c>
      <c r="L20">
        <f>4172.1927</f>
        <v>4172.1926999999996</v>
      </c>
    </row>
    <row r="21" spans="1:12" x14ac:dyDescent="0.25">
      <c r="A21">
        <f>0.79</f>
        <v>0.79</v>
      </c>
      <c r="B21">
        <f>47.39298844</f>
        <v>47.392988440000003</v>
      </c>
      <c r="C21">
        <f>43.96457262</f>
        <v>43.964572619999998</v>
      </c>
      <c r="D21">
        <f>22.21449304</f>
        <v>22.214493040000001</v>
      </c>
      <c r="E21">
        <f>66.17906565</f>
        <v>66.179065649999998</v>
      </c>
      <c r="F21">
        <f>44.46976279</f>
        <v>44.469762789999997</v>
      </c>
      <c r="G21">
        <f>41.25281355</f>
        <v>41.252813549999999</v>
      </c>
      <c r="H21">
        <f>5.549341011</f>
        <v>5.5493410110000001</v>
      </c>
      <c r="I21">
        <f>46.80215456</f>
        <v>46.802154559999998</v>
      </c>
      <c r="J21">
        <f>94.753559</f>
        <v>94.753558999999996</v>
      </c>
      <c r="K21">
        <f>7.3794537</f>
        <v>7.3794537</v>
      </c>
      <c r="L21">
        <f>3933.8402</f>
        <v>3933.8402000000001</v>
      </c>
    </row>
    <row r="22" spans="1:12" x14ac:dyDescent="0.25">
      <c r="A22">
        <f>0.8</f>
        <v>0.8</v>
      </c>
      <c r="B22">
        <f>47.99289969</f>
        <v>47.992899690000002</v>
      </c>
      <c r="C22">
        <f>44.64571993</f>
        <v>44.645719929999998</v>
      </c>
      <c r="D22">
        <f>22.03350355</f>
        <v>22.033503549999999</v>
      </c>
      <c r="E22">
        <f>66.67922348</f>
        <v>66.679223480000005</v>
      </c>
      <c r="F22">
        <f>45.03267118</f>
        <v>45.032671180000001</v>
      </c>
      <c r="G22">
        <f>41.89194732</f>
        <v>41.89194732</v>
      </c>
      <c r="H22">
        <f>5.522337222</f>
        <v>5.522337222</v>
      </c>
      <c r="I22">
        <f>47.41428454</f>
        <v>47.414284539999997</v>
      </c>
      <c r="J22">
        <f>90.116606</f>
        <v>90.116606000000004</v>
      </c>
      <c r="K22">
        <f>7.5613591</f>
        <v>7.5613590999999998</v>
      </c>
      <c r="L22">
        <f>3694.5633</f>
        <v>3694.5632999999998</v>
      </c>
    </row>
    <row r="23" spans="1:12" x14ac:dyDescent="0.25">
      <c r="A23">
        <f>0.81</f>
        <v>0.81</v>
      </c>
      <c r="B23">
        <f>48.59281093</f>
        <v>48.592810929999999</v>
      </c>
      <c r="C23">
        <f>45.32771266</f>
        <v>45.327712660000003</v>
      </c>
      <c r="D23">
        <f>21.85063527</f>
        <v>21.850635270000001</v>
      </c>
      <c r="E23">
        <f>67.17834793</f>
        <v>67.178347930000001</v>
      </c>
      <c r="F23">
        <f>45.59557957</f>
        <v>45.595579569999998</v>
      </c>
      <c r="G23">
        <f>42.53187436</f>
        <v>42.531874360000003</v>
      </c>
      <c r="H23">
        <f>5.495569029</f>
        <v>5.4955690290000003</v>
      </c>
      <c r="I23">
        <f>48.02744339</f>
        <v>48.027443390000002</v>
      </c>
      <c r="J23">
        <f>85.305852</f>
        <v>85.305852000000002</v>
      </c>
      <c r="K23">
        <f>7.7544987</f>
        <v>7.7544987000000001</v>
      </c>
      <c r="L23">
        <f>3454.157</f>
        <v>3454.1570000000002</v>
      </c>
    </row>
    <row r="24" spans="1:12" x14ac:dyDescent="0.25">
      <c r="A24">
        <f>0.82</f>
        <v>0.82</v>
      </c>
      <c r="B24">
        <f>49.19272218</f>
        <v>49.192722179999997</v>
      </c>
      <c r="C24">
        <f>46.01075557</f>
        <v>46.010755570000001</v>
      </c>
      <c r="D24">
        <f>21.66543251</f>
        <v>21.665432509999999</v>
      </c>
      <c r="E24">
        <f>67.67618807</f>
        <v>67.676188069999995</v>
      </c>
      <c r="F24">
        <f>46.15848796</f>
        <v>46.158487960000002</v>
      </c>
      <c r="G24">
        <f>43.1727868</f>
        <v>43.172786799999997</v>
      </c>
      <c r="H24">
        <f>5.469024396</f>
        <v>5.469024396</v>
      </c>
      <c r="I24">
        <f>48.6418112</f>
        <v>48.641811199999999</v>
      </c>
      <c r="J24">
        <f>80.314529</f>
        <v>80.314528999999993</v>
      </c>
      <c r="K24">
        <f>7.9604333</f>
        <v>7.9604333</v>
      </c>
      <c r="L24">
        <f>3212.392</f>
        <v>3212.3919999999998</v>
      </c>
    </row>
    <row r="25" spans="1:12" x14ac:dyDescent="0.25">
      <c r="A25">
        <f>0.83</f>
        <v>0.83</v>
      </c>
      <c r="B25">
        <f>49.79263343</f>
        <v>49.792633430000002</v>
      </c>
      <c r="C25">
        <f>46.69513428</f>
        <v>46.695134279999998</v>
      </c>
      <c r="D25">
        <f>21.4772596</f>
        <v>21.4772596</v>
      </c>
      <c r="E25">
        <f>68.17239388</f>
        <v>68.172393880000001</v>
      </c>
      <c r="F25">
        <f>46.72139635</f>
        <v>46.721396349999999</v>
      </c>
      <c r="G25">
        <f>43.81495266</f>
        <v>43.814952660000003</v>
      </c>
      <c r="H25">
        <f>5.442678707</f>
        <v>5.4426787069999998</v>
      </c>
      <c r="I25">
        <f>49.25763137</f>
        <v>49.257631369999999</v>
      </c>
      <c r="J25">
        <f>75.12983</f>
        <v>75.129829999999998</v>
      </c>
      <c r="K25">
        <f>8.1811907</f>
        <v>8.1811907000000001</v>
      </c>
      <c r="L25">
        <f>2968.8112</f>
        <v>2968.8112000000001</v>
      </c>
    </row>
    <row r="26" spans="1:12" x14ac:dyDescent="0.25">
      <c r="A26">
        <f>0.84</f>
        <v>0.84</v>
      </c>
      <c r="B26">
        <f>50.39254467</f>
        <v>50.392544669999999</v>
      </c>
      <c r="C26">
        <f>47.38124884</f>
        <v>47.381248839999998</v>
      </c>
      <c r="D26">
        <f>21.28522619</f>
        <v>21.285226189999999</v>
      </c>
      <c r="E26">
        <f>68.66647502</f>
        <v>68.666475019999993</v>
      </c>
      <c r="F26">
        <f>47.28430474</f>
        <v>47.284304740000003</v>
      </c>
      <c r="G26">
        <f>44.45874729</f>
        <v>44.458747289999998</v>
      </c>
      <c r="H26">
        <f>5.416490456</f>
        <v>5.416490456</v>
      </c>
      <c r="I26">
        <f>49.87523775</f>
        <v>49.875237749999997</v>
      </c>
      <c r="J26">
        <f>69.7376</f>
        <v>69.7376</v>
      </c>
      <c r="K26">
        <f>8.4194765</f>
        <v>8.4194765</v>
      </c>
      <c r="L26">
        <f>2722.9269</f>
        <v>2722.9268999999999</v>
      </c>
    </row>
    <row r="27" spans="1:12" x14ac:dyDescent="0.25">
      <c r="A27">
        <f>0.85</f>
        <v>0.85</v>
      </c>
      <c r="B27">
        <f>50.99245592</f>
        <v>50.992455919999998</v>
      </c>
      <c r="C27">
        <f>48.06969204</f>
        <v>48.06969204</v>
      </c>
      <c r="D27">
        <f>21.08801275</f>
        <v>21.088012750000001</v>
      </c>
      <c r="E27">
        <f>69.15770479</f>
        <v>69.157704789999997</v>
      </c>
      <c r="F27">
        <f>47.84721313</f>
        <v>47.84721313</v>
      </c>
      <c r="G27">
        <f>45.10472694</f>
        <v>45.104726939999999</v>
      </c>
      <c r="H27">
        <f>5.390387476</f>
        <v>5.3903874759999999</v>
      </c>
      <c r="I27">
        <f>50.49511442</f>
        <v>50.49511442</v>
      </c>
      <c r="J27">
        <f>64.115601</f>
        <v>64.115600999999998</v>
      </c>
      <c r="K27">
        <f>8.6790928</f>
        <v>8.6790927999999994</v>
      </c>
      <c r="L27">
        <f>2473.9622</f>
        <v>2473.9621999999999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MeOH FU 0.7</vt:lpstr>
      <vt:lpstr>MeOH FU 0.71</vt:lpstr>
      <vt:lpstr>MeOH FU 0.72</vt:lpstr>
      <vt:lpstr>MeOH FU 0.73</vt:lpstr>
      <vt:lpstr>MeOH FU 0.74</vt:lpstr>
      <vt:lpstr>MeOH FU 0.75</vt:lpstr>
      <vt:lpstr>MeOH FU 0.76</vt:lpstr>
      <vt:lpstr>MeOH FU 0.77</vt:lpstr>
      <vt:lpstr>MeOH FU 0.78</vt:lpstr>
      <vt:lpstr>MeOH FU 0.79</vt:lpstr>
      <vt:lpstr>MeOH FU 0.8</vt:lpstr>
      <vt:lpstr>MeOH FU 0.81</vt:lpstr>
      <vt:lpstr>MeOH FU 0.82</vt:lpstr>
      <vt:lpstr>MeOH FU 0.83</vt:lpstr>
      <vt:lpstr>MeOH FU 0.84</vt:lpstr>
      <vt:lpstr>MeOH 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2022-07-29T15:45:05Z</dcterms:modified>
</cp:coreProperties>
</file>