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nvanveldhuize\surfdrive\0. PHD (surfdrive)\06 Nautilus project\WP7 Technology analysis\T7.1 Future fuels\2 Fuel analysis\0 Thermodynamic analysis\3 Diesel model\Results\"/>
    </mc:Choice>
  </mc:AlternateContent>
  <bookViews>
    <workbookView xWindow="-28920" yWindow="-120" windowWidth="29040" windowHeight="15840" tabRatio="837" activeTab="4"/>
  </bookViews>
  <sheets>
    <sheet name="Gross_elec_eff" sheetId="19" r:id="rId1"/>
    <sheet name="Net_elec_eff" sheetId="18" r:id="rId2"/>
    <sheet name="Heat_eff" sheetId="20" r:id="rId3"/>
    <sheet name="Tot_eff" sheetId="1" r:id="rId4"/>
    <sheet name="P_i" sheetId="21" r:id="rId5"/>
    <sheet name="FU 0.7" sheetId="2" r:id="rId6"/>
    <sheet name="FU 0.71" sheetId="3" r:id="rId7"/>
    <sheet name="FU 0.72" sheetId="4" r:id="rId8"/>
    <sheet name="FU 0.73" sheetId="5" r:id="rId9"/>
    <sheet name="FU 0.74" sheetId="6" r:id="rId10"/>
    <sheet name="FU 0.75" sheetId="7" r:id="rId11"/>
    <sheet name="FU 0.76" sheetId="8" r:id="rId12"/>
    <sheet name="FU 0.77" sheetId="9" r:id="rId13"/>
    <sheet name="FU 0.78" sheetId="10" r:id="rId14"/>
    <sheet name="FU 0.79" sheetId="11" r:id="rId15"/>
    <sheet name="FU 0.8" sheetId="12" r:id="rId16"/>
    <sheet name="FU 0.81" sheetId="13" r:id="rId17"/>
    <sheet name="FU 0.82" sheetId="14" r:id="rId18"/>
    <sheet name="FU 0.83" sheetId="15" r:id="rId19"/>
    <sheet name="FU 0.84" sheetId="16" r:id="rId20"/>
    <sheet name="FU 0.85" sheetId="17" r:id="rId21"/>
  </sheets>
  <calcPr calcId="162913"/>
</workbook>
</file>

<file path=xl/calcChain.xml><?xml version="1.0" encoding="utf-8"?>
<calcChain xmlns="http://schemas.openxmlformats.org/spreadsheetml/2006/main"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" i="2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" i="1"/>
  <c r="C3" i="20"/>
  <c r="C4" i="20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" i="20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" i="18"/>
  <c r="C3" i="19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" i="19"/>
  <c r="L27" i="17"/>
  <c r="K27" i="17"/>
  <c r="J27" i="17"/>
  <c r="I27" i="17"/>
  <c r="H27" i="17"/>
  <c r="G27" i="17"/>
  <c r="F27" i="17"/>
  <c r="E27" i="17"/>
  <c r="D27" i="17"/>
  <c r="C27" i="17"/>
  <c r="B27" i="17"/>
  <c r="A27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L25" i="17"/>
  <c r="K25" i="17"/>
  <c r="J25" i="17"/>
  <c r="I25" i="17"/>
  <c r="H25" i="17"/>
  <c r="G25" i="17"/>
  <c r="F25" i="17"/>
  <c r="E25" i="17"/>
  <c r="D25" i="17"/>
  <c r="C25" i="17"/>
  <c r="B25" i="17"/>
  <c r="A25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L23" i="17"/>
  <c r="K23" i="17"/>
  <c r="J23" i="17"/>
  <c r="I23" i="17"/>
  <c r="H23" i="17"/>
  <c r="G23" i="17"/>
  <c r="F23" i="17"/>
  <c r="E23" i="17"/>
  <c r="D23" i="17"/>
  <c r="C23" i="17"/>
  <c r="B23" i="17"/>
  <c r="A23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L21" i="17"/>
  <c r="K21" i="17"/>
  <c r="J21" i="17"/>
  <c r="I21" i="17"/>
  <c r="H21" i="17"/>
  <c r="G21" i="17"/>
  <c r="F21" i="17"/>
  <c r="E21" i="17"/>
  <c r="D21" i="17"/>
  <c r="C21" i="17"/>
  <c r="B21" i="17"/>
  <c r="A21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L19" i="17"/>
  <c r="K19" i="17"/>
  <c r="J19" i="17"/>
  <c r="I19" i="17"/>
  <c r="H19" i="17"/>
  <c r="G19" i="17"/>
  <c r="F19" i="17"/>
  <c r="E19" i="17"/>
  <c r="D19" i="17"/>
  <c r="C19" i="17"/>
  <c r="B19" i="17"/>
  <c r="A19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L17" i="17"/>
  <c r="K17" i="17"/>
  <c r="J17" i="17"/>
  <c r="I17" i="17"/>
  <c r="H17" i="17"/>
  <c r="G17" i="17"/>
  <c r="F17" i="17"/>
  <c r="E17" i="17"/>
  <c r="D17" i="17"/>
  <c r="C17" i="17"/>
  <c r="B17" i="17"/>
  <c r="A17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L15" i="17"/>
  <c r="K15" i="17"/>
  <c r="J15" i="17"/>
  <c r="I15" i="17"/>
  <c r="H15" i="17"/>
  <c r="G15" i="17"/>
  <c r="F15" i="17"/>
  <c r="E15" i="17"/>
  <c r="D15" i="17"/>
  <c r="C15" i="17"/>
  <c r="B15" i="17"/>
  <c r="A15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L13" i="17"/>
  <c r="K13" i="17"/>
  <c r="J13" i="17"/>
  <c r="I13" i="17"/>
  <c r="H13" i="17"/>
  <c r="G13" i="17"/>
  <c r="F13" i="17"/>
  <c r="E13" i="17"/>
  <c r="D13" i="17"/>
  <c r="C13" i="17"/>
  <c r="B13" i="17"/>
  <c r="A13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L11" i="17"/>
  <c r="K11" i="17"/>
  <c r="J11" i="17"/>
  <c r="I11" i="17"/>
  <c r="H11" i="17"/>
  <c r="G11" i="17"/>
  <c r="F11" i="17"/>
  <c r="E11" i="17"/>
  <c r="D11" i="17"/>
  <c r="C11" i="17"/>
  <c r="B11" i="17"/>
  <c r="A11" i="17"/>
  <c r="L10" i="17"/>
  <c r="K10" i="17"/>
  <c r="J10" i="17"/>
  <c r="I10" i="17"/>
  <c r="H10" i="17"/>
  <c r="G10" i="17"/>
  <c r="F10" i="17"/>
  <c r="E10" i="17"/>
  <c r="D10" i="17"/>
  <c r="C10" i="17"/>
  <c r="B10" i="17"/>
  <c r="A10" i="17"/>
  <c r="L9" i="17"/>
  <c r="K9" i="17"/>
  <c r="J9" i="17"/>
  <c r="I9" i="17"/>
  <c r="H9" i="17"/>
  <c r="G9" i="17"/>
  <c r="F9" i="17"/>
  <c r="E9" i="17"/>
  <c r="D9" i="17"/>
  <c r="C9" i="17"/>
  <c r="B9" i="17"/>
  <c r="A9" i="17"/>
  <c r="L8" i="17"/>
  <c r="K8" i="17"/>
  <c r="J8" i="17"/>
  <c r="I8" i="17"/>
  <c r="H8" i="17"/>
  <c r="G8" i="17"/>
  <c r="F8" i="17"/>
  <c r="E8" i="17"/>
  <c r="D8" i="17"/>
  <c r="C8" i="17"/>
  <c r="B8" i="17"/>
  <c r="A8" i="17"/>
  <c r="L7" i="17"/>
  <c r="K7" i="17"/>
  <c r="J7" i="17"/>
  <c r="I7" i="17"/>
  <c r="H7" i="17"/>
  <c r="G7" i="17"/>
  <c r="F7" i="17"/>
  <c r="E7" i="17"/>
  <c r="D7" i="17"/>
  <c r="C7" i="17"/>
  <c r="B7" i="17"/>
  <c r="A7" i="17"/>
  <c r="L6" i="17"/>
  <c r="K6" i="17"/>
  <c r="J6" i="17"/>
  <c r="I6" i="17"/>
  <c r="H6" i="17"/>
  <c r="G6" i="17"/>
  <c r="F6" i="17"/>
  <c r="E6" i="17"/>
  <c r="D6" i="17"/>
  <c r="C6" i="17"/>
  <c r="B6" i="17"/>
  <c r="A6" i="17"/>
  <c r="L5" i="17"/>
  <c r="K5" i="17"/>
  <c r="J5" i="17"/>
  <c r="I5" i="17"/>
  <c r="H5" i="17"/>
  <c r="G5" i="17"/>
  <c r="F5" i="17"/>
  <c r="E5" i="17"/>
  <c r="D5" i="17"/>
  <c r="C5" i="17"/>
  <c r="B5" i="17"/>
  <c r="A5" i="17"/>
  <c r="L4" i="17"/>
  <c r="K4" i="17"/>
  <c r="J4" i="17"/>
  <c r="I4" i="17"/>
  <c r="H4" i="17"/>
  <c r="G4" i="17"/>
  <c r="F4" i="17"/>
  <c r="E4" i="17"/>
  <c r="D4" i="17"/>
  <c r="C4" i="17"/>
  <c r="B4" i="17"/>
  <c r="A4" i="17"/>
  <c r="L3" i="17"/>
  <c r="K3" i="17"/>
  <c r="J3" i="17"/>
  <c r="I3" i="17"/>
  <c r="H3" i="17"/>
  <c r="G3" i="17"/>
  <c r="F3" i="17"/>
  <c r="E3" i="17"/>
  <c r="D3" i="17"/>
  <c r="C3" i="17"/>
  <c r="B3" i="17"/>
  <c r="A3" i="17"/>
  <c r="L2" i="17"/>
  <c r="K2" i="17"/>
  <c r="J2" i="17"/>
  <c r="I2" i="17"/>
  <c r="H2" i="17"/>
  <c r="G2" i="17"/>
  <c r="F2" i="17"/>
  <c r="E2" i="17"/>
  <c r="D2" i="17"/>
  <c r="C2" i="17"/>
  <c r="B2" i="17"/>
  <c r="A2" i="17"/>
  <c r="L27" i="16"/>
  <c r="K27" i="16"/>
  <c r="J27" i="16"/>
  <c r="I27" i="16"/>
  <c r="H27" i="16"/>
  <c r="G27" i="16"/>
  <c r="F27" i="16"/>
  <c r="E27" i="16"/>
  <c r="D27" i="16"/>
  <c r="C27" i="16"/>
  <c r="B27" i="16"/>
  <c r="A27" i="16"/>
  <c r="L26" i="16"/>
  <c r="K26" i="16"/>
  <c r="J26" i="16"/>
  <c r="I26" i="16"/>
  <c r="H26" i="16"/>
  <c r="G26" i="16"/>
  <c r="F26" i="16"/>
  <c r="E26" i="16"/>
  <c r="D26" i="16"/>
  <c r="C26" i="16"/>
  <c r="B26" i="16"/>
  <c r="A26" i="16"/>
  <c r="L25" i="16"/>
  <c r="K25" i="16"/>
  <c r="J25" i="16"/>
  <c r="I25" i="16"/>
  <c r="H25" i="16"/>
  <c r="G25" i="16"/>
  <c r="F25" i="16"/>
  <c r="E25" i="16"/>
  <c r="D25" i="16"/>
  <c r="C25" i="16"/>
  <c r="B25" i="16"/>
  <c r="A25" i="16"/>
  <c r="L24" i="16"/>
  <c r="K24" i="16"/>
  <c r="J24" i="16"/>
  <c r="I24" i="16"/>
  <c r="H24" i="16"/>
  <c r="G24" i="16"/>
  <c r="F24" i="16"/>
  <c r="E24" i="16"/>
  <c r="D24" i="16"/>
  <c r="C24" i="16"/>
  <c r="B24" i="16"/>
  <c r="A24" i="16"/>
  <c r="L23" i="16"/>
  <c r="K23" i="16"/>
  <c r="J23" i="16"/>
  <c r="I23" i="16"/>
  <c r="H23" i="16"/>
  <c r="G23" i="16"/>
  <c r="F23" i="16"/>
  <c r="E23" i="16"/>
  <c r="D23" i="16"/>
  <c r="C23" i="16"/>
  <c r="B23" i="16"/>
  <c r="A23" i="16"/>
  <c r="L22" i="16"/>
  <c r="K22" i="16"/>
  <c r="J22" i="16"/>
  <c r="I22" i="16"/>
  <c r="H22" i="16"/>
  <c r="G22" i="16"/>
  <c r="F22" i="16"/>
  <c r="E22" i="16"/>
  <c r="D22" i="16"/>
  <c r="C22" i="16"/>
  <c r="B22" i="16"/>
  <c r="A22" i="16"/>
  <c r="L21" i="16"/>
  <c r="K21" i="16"/>
  <c r="J21" i="16"/>
  <c r="I21" i="16"/>
  <c r="H21" i="16"/>
  <c r="G21" i="16"/>
  <c r="F21" i="16"/>
  <c r="E21" i="16"/>
  <c r="D21" i="16"/>
  <c r="C21" i="16"/>
  <c r="B21" i="16"/>
  <c r="A21" i="16"/>
  <c r="L20" i="16"/>
  <c r="K20" i="16"/>
  <c r="J20" i="16"/>
  <c r="I20" i="16"/>
  <c r="H20" i="16"/>
  <c r="G20" i="16"/>
  <c r="F20" i="16"/>
  <c r="E20" i="16"/>
  <c r="D20" i="16"/>
  <c r="C20" i="16"/>
  <c r="B20" i="16"/>
  <c r="A20" i="16"/>
  <c r="L19" i="16"/>
  <c r="K19" i="16"/>
  <c r="J19" i="16"/>
  <c r="I19" i="16"/>
  <c r="H19" i="16"/>
  <c r="G19" i="16"/>
  <c r="F19" i="16"/>
  <c r="E19" i="16"/>
  <c r="D19" i="16"/>
  <c r="C19" i="16"/>
  <c r="B19" i="16"/>
  <c r="A19" i="16"/>
  <c r="L18" i="16"/>
  <c r="K18" i="16"/>
  <c r="J18" i="16"/>
  <c r="I18" i="16"/>
  <c r="H18" i="16"/>
  <c r="G18" i="16"/>
  <c r="F18" i="16"/>
  <c r="E18" i="16"/>
  <c r="D18" i="16"/>
  <c r="C18" i="16"/>
  <c r="B18" i="16"/>
  <c r="A18" i="16"/>
  <c r="L17" i="16"/>
  <c r="K17" i="16"/>
  <c r="J17" i="16"/>
  <c r="I17" i="16"/>
  <c r="H17" i="16"/>
  <c r="G17" i="16"/>
  <c r="F17" i="16"/>
  <c r="E17" i="16"/>
  <c r="D17" i="16"/>
  <c r="C17" i="16"/>
  <c r="B17" i="16"/>
  <c r="A17" i="16"/>
  <c r="L16" i="16"/>
  <c r="K16" i="16"/>
  <c r="J16" i="16"/>
  <c r="I16" i="16"/>
  <c r="H16" i="16"/>
  <c r="G16" i="16"/>
  <c r="F16" i="16"/>
  <c r="E16" i="16"/>
  <c r="D16" i="16"/>
  <c r="C16" i="16"/>
  <c r="B16" i="16"/>
  <c r="A16" i="16"/>
  <c r="L15" i="16"/>
  <c r="K15" i="16"/>
  <c r="J15" i="16"/>
  <c r="I15" i="16"/>
  <c r="H15" i="16"/>
  <c r="G15" i="16"/>
  <c r="F15" i="16"/>
  <c r="E15" i="16"/>
  <c r="D15" i="16"/>
  <c r="C15" i="16"/>
  <c r="B15" i="16"/>
  <c r="A15" i="16"/>
  <c r="L14" i="16"/>
  <c r="K14" i="16"/>
  <c r="J14" i="16"/>
  <c r="I14" i="16"/>
  <c r="H14" i="16"/>
  <c r="G14" i="16"/>
  <c r="F14" i="16"/>
  <c r="E14" i="16"/>
  <c r="D14" i="16"/>
  <c r="C14" i="16"/>
  <c r="B14" i="16"/>
  <c r="A14" i="16"/>
  <c r="L13" i="16"/>
  <c r="K13" i="16"/>
  <c r="J13" i="16"/>
  <c r="I13" i="16"/>
  <c r="H13" i="16"/>
  <c r="G13" i="16"/>
  <c r="F13" i="16"/>
  <c r="E13" i="16"/>
  <c r="D13" i="16"/>
  <c r="C13" i="16"/>
  <c r="B13" i="16"/>
  <c r="A13" i="16"/>
  <c r="L12" i="16"/>
  <c r="K12" i="16"/>
  <c r="J12" i="16"/>
  <c r="I12" i="16"/>
  <c r="H12" i="16"/>
  <c r="G12" i="16"/>
  <c r="F12" i="16"/>
  <c r="E12" i="16"/>
  <c r="D12" i="16"/>
  <c r="C12" i="16"/>
  <c r="B12" i="16"/>
  <c r="A12" i="16"/>
  <c r="L11" i="16"/>
  <c r="K11" i="16"/>
  <c r="J11" i="16"/>
  <c r="I11" i="16"/>
  <c r="H11" i="16"/>
  <c r="G11" i="16"/>
  <c r="F11" i="16"/>
  <c r="E11" i="16"/>
  <c r="D11" i="16"/>
  <c r="C11" i="16"/>
  <c r="B11" i="16"/>
  <c r="A11" i="16"/>
  <c r="L10" i="16"/>
  <c r="K10" i="16"/>
  <c r="J10" i="16"/>
  <c r="I10" i="16"/>
  <c r="H10" i="16"/>
  <c r="G10" i="16"/>
  <c r="F10" i="16"/>
  <c r="E10" i="16"/>
  <c r="D10" i="16"/>
  <c r="C10" i="16"/>
  <c r="B10" i="16"/>
  <c r="A10" i="16"/>
  <c r="L9" i="16"/>
  <c r="K9" i="16"/>
  <c r="J9" i="16"/>
  <c r="I9" i="16"/>
  <c r="H9" i="16"/>
  <c r="G9" i="16"/>
  <c r="F9" i="16"/>
  <c r="E9" i="16"/>
  <c r="D9" i="16"/>
  <c r="C9" i="16"/>
  <c r="B9" i="16"/>
  <c r="A9" i="16"/>
  <c r="L8" i="16"/>
  <c r="K8" i="16"/>
  <c r="J8" i="16"/>
  <c r="I8" i="16"/>
  <c r="H8" i="16"/>
  <c r="G8" i="16"/>
  <c r="F8" i="16"/>
  <c r="E8" i="16"/>
  <c r="D8" i="16"/>
  <c r="C8" i="16"/>
  <c r="B8" i="16"/>
  <c r="A8" i="16"/>
  <c r="L7" i="16"/>
  <c r="K7" i="16"/>
  <c r="J7" i="16"/>
  <c r="I7" i="16"/>
  <c r="H7" i="16"/>
  <c r="G7" i="16"/>
  <c r="F7" i="16"/>
  <c r="E7" i="16"/>
  <c r="D7" i="16"/>
  <c r="C7" i="16"/>
  <c r="B7" i="16"/>
  <c r="A7" i="16"/>
  <c r="L6" i="16"/>
  <c r="K6" i="16"/>
  <c r="J6" i="16"/>
  <c r="I6" i="16"/>
  <c r="H6" i="16"/>
  <c r="G6" i="16"/>
  <c r="F6" i="16"/>
  <c r="E6" i="16"/>
  <c r="D6" i="16"/>
  <c r="C6" i="16"/>
  <c r="B6" i="16"/>
  <c r="A6" i="16"/>
  <c r="L5" i="16"/>
  <c r="K5" i="16"/>
  <c r="J5" i="16"/>
  <c r="I5" i="16"/>
  <c r="H5" i="16"/>
  <c r="G5" i="16"/>
  <c r="F5" i="16"/>
  <c r="E5" i="16"/>
  <c r="D5" i="16"/>
  <c r="C5" i="16"/>
  <c r="B5" i="16"/>
  <c r="A5" i="16"/>
  <c r="L4" i="16"/>
  <c r="K4" i="16"/>
  <c r="J4" i="16"/>
  <c r="I4" i="16"/>
  <c r="H4" i="16"/>
  <c r="G4" i="16"/>
  <c r="F4" i="16"/>
  <c r="E4" i="16"/>
  <c r="D4" i="16"/>
  <c r="C4" i="16"/>
  <c r="B4" i="16"/>
  <c r="A4" i="16"/>
  <c r="L3" i="16"/>
  <c r="K3" i="16"/>
  <c r="J3" i="16"/>
  <c r="I3" i="16"/>
  <c r="H3" i="16"/>
  <c r="G3" i="16"/>
  <c r="F3" i="16"/>
  <c r="E3" i="16"/>
  <c r="D3" i="16"/>
  <c r="C3" i="16"/>
  <c r="B3" i="16"/>
  <c r="A3" i="16"/>
  <c r="L2" i="16"/>
  <c r="K2" i="16"/>
  <c r="J2" i="16"/>
  <c r="I2" i="16"/>
  <c r="H2" i="16"/>
  <c r="G2" i="16"/>
  <c r="F2" i="16"/>
  <c r="E2" i="16"/>
  <c r="D2" i="16"/>
  <c r="C2" i="16"/>
  <c r="B2" i="16"/>
  <c r="A2" i="16"/>
  <c r="L27" i="15"/>
  <c r="K27" i="15"/>
  <c r="J27" i="15"/>
  <c r="I27" i="15"/>
  <c r="H27" i="15"/>
  <c r="G27" i="15"/>
  <c r="F27" i="15"/>
  <c r="E27" i="15"/>
  <c r="D27" i="15"/>
  <c r="C27" i="15"/>
  <c r="B27" i="15"/>
  <c r="A27" i="15"/>
  <c r="L26" i="15"/>
  <c r="K26" i="15"/>
  <c r="J26" i="15"/>
  <c r="I26" i="15"/>
  <c r="H26" i="15"/>
  <c r="G26" i="15"/>
  <c r="F26" i="15"/>
  <c r="E26" i="15"/>
  <c r="D26" i="15"/>
  <c r="C26" i="15"/>
  <c r="B26" i="15"/>
  <c r="A26" i="15"/>
  <c r="L25" i="15"/>
  <c r="K25" i="15"/>
  <c r="J25" i="15"/>
  <c r="I25" i="15"/>
  <c r="H25" i="15"/>
  <c r="G25" i="15"/>
  <c r="F25" i="15"/>
  <c r="E25" i="15"/>
  <c r="D25" i="15"/>
  <c r="C25" i="15"/>
  <c r="B25" i="15"/>
  <c r="A25" i="15"/>
  <c r="L24" i="15"/>
  <c r="K24" i="15"/>
  <c r="J24" i="15"/>
  <c r="I24" i="15"/>
  <c r="H24" i="15"/>
  <c r="G24" i="15"/>
  <c r="F24" i="15"/>
  <c r="E24" i="15"/>
  <c r="D24" i="15"/>
  <c r="C24" i="15"/>
  <c r="B24" i="15"/>
  <c r="A24" i="15"/>
  <c r="L23" i="15"/>
  <c r="K23" i="15"/>
  <c r="J23" i="15"/>
  <c r="I23" i="15"/>
  <c r="H23" i="15"/>
  <c r="G23" i="15"/>
  <c r="F23" i="15"/>
  <c r="E23" i="15"/>
  <c r="D23" i="15"/>
  <c r="C23" i="15"/>
  <c r="B23" i="15"/>
  <c r="A23" i="15"/>
  <c r="L22" i="15"/>
  <c r="K22" i="15"/>
  <c r="J22" i="15"/>
  <c r="I22" i="15"/>
  <c r="H22" i="15"/>
  <c r="G22" i="15"/>
  <c r="F22" i="15"/>
  <c r="E22" i="15"/>
  <c r="D22" i="15"/>
  <c r="C22" i="15"/>
  <c r="B22" i="15"/>
  <c r="A22" i="15"/>
  <c r="L21" i="15"/>
  <c r="K21" i="15"/>
  <c r="J21" i="15"/>
  <c r="I21" i="15"/>
  <c r="H21" i="15"/>
  <c r="G21" i="15"/>
  <c r="F21" i="15"/>
  <c r="E21" i="15"/>
  <c r="D21" i="15"/>
  <c r="C21" i="15"/>
  <c r="B21" i="15"/>
  <c r="A21" i="15"/>
  <c r="L20" i="15"/>
  <c r="K20" i="15"/>
  <c r="J20" i="15"/>
  <c r="I20" i="15"/>
  <c r="H20" i="15"/>
  <c r="G20" i="15"/>
  <c r="F20" i="15"/>
  <c r="E20" i="15"/>
  <c r="D20" i="15"/>
  <c r="C20" i="15"/>
  <c r="B20" i="15"/>
  <c r="A20" i="15"/>
  <c r="L19" i="15"/>
  <c r="K19" i="15"/>
  <c r="J19" i="15"/>
  <c r="I19" i="15"/>
  <c r="H19" i="15"/>
  <c r="G19" i="15"/>
  <c r="F19" i="15"/>
  <c r="E19" i="15"/>
  <c r="D19" i="15"/>
  <c r="C19" i="15"/>
  <c r="B19" i="15"/>
  <c r="A19" i="15"/>
  <c r="L18" i="15"/>
  <c r="K18" i="15"/>
  <c r="J18" i="15"/>
  <c r="I18" i="15"/>
  <c r="H18" i="15"/>
  <c r="G18" i="15"/>
  <c r="F18" i="15"/>
  <c r="E18" i="15"/>
  <c r="D18" i="15"/>
  <c r="C18" i="15"/>
  <c r="B18" i="15"/>
  <c r="A18" i="15"/>
  <c r="L17" i="15"/>
  <c r="K17" i="15"/>
  <c r="J17" i="15"/>
  <c r="I17" i="15"/>
  <c r="H17" i="15"/>
  <c r="G17" i="15"/>
  <c r="F17" i="15"/>
  <c r="E17" i="15"/>
  <c r="D17" i="15"/>
  <c r="C17" i="15"/>
  <c r="B17" i="15"/>
  <c r="A17" i="15"/>
  <c r="L16" i="15"/>
  <c r="K16" i="15"/>
  <c r="J16" i="15"/>
  <c r="I16" i="15"/>
  <c r="H16" i="15"/>
  <c r="G16" i="15"/>
  <c r="F16" i="15"/>
  <c r="E16" i="15"/>
  <c r="D16" i="15"/>
  <c r="C16" i="15"/>
  <c r="B16" i="15"/>
  <c r="A16" i="15"/>
  <c r="L15" i="15"/>
  <c r="K15" i="15"/>
  <c r="J15" i="15"/>
  <c r="I15" i="15"/>
  <c r="H15" i="15"/>
  <c r="G15" i="15"/>
  <c r="F15" i="15"/>
  <c r="E15" i="15"/>
  <c r="D15" i="15"/>
  <c r="C15" i="15"/>
  <c r="B15" i="15"/>
  <c r="A15" i="15"/>
  <c r="L14" i="15"/>
  <c r="K14" i="15"/>
  <c r="J14" i="15"/>
  <c r="I14" i="15"/>
  <c r="H14" i="15"/>
  <c r="G14" i="15"/>
  <c r="F14" i="15"/>
  <c r="E14" i="15"/>
  <c r="D14" i="15"/>
  <c r="C14" i="15"/>
  <c r="B14" i="15"/>
  <c r="A14" i="15"/>
  <c r="L13" i="15"/>
  <c r="K13" i="15"/>
  <c r="J13" i="15"/>
  <c r="I13" i="15"/>
  <c r="H13" i="15"/>
  <c r="G13" i="15"/>
  <c r="F13" i="15"/>
  <c r="E13" i="15"/>
  <c r="D13" i="15"/>
  <c r="C13" i="15"/>
  <c r="B13" i="15"/>
  <c r="A13" i="15"/>
  <c r="L12" i="15"/>
  <c r="K12" i="15"/>
  <c r="J12" i="15"/>
  <c r="I12" i="15"/>
  <c r="H12" i="15"/>
  <c r="G12" i="15"/>
  <c r="F12" i="15"/>
  <c r="E12" i="15"/>
  <c r="D12" i="15"/>
  <c r="C12" i="15"/>
  <c r="B12" i="15"/>
  <c r="A12" i="15"/>
  <c r="L11" i="15"/>
  <c r="K11" i="15"/>
  <c r="J11" i="15"/>
  <c r="I11" i="15"/>
  <c r="H11" i="15"/>
  <c r="G11" i="15"/>
  <c r="F11" i="15"/>
  <c r="E11" i="15"/>
  <c r="D11" i="15"/>
  <c r="C11" i="15"/>
  <c r="B11" i="15"/>
  <c r="A11" i="15"/>
  <c r="L10" i="15"/>
  <c r="K10" i="15"/>
  <c r="J10" i="15"/>
  <c r="I10" i="15"/>
  <c r="H10" i="15"/>
  <c r="G10" i="15"/>
  <c r="F10" i="15"/>
  <c r="E10" i="15"/>
  <c r="D10" i="15"/>
  <c r="C10" i="15"/>
  <c r="B10" i="15"/>
  <c r="A10" i="15"/>
  <c r="L9" i="15"/>
  <c r="K9" i="15"/>
  <c r="J9" i="15"/>
  <c r="I9" i="15"/>
  <c r="H9" i="15"/>
  <c r="G9" i="15"/>
  <c r="F9" i="15"/>
  <c r="E9" i="15"/>
  <c r="D9" i="15"/>
  <c r="C9" i="15"/>
  <c r="B9" i="15"/>
  <c r="A9" i="15"/>
  <c r="L8" i="15"/>
  <c r="K8" i="15"/>
  <c r="J8" i="15"/>
  <c r="I8" i="15"/>
  <c r="H8" i="15"/>
  <c r="G8" i="15"/>
  <c r="F8" i="15"/>
  <c r="E8" i="15"/>
  <c r="D8" i="15"/>
  <c r="C8" i="15"/>
  <c r="B8" i="15"/>
  <c r="A8" i="15"/>
  <c r="L7" i="15"/>
  <c r="K7" i="15"/>
  <c r="J7" i="15"/>
  <c r="I7" i="15"/>
  <c r="H7" i="15"/>
  <c r="G7" i="15"/>
  <c r="F7" i="15"/>
  <c r="E7" i="15"/>
  <c r="D7" i="15"/>
  <c r="C7" i="15"/>
  <c r="B7" i="15"/>
  <c r="A7" i="15"/>
  <c r="L6" i="15"/>
  <c r="K6" i="15"/>
  <c r="J6" i="15"/>
  <c r="I6" i="15"/>
  <c r="H6" i="15"/>
  <c r="G6" i="15"/>
  <c r="F6" i="15"/>
  <c r="E6" i="15"/>
  <c r="D6" i="15"/>
  <c r="C6" i="15"/>
  <c r="B6" i="15"/>
  <c r="A6" i="15"/>
  <c r="L5" i="15"/>
  <c r="K5" i="15"/>
  <c r="J5" i="15"/>
  <c r="I5" i="15"/>
  <c r="H5" i="15"/>
  <c r="G5" i="15"/>
  <c r="F5" i="15"/>
  <c r="E5" i="15"/>
  <c r="D5" i="15"/>
  <c r="C5" i="15"/>
  <c r="B5" i="15"/>
  <c r="A5" i="15"/>
  <c r="L4" i="15"/>
  <c r="K4" i="15"/>
  <c r="J4" i="15"/>
  <c r="I4" i="15"/>
  <c r="H4" i="15"/>
  <c r="G4" i="15"/>
  <c r="F4" i="15"/>
  <c r="E4" i="15"/>
  <c r="D4" i="15"/>
  <c r="C4" i="15"/>
  <c r="B4" i="15"/>
  <c r="A4" i="15"/>
  <c r="L3" i="15"/>
  <c r="K3" i="15"/>
  <c r="J3" i="15"/>
  <c r="I3" i="15"/>
  <c r="H3" i="15"/>
  <c r="G3" i="15"/>
  <c r="F3" i="15"/>
  <c r="E3" i="15"/>
  <c r="D3" i="15"/>
  <c r="C3" i="15"/>
  <c r="B3" i="15"/>
  <c r="A3" i="15"/>
  <c r="L2" i="15"/>
  <c r="K2" i="15"/>
  <c r="J2" i="15"/>
  <c r="I2" i="15"/>
  <c r="H2" i="15"/>
  <c r="G2" i="15"/>
  <c r="F2" i="15"/>
  <c r="E2" i="15"/>
  <c r="D2" i="15"/>
  <c r="C2" i="15"/>
  <c r="B2" i="15"/>
  <c r="A2" i="15"/>
  <c r="L27" i="14"/>
  <c r="K27" i="14"/>
  <c r="J27" i="14"/>
  <c r="I27" i="14"/>
  <c r="H27" i="14"/>
  <c r="G27" i="14"/>
  <c r="F27" i="14"/>
  <c r="E27" i="14"/>
  <c r="D27" i="14"/>
  <c r="C27" i="14"/>
  <c r="B27" i="14"/>
  <c r="A27" i="14"/>
  <c r="L26" i="14"/>
  <c r="K26" i="14"/>
  <c r="J26" i="14"/>
  <c r="I26" i="14"/>
  <c r="H26" i="14"/>
  <c r="G26" i="14"/>
  <c r="F26" i="14"/>
  <c r="E26" i="14"/>
  <c r="D26" i="14"/>
  <c r="C26" i="14"/>
  <c r="B26" i="14"/>
  <c r="A26" i="14"/>
  <c r="L25" i="14"/>
  <c r="K25" i="14"/>
  <c r="J25" i="14"/>
  <c r="I25" i="14"/>
  <c r="H25" i="14"/>
  <c r="G25" i="14"/>
  <c r="F25" i="14"/>
  <c r="E25" i="14"/>
  <c r="D25" i="14"/>
  <c r="C25" i="14"/>
  <c r="B25" i="14"/>
  <c r="A25" i="14"/>
  <c r="L24" i="14"/>
  <c r="K24" i="14"/>
  <c r="J24" i="14"/>
  <c r="I24" i="14"/>
  <c r="H24" i="14"/>
  <c r="G24" i="14"/>
  <c r="F24" i="14"/>
  <c r="E24" i="14"/>
  <c r="D24" i="14"/>
  <c r="C24" i="14"/>
  <c r="B24" i="14"/>
  <c r="A24" i="14"/>
  <c r="L23" i="14"/>
  <c r="K23" i="14"/>
  <c r="J23" i="14"/>
  <c r="I23" i="14"/>
  <c r="H23" i="14"/>
  <c r="G23" i="14"/>
  <c r="F23" i="14"/>
  <c r="E23" i="14"/>
  <c r="D23" i="14"/>
  <c r="C23" i="14"/>
  <c r="B23" i="14"/>
  <c r="A23" i="14"/>
  <c r="L22" i="14"/>
  <c r="K22" i="14"/>
  <c r="J22" i="14"/>
  <c r="I22" i="14"/>
  <c r="H22" i="14"/>
  <c r="G22" i="14"/>
  <c r="F22" i="14"/>
  <c r="E22" i="14"/>
  <c r="D22" i="14"/>
  <c r="C22" i="14"/>
  <c r="B22" i="14"/>
  <c r="A22" i="14"/>
  <c r="L21" i="14"/>
  <c r="K21" i="14"/>
  <c r="J21" i="14"/>
  <c r="I21" i="14"/>
  <c r="H21" i="14"/>
  <c r="G21" i="14"/>
  <c r="F21" i="14"/>
  <c r="E21" i="14"/>
  <c r="D21" i="14"/>
  <c r="C21" i="14"/>
  <c r="B21" i="14"/>
  <c r="A21" i="14"/>
  <c r="L20" i="14"/>
  <c r="K20" i="14"/>
  <c r="J20" i="14"/>
  <c r="I20" i="14"/>
  <c r="H20" i="14"/>
  <c r="G20" i="14"/>
  <c r="F20" i="14"/>
  <c r="E20" i="14"/>
  <c r="D20" i="14"/>
  <c r="C20" i="14"/>
  <c r="B20" i="14"/>
  <c r="A20" i="14"/>
  <c r="L19" i="14"/>
  <c r="K19" i="14"/>
  <c r="J19" i="14"/>
  <c r="I19" i="14"/>
  <c r="H19" i="14"/>
  <c r="G19" i="14"/>
  <c r="F19" i="14"/>
  <c r="E19" i="14"/>
  <c r="D19" i="14"/>
  <c r="C19" i="14"/>
  <c r="B19" i="14"/>
  <c r="A19" i="14"/>
  <c r="L18" i="14"/>
  <c r="K18" i="14"/>
  <c r="J18" i="14"/>
  <c r="I18" i="14"/>
  <c r="H18" i="14"/>
  <c r="G18" i="14"/>
  <c r="F18" i="14"/>
  <c r="E18" i="14"/>
  <c r="D18" i="14"/>
  <c r="C18" i="14"/>
  <c r="B18" i="14"/>
  <c r="A18" i="14"/>
  <c r="L17" i="14"/>
  <c r="K17" i="14"/>
  <c r="J17" i="14"/>
  <c r="I17" i="14"/>
  <c r="H17" i="14"/>
  <c r="G17" i="14"/>
  <c r="F17" i="14"/>
  <c r="E17" i="14"/>
  <c r="D17" i="14"/>
  <c r="C17" i="14"/>
  <c r="B17" i="14"/>
  <c r="A17" i="14"/>
  <c r="L16" i="14"/>
  <c r="K16" i="14"/>
  <c r="J16" i="14"/>
  <c r="I16" i="14"/>
  <c r="H16" i="14"/>
  <c r="G16" i="14"/>
  <c r="F16" i="14"/>
  <c r="E16" i="14"/>
  <c r="D16" i="14"/>
  <c r="C16" i="14"/>
  <c r="B16" i="14"/>
  <c r="A16" i="14"/>
  <c r="L15" i="14"/>
  <c r="K15" i="14"/>
  <c r="J15" i="14"/>
  <c r="I15" i="14"/>
  <c r="H15" i="14"/>
  <c r="G15" i="14"/>
  <c r="F15" i="14"/>
  <c r="E15" i="14"/>
  <c r="D15" i="14"/>
  <c r="C15" i="14"/>
  <c r="B15" i="14"/>
  <c r="A15" i="14"/>
  <c r="L14" i="14"/>
  <c r="K14" i="14"/>
  <c r="J14" i="14"/>
  <c r="I14" i="14"/>
  <c r="H14" i="14"/>
  <c r="G14" i="14"/>
  <c r="F14" i="14"/>
  <c r="E14" i="14"/>
  <c r="D14" i="14"/>
  <c r="C14" i="14"/>
  <c r="B14" i="14"/>
  <c r="A14" i="14"/>
  <c r="L13" i="14"/>
  <c r="K13" i="14"/>
  <c r="J13" i="14"/>
  <c r="I13" i="14"/>
  <c r="H13" i="14"/>
  <c r="G13" i="14"/>
  <c r="F13" i="14"/>
  <c r="E13" i="14"/>
  <c r="D13" i="14"/>
  <c r="C13" i="14"/>
  <c r="B13" i="14"/>
  <c r="A13" i="14"/>
  <c r="L12" i="14"/>
  <c r="K12" i="14"/>
  <c r="J12" i="14"/>
  <c r="I12" i="14"/>
  <c r="H12" i="14"/>
  <c r="G12" i="14"/>
  <c r="F12" i="14"/>
  <c r="E12" i="14"/>
  <c r="D12" i="14"/>
  <c r="C12" i="14"/>
  <c r="B12" i="14"/>
  <c r="A12" i="14"/>
  <c r="L11" i="14"/>
  <c r="K11" i="14"/>
  <c r="J11" i="14"/>
  <c r="I11" i="14"/>
  <c r="H11" i="14"/>
  <c r="G11" i="14"/>
  <c r="F11" i="14"/>
  <c r="E11" i="14"/>
  <c r="D11" i="14"/>
  <c r="C11" i="14"/>
  <c r="B11" i="14"/>
  <c r="A11" i="14"/>
  <c r="L10" i="14"/>
  <c r="K10" i="14"/>
  <c r="J10" i="14"/>
  <c r="I10" i="14"/>
  <c r="H10" i="14"/>
  <c r="G10" i="14"/>
  <c r="F10" i="14"/>
  <c r="E10" i="14"/>
  <c r="D10" i="14"/>
  <c r="C10" i="14"/>
  <c r="B10" i="14"/>
  <c r="A10" i="14"/>
  <c r="L9" i="14"/>
  <c r="K9" i="14"/>
  <c r="J9" i="14"/>
  <c r="I9" i="14"/>
  <c r="H9" i="14"/>
  <c r="G9" i="14"/>
  <c r="F9" i="14"/>
  <c r="E9" i="14"/>
  <c r="D9" i="14"/>
  <c r="C9" i="14"/>
  <c r="B9" i="14"/>
  <c r="A9" i="14"/>
  <c r="L8" i="14"/>
  <c r="K8" i="14"/>
  <c r="J8" i="14"/>
  <c r="I8" i="14"/>
  <c r="H8" i="14"/>
  <c r="G8" i="14"/>
  <c r="F8" i="14"/>
  <c r="E8" i="14"/>
  <c r="D8" i="14"/>
  <c r="C8" i="14"/>
  <c r="B8" i="14"/>
  <c r="A8" i="14"/>
  <c r="L7" i="14"/>
  <c r="K7" i="14"/>
  <c r="J7" i="14"/>
  <c r="I7" i="14"/>
  <c r="H7" i="14"/>
  <c r="G7" i="14"/>
  <c r="F7" i="14"/>
  <c r="E7" i="14"/>
  <c r="D7" i="14"/>
  <c r="C7" i="14"/>
  <c r="B7" i="14"/>
  <c r="A7" i="14"/>
  <c r="L6" i="14"/>
  <c r="K6" i="14"/>
  <c r="J6" i="14"/>
  <c r="I6" i="14"/>
  <c r="H6" i="14"/>
  <c r="G6" i="14"/>
  <c r="F6" i="14"/>
  <c r="E6" i="14"/>
  <c r="D6" i="14"/>
  <c r="C6" i="14"/>
  <c r="B6" i="14"/>
  <c r="A6" i="14"/>
  <c r="L5" i="14"/>
  <c r="K5" i="14"/>
  <c r="J5" i="14"/>
  <c r="I5" i="14"/>
  <c r="H5" i="14"/>
  <c r="G5" i="14"/>
  <c r="F5" i="14"/>
  <c r="E5" i="14"/>
  <c r="D5" i="14"/>
  <c r="C5" i="14"/>
  <c r="B5" i="14"/>
  <c r="A5" i="14"/>
  <c r="L4" i="14"/>
  <c r="K4" i="14"/>
  <c r="J4" i="14"/>
  <c r="I4" i="14"/>
  <c r="H4" i="14"/>
  <c r="G4" i="14"/>
  <c r="F4" i="14"/>
  <c r="E4" i="14"/>
  <c r="D4" i="14"/>
  <c r="C4" i="14"/>
  <c r="B4" i="14"/>
  <c r="A4" i="14"/>
  <c r="L3" i="14"/>
  <c r="K3" i="14"/>
  <c r="J3" i="14"/>
  <c r="I3" i="14"/>
  <c r="H3" i="14"/>
  <c r="G3" i="14"/>
  <c r="F3" i="14"/>
  <c r="E3" i="14"/>
  <c r="D3" i="14"/>
  <c r="C3" i="14"/>
  <c r="B3" i="14"/>
  <c r="A3" i="14"/>
  <c r="L2" i="14"/>
  <c r="K2" i="14"/>
  <c r="J2" i="14"/>
  <c r="I2" i="14"/>
  <c r="H2" i="14"/>
  <c r="G2" i="14"/>
  <c r="F2" i="14"/>
  <c r="E2" i="14"/>
  <c r="D2" i="14"/>
  <c r="C2" i="14"/>
  <c r="B2" i="14"/>
  <c r="A2" i="14"/>
  <c r="L27" i="13"/>
  <c r="K27" i="13"/>
  <c r="J27" i="13"/>
  <c r="I27" i="13"/>
  <c r="H27" i="13"/>
  <c r="G27" i="13"/>
  <c r="F27" i="13"/>
  <c r="E27" i="13"/>
  <c r="D27" i="13"/>
  <c r="C27" i="13"/>
  <c r="B27" i="13"/>
  <c r="A27" i="13"/>
  <c r="L26" i="13"/>
  <c r="K26" i="13"/>
  <c r="J26" i="13"/>
  <c r="I26" i="13"/>
  <c r="H26" i="13"/>
  <c r="G26" i="13"/>
  <c r="F26" i="13"/>
  <c r="E26" i="13"/>
  <c r="D26" i="13"/>
  <c r="C26" i="13"/>
  <c r="B26" i="13"/>
  <c r="A26" i="13"/>
  <c r="L25" i="13"/>
  <c r="K25" i="13"/>
  <c r="J25" i="13"/>
  <c r="I25" i="13"/>
  <c r="H25" i="13"/>
  <c r="G25" i="13"/>
  <c r="F25" i="13"/>
  <c r="E25" i="13"/>
  <c r="D25" i="13"/>
  <c r="C25" i="13"/>
  <c r="B25" i="13"/>
  <c r="A25" i="13"/>
  <c r="L24" i="13"/>
  <c r="K24" i="13"/>
  <c r="J24" i="13"/>
  <c r="I24" i="13"/>
  <c r="H24" i="13"/>
  <c r="G24" i="13"/>
  <c r="F24" i="13"/>
  <c r="E24" i="13"/>
  <c r="D24" i="13"/>
  <c r="C24" i="13"/>
  <c r="B24" i="13"/>
  <c r="A24" i="13"/>
  <c r="L23" i="13"/>
  <c r="K23" i="13"/>
  <c r="J23" i="13"/>
  <c r="I23" i="13"/>
  <c r="H23" i="13"/>
  <c r="G23" i="13"/>
  <c r="F23" i="13"/>
  <c r="E23" i="13"/>
  <c r="D23" i="13"/>
  <c r="C23" i="13"/>
  <c r="B23" i="13"/>
  <c r="A23" i="13"/>
  <c r="L22" i="13"/>
  <c r="K22" i="13"/>
  <c r="J22" i="13"/>
  <c r="I22" i="13"/>
  <c r="H22" i="13"/>
  <c r="G22" i="13"/>
  <c r="F22" i="13"/>
  <c r="E22" i="13"/>
  <c r="D22" i="13"/>
  <c r="C22" i="13"/>
  <c r="B22" i="13"/>
  <c r="A22" i="13"/>
  <c r="L21" i="13"/>
  <c r="K21" i="13"/>
  <c r="J21" i="13"/>
  <c r="I21" i="13"/>
  <c r="H21" i="13"/>
  <c r="G21" i="13"/>
  <c r="F21" i="13"/>
  <c r="E21" i="13"/>
  <c r="D21" i="13"/>
  <c r="C21" i="13"/>
  <c r="B21" i="13"/>
  <c r="A21" i="13"/>
  <c r="L20" i="13"/>
  <c r="K20" i="13"/>
  <c r="J20" i="13"/>
  <c r="I20" i="13"/>
  <c r="H20" i="13"/>
  <c r="G20" i="13"/>
  <c r="F20" i="13"/>
  <c r="E20" i="13"/>
  <c r="D20" i="13"/>
  <c r="C20" i="13"/>
  <c r="B20" i="13"/>
  <c r="A20" i="13"/>
  <c r="L19" i="13"/>
  <c r="K19" i="13"/>
  <c r="J19" i="13"/>
  <c r="I19" i="13"/>
  <c r="H19" i="13"/>
  <c r="G19" i="13"/>
  <c r="F19" i="13"/>
  <c r="E19" i="13"/>
  <c r="D19" i="13"/>
  <c r="C19" i="13"/>
  <c r="B19" i="13"/>
  <c r="A19" i="13"/>
  <c r="L18" i="13"/>
  <c r="K18" i="13"/>
  <c r="J18" i="13"/>
  <c r="I18" i="13"/>
  <c r="H18" i="13"/>
  <c r="G18" i="13"/>
  <c r="F18" i="13"/>
  <c r="E18" i="13"/>
  <c r="D18" i="13"/>
  <c r="C18" i="13"/>
  <c r="B18" i="13"/>
  <c r="A18" i="13"/>
  <c r="L17" i="13"/>
  <c r="K17" i="13"/>
  <c r="J17" i="13"/>
  <c r="I17" i="13"/>
  <c r="H17" i="13"/>
  <c r="G17" i="13"/>
  <c r="F17" i="13"/>
  <c r="E17" i="13"/>
  <c r="D17" i="13"/>
  <c r="C17" i="13"/>
  <c r="B17" i="13"/>
  <c r="A17" i="13"/>
  <c r="L16" i="13"/>
  <c r="K16" i="13"/>
  <c r="J16" i="13"/>
  <c r="I16" i="13"/>
  <c r="H16" i="13"/>
  <c r="G16" i="13"/>
  <c r="F16" i="13"/>
  <c r="E16" i="13"/>
  <c r="D16" i="13"/>
  <c r="C16" i="13"/>
  <c r="B16" i="13"/>
  <c r="A16" i="13"/>
  <c r="L15" i="13"/>
  <c r="K15" i="13"/>
  <c r="J15" i="13"/>
  <c r="I15" i="13"/>
  <c r="H15" i="13"/>
  <c r="G15" i="13"/>
  <c r="F15" i="13"/>
  <c r="E15" i="13"/>
  <c r="D15" i="13"/>
  <c r="C15" i="13"/>
  <c r="B15" i="13"/>
  <c r="A15" i="13"/>
  <c r="L14" i="13"/>
  <c r="K14" i="13"/>
  <c r="J14" i="13"/>
  <c r="I14" i="13"/>
  <c r="H14" i="13"/>
  <c r="G14" i="13"/>
  <c r="F14" i="13"/>
  <c r="E14" i="13"/>
  <c r="D14" i="13"/>
  <c r="C14" i="13"/>
  <c r="B14" i="13"/>
  <c r="A14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L12" i="13"/>
  <c r="K12" i="13"/>
  <c r="J12" i="13"/>
  <c r="I12" i="13"/>
  <c r="H12" i="13"/>
  <c r="G12" i="13"/>
  <c r="F12" i="13"/>
  <c r="E12" i="13"/>
  <c r="D12" i="13"/>
  <c r="C12" i="13"/>
  <c r="B12" i="13"/>
  <c r="A12" i="13"/>
  <c r="L11" i="13"/>
  <c r="K11" i="13"/>
  <c r="J11" i="13"/>
  <c r="I11" i="13"/>
  <c r="H11" i="13"/>
  <c r="G11" i="13"/>
  <c r="F11" i="13"/>
  <c r="E11" i="13"/>
  <c r="D11" i="13"/>
  <c r="C11" i="13"/>
  <c r="B11" i="13"/>
  <c r="A11" i="13"/>
  <c r="L10" i="13"/>
  <c r="K10" i="13"/>
  <c r="J10" i="13"/>
  <c r="I10" i="13"/>
  <c r="H10" i="13"/>
  <c r="G10" i="13"/>
  <c r="F10" i="13"/>
  <c r="E10" i="13"/>
  <c r="D10" i="13"/>
  <c r="C10" i="13"/>
  <c r="B10" i="13"/>
  <c r="A10" i="13"/>
  <c r="L9" i="13"/>
  <c r="K9" i="13"/>
  <c r="J9" i="13"/>
  <c r="I9" i="13"/>
  <c r="H9" i="13"/>
  <c r="G9" i="13"/>
  <c r="F9" i="13"/>
  <c r="E9" i="13"/>
  <c r="D9" i="13"/>
  <c r="C9" i="13"/>
  <c r="B9" i="13"/>
  <c r="A9" i="13"/>
  <c r="L8" i="13"/>
  <c r="K8" i="13"/>
  <c r="J8" i="13"/>
  <c r="I8" i="13"/>
  <c r="H8" i="13"/>
  <c r="G8" i="13"/>
  <c r="F8" i="13"/>
  <c r="E8" i="13"/>
  <c r="D8" i="13"/>
  <c r="C8" i="13"/>
  <c r="B8" i="13"/>
  <c r="A8" i="13"/>
  <c r="L7" i="13"/>
  <c r="K7" i="13"/>
  <c r="J7" i="13"/>
  <c r="I7" i="13"/>
  <c r="H7" i="13"/>
  <c r="G7" i="13"/>
  <c r="F7" i="13"/>
  <c r="E7" i="13"/>
  <c r="D7" i="13"/>
  <c r="C7" i="13"/>
  <c r="B7" i="13"/>
  <c r="A7" i="13"/>
  <c r="L6" i="13"/>
  <c r="K6" i="13"/>
  <c r="J6" i="13"/>
  <c r="I6" i="13"/>
  <c r="H6" i="13"/>
  <c r="G6" i="13"/>
  <c r="F6" i="13"/>
  <c r="E6" i="13"/>
  <c r="D6" i="13"/>
  <c r="C6" i="13"/>
  <c r="B6" i="13"/>
  <c r="A6" i="13"/>
  <c r="L5" i="13"/>
  <c r="K5" i="13"/>
  <c r="J5" i="13"/>
  <c r="I5" i="13"/>
  <c r="H5" i="13"/>
  <c r="G5" i="13"/>
  <c r="F5" i="13"/>
  <c r="E5" i="13"/>
  <c r="D5" i="13"/>
  <c r="C5" i="13"/>
  <c r="B5" i="13"/>
  <c r="A5" i="13"/>
  <c r="L4" i="13"/>
  <c r="K4" i="13"/>
  <c r="J4" i="13"/>
  <c r="I4" i="13"/>
  <c r="H4" i="13"/>
  <c r="G4" i="13"/>
  <c r="F4" i="13"/>
  <c r="E4" i="13"/>
  <c r="D4" i="13"/>
  <c r="C4" i="13"/>
  <c r="B4" i="13"/>
  <c r="A4" i="13"/>
  <c r="L3" i="13"/>
  <c r="K3" i="13"/>
  <c r="J3" i="13"/>
  <c r="I3" i="13"/>
  <c r="H3" i="13"/>
  <c r="G3" i="13"/>
  <c r="F3" i="13"/>
  <c r="E3" i="13"/>
  <c r="D3" i="13"/>
  <c r="C3" i="13"/>
  <c r="B3" i="13"/>
  <c r="A3" i="13"/>
  <c r="L2" i="13"/>
  <c r="K2" i="13"/>
  <c r="J2" i="13"/>
  <c r="I2" i="13"/>
  <c r="H2" i="13"/>
  <c r="G2" i="13"/>
  <c r="F2" i="13"/>
  <c r="E2" i="13"/>
  <c r="D2" i="13"/>
  <c r="C2" i="13"/>
  <c r="B2" i="13"/>
  <c r="A2" i="13"/>
  <c r="L27" i="12"/>
  <c r="K27" i="12"/>
  <c r="J27" i="12"/>
  <c r="I27" i="12"/>
  <c r="H27" i="12"/>
  <c r="G27" i="12"/>
  <c r="F27" i="12"/>
  <c r="E27" i="12"/>
  <c r="D27" i="12"/>
  <c r="C27" i="12"/>
  <c r="B27" i="12"/>
  <c r="L26" i="12"/>
  <c r="K26" i="12"/>
  <c r="J26" i="12"/>
  <c r="I26" i="12"/>
  <c r="H26" i="12"/>
  <c r="G26" i="12"/>
  <c r="F26" i="12"/>
  <c r="E26" i="12"/>
  <c r="D26" i="12"/>
  <c r="C26" i="12"/>
  <c r="B26" i="12"/>
  <c r="L25" i="12"/>
  <c r="L25" i="21" s="1"/>
  <c r="K25" i="12"/>
  <c r="J25" i="12"/>
  <c r="I25" i="12"/>
  <c r="H25" i="12"/>
  <c r="G25" i="12"/>
  <c r="F25" i="12"/>
  <c r="E25" i="12"/>
  <c r="D25" i="12"/>
  <c r="L25" i="20" s="1"/>
  <c r="C25" i="12"/>
  <c r="B25" i="12"/>
  <c r="L24" i="12"/>
  <c r="K24" i="12"/>
  <c r="J24" i="12"/>
  <c r="I24" i="12"/>
  <c r="H24" i="12"/>
  <c r="G24" i="12"/>
  <c r="F24" i="12"/>
  <c r="E24" i="12"/>
  <c r="D24" i="12"/>
  <c r="C24" i="12"/>
  <c r="B24" i="12"/>
  <c r="L23" i="12"/>
  <c r="K23" i="12"/>
  <c r="J23" i="12"/>
  <c r="I23" i="12"/>
  <c r="H23" i="12"/>
  <c r="G23" i="12"/>
  <c r="F23" i="12"/>
  <c r="E23" i="12"/>
  <c r="D23" i="12"/>
  <c r="C23" i="12"/>
  <c r="B23" i="12"/>
  <c r="L22" i="12"/>
  <c r="K22" i="12"/>
  <c r="J22" i="12"/>
  <c r="I22" i="12"/>
  <c r="H22" i="12"/>
  <c r="G22" i="12"/>
  <c r="F22" i="12"/>
  <c r="E22" i="12"/>
  <c r="D22" i="12"/>
  <c r="C22" i="12"/>
  <c r="B22" i="12"/>
  <c r="L21" i="12"/>
  <c r="K21" i="12"/>
  <c r="J21" i="12"/>
  <c r="I21" i="12"/>
  <c r="H21" i="12"/>
  <c r="G21" i="12"/>
  <c r="F21" i="12"/>
  <c r="E21" i="12"/>
  <c r="D21" i="12"/>
  <c r="C21" i="12"/>
  <c r="B21" i="12"/>
  <c r="L20" i="12"/>
  <c r="K20" i="12"/>
  <c r="J20" i="12"/>
  <c r="I20" i="12"/>
  <c r="H20" i="12"/>
  <c r="G20" i="12"/>
  <c r="F20" i="12"/>
  <c r="E20" i="12"/>
  <c r="D20" i="12"/>
  <c r="C20" i="12"/>
  <c r="B20" i="12"/>
  <c r="L19" i="12"/>
  <c r="K19" i="12"/>
  <c r="J19" i="12"/>
  <c r="I19" i="12"/>
  <c r="H19" i="12"/>
  <c r="G19" i="12"/>
  <c r="F19" i="12"/>
  <c r="E19" i="12"/>
  <c r="D19" i="12"/>
  <c r="C19" i="12"/>
  <c r="B19" i="12"/>
  <c r="L18" i="12"/>
  <c r="K18" i="12"/>
  <c r="J18" i="12"/>
  <c r="I18" i="12"/>
  <c r="H18" i="12"/>
  <c r="G18" i="12"/>
  <c r="F18" i="12"/>
  <c r="E18" i="12"/>
  <c r="D18" i="12"/>
  <c r="C18" i="12"/>
  <c r="B18" i="12"/>
  <c r="L17" i="12"/>
  <c r="L17" i="21" s="1"/>
  <c r="K17" i="12"/>
  <c r="J17" i="12"/>
  <c r="I17" i="12"/>
  <c r="H17" i="12"/>
  <c r="G17" i="12"/>
  <c r="F17" i="12"/>
  <c r="E17" i="12"/>
  <c r="D17" i="12"/>
  <c r="L17" i="20" s="1"/>
  <c r="C17" i="12"/>
  <c r="B17" i="12"/>
  <c r="L16" i="12"/>
  <c r="K16" i="12"/>
  <c r="J16" i="12"/>
  <c r="I16" i="12"/>
  <c r="H16" i="12"/>
  <c r="G16" i="12"/>
  <c r="F16" i="12"/>
  <c r="E16" i="12"/>
  <c r="D16" i="12"/>
  <c r="C16" i="12"/>
  <c r="B16" i="12"/>
  <c r="L15" i="12"/>
  <c r="K15" i="12"/>
  <c r="J15" i="12"/>
  <c r="I15" i="12"/>
  <c r="H15" i="12"/>
  <c r="G15" i="12"/>
  <c r="F15" i="12"/>
  <c r="E15" i="12"/>
  <c r="D15" i="12"/>
  <c r="C15" i="12"/>
  <c r="B15" i="12"/>
  <c r="L14" i="12"/>
  <c r="K14" i="12"/>
  <c r="J14" i="12"/>
  <c r="I14" i="12"/>
  <c r="H14" i="12"/>
  <c r="G14" i="12"/>
  <c r="F14" i="12"/>
  <c r="E14" i="12"/>
  <c r="D14" i="12"/>
  <c r="C14" i="12"/>
  <c r="B14" i="12"/>
  <c r="L13" i="12"/>
  <c r="K13" i="12"/>
  <c r="J13" i="12"/>
  <c r="I13" i="12"/>
  <c r="H13" i="12"/>
  <c r="G13" i="12"/>
  <c r="F13" i="12"/>
  <c r="E13" i="12"/>
  <c r="D13" i="12"/>
  <c r="C13" i="12"/>
  <c r="B13" i="12"/>
  <c r="L12" i="12"/>
  <c r="K12" i="12"/>
  <c r="J12" i="12"/>
  <c r="I12" i="12"/>
  <c r="H12" i="12"/>
  <c r="G12" i="12"/>
  <c r="F12" i="12"/>
  <c r="E12" i="12"/>
  <c r="D12" i="12"/>
  <c r="C12" i="12"/>
  <c r="B12" i="12"/>
  <c r="L11" i="12"/>
  <c r="K11" i="12"/>
  <c r="J11" i="12"/>
  <c r="I11" i="12"/>
  <c r="H11" i="12"/>
  <c r="G11" i="12"/>
  <c r="F11" i="12"/>
  <c r="E11" i="12"/>
  <c r="D11" i="12"/>
  <c r="C11" i="12"/>
  <c r="B11" i="12"/>
  <c r="L10" i="12"/>
  <c r="K10" i="12"/>
  <c r="J10" i="12"/>
  <c r="I10" i="12"/>
  <c r="H10" i="12"/>
  <c r="G10" i="12"/>
  <c r="F10" i="12"/>
  <c r="E10" i="12"/>
  <c r="D10" i="12"/>
  <c r="C10" i="12"/>
  <c r="B10" i="12"/>
  <c r="L9" i="12"/>
  <c r="L9" i="21" s="1"/>
  <c r="K9" i="12"/>
  <c r="J9" i="12"/>
  <c r="I9" i="12"/>
  <c r="H9" i="12"/>
  <c r="G9" i="12"/>
  <c r="F9" i="12"/>
  <c r="E9" i="12"/>
  <c r="D9" i="12"/>
  <c r="L9" i="20" s="1"/>
  <c r="C9" i="12"/>
  <c r="B9" i="12"/>
  <c r="L8" i="12"/>
  <c r="K8" i="12"/>
  <c r="J8" i="12"/>
  <c r="I8" i="12"/>
  <c r="H8" i="12"/>
  <c r="G8" i="12"/>
  <c r="F8" i="12"/>
  <c r="E8" i="12"/>
  <c r="D8" i="12"/>
  <c r="C8" i="12"/>
  <c r="B8" i="12"/>
  <c r="L7" i="12"/>
  <c r="K7" i="12"/>
  <c r="J7" i="12"/>
  <c r="I7" i="12"/>
  <c r="H7" i="12"/>
  <c r="G7" i="12"/>
  <c r="F7" i="12"/>
  <c r="E7" i="12"/>
  <c r="D7" i="12"/>
  <c r="C7" i="12"/>
  <c r="B7" i="12"/>
  <c r="L6" i="12"/>
  <c r="K6" i="12"/>
  <c r="J6" i="12"/>
  <c r="I6" i="12"/>
  <c r="H6" i="12"/>
  <c r="G6" i="12"/>
  <c r="F6" i="12"/>
  <c r="E6" i="12"/>
  <c r="D6" i="12"/>
  <c r="C6" i="12"/>
  <c r="B6" i="12"/>
  <c r="L5" i="12"/>
  <c r="K5" i="12"/>
  <c r="J5" i="12"/>
  <c r="I5" i="12"/>
  <c r="H5" i="12"/>
  <c r="G5" i="12"/>
  <c r="F5" i="12"/>
  <c r="E5" i="12"/>
  <c r="D5" i="12"/>
  <c r="C5" i="12"/>
  <c r="B5" i="12"/>
  <c r="L4" i="12"/>
  <c r="K4" i="12"/>
  <c r="J4" i="12"/>
  <c r="I4" i="12"/>
  <c r="H4" i="12"/>
  <c r="G4" i="12"/>
  <c r="F4" i="12"/>
  <c r="E4" i="12"/>
  <c r="D4" i="12"/>
  <c r="C4" i="12"/>
  <c r="B4" i="12"/>
  <c r="L3" i="12"/>
  <c r="K3" i="12"/>
  <c r="J3" i="12"/>
  <c r="I3" i="12"/>
  <c r="H3" i="12"/>
  <c r="G3" i="12"/>
  <c r="F3" i="12"/>
  <c r="E3" i="12"/>
  <c r="D3" i="12"/>
  <c r="C3" i="12"/>
  <c r="B3" i="12"/>
  <c r="L2" i="12"/>
  <c r="K2" i="12"/>
  <c r="J2" i="12"/>
  <c r="I2" i="12"/>
  <c r="H2" i="12"/>
  <c r="G2" i="12"/>
  <c r="F2" i="12"/>
  <c r="E2" i="12"/>
  <c r="D2" i="12"/>
  <c r="C2" i="12"/>
  <c r="B2" i="12"/>
  <c r="L27" i="11"/>
  <c r="K27" i="11"/>
  <c r="J27" i="11"/>
  <c r="I27" i="11"/>
  <c r="H27" i="11"/>
  <c r="G27" i="11"/>
  <c r="F27" i="11"/>
  <c r="E27" i="11"/>
  <c r="D27" i="11"/>
  <c r="C27" i="11"/>
  <c r="B27" i="11"/>
  <c r="A27" i="11"/>
  <c r="L26" i="11"/>
  <c r="K26" i="11"/>
  <c r="J26" i="11"/>
  <c r="I26" i="11"/>
  <c r="H26" i="11"/>
  <c r="G26" i="11"/>
  <c r="F26" i="11"/>
  <c r="E26" i="11"/>
  <c r="D26" i="11"/>
  <c r="C26" i="11"/>
  <c r="B26" i="11"/>
  <c r="A26" i="11"/>
  <c r="L25" i="11"/>
  <c r="K25" i="11"/>
  <c r="J25" i="11"/>
  <c r="I25" i="11"/>
  <c r="H25" i="11"/>
  <c r="G25" i="11"/>
  <c r="F25" i="11"/>
  <c r="E25" i="11"/>
  <c r="D25" i="11"/>
  <c r="C25" i="11"/>
  <c r="B25" i="11"/>
  <c r="A25" i="11"/>
  <c r="L24" i="11"/>
  <c r="K24" i="11"/>
  <c r="J24" i="11"/>
  <c r="I24" i="11"/>
  <c r="H24" i="11"/>
  <c r="G24" i="11"/>
  <c r="F24" i="11"/>
  <c r="E24" i="11"/>
  <c r="D24" i="11"/>
  <c r="C24" i="11"/>
  <c r="B24" i="11"/>
  <c r="A24" i="11"/>
  <c r="L23" i="11"/>
  <c r="K23" i="11"/>
  <c r="J23" i="11"/>
  <c r="I23" i="11"/>
  <c r="H23" i="11"/>
  <c r="G23" i="11"/>
  <c r="F23" i="11"/>
  <c r="E23" i="11"/>
  <c r="D23" i="11"/>
  <c r="C23" i="11"/>
  <c r="B23" i="11"/>
  <c r="A23" i="11"/>
  <c r="L22" i="11"/>
  <c r="K22" i="11"/>
  <c r="J22" i="11"/>
  <c r="I22" i="11"/>
  <c r="H22" i="11"/>
  <c r="G22" i="11"/>
  <c r="F22" i="11"/>
  <c r="E22" i="11"/>
  <c r="D22" i="11"/>
  <c r="C22" i="11"/>
  <c r="B22" i="11"/>
  <c r="A22" i="11"/>
  <c r="L21" i="11"/>
  <c r="K21" i="11"/>
  <c r="J21" i="11"/>
  <c r="I21" i="11"/>
  <c r="H21" i="11"/>
  <c r="G21" i="11"/>
  <c r="F21" i="11"/>
  <c r="E21" i="11"/>
  <c r="D21" i="11"/>
  <c r="C21" i="11"/>
  <c r="B21" i="11"/>
  <c r="A21" i="11"/>
  <c r="L20" i="11"/>
  <c r="K20" i="11"/>
  <c r="J20" i="11"/>
  <c r="I20" i="11"/>
  <c r="H20" i="11"/>
  <c r="G20" i="11"/>
  <c r="F20" i="11"/>
  <c r="E20" i="11"/>
  <c r="D20" i="11"/>
  <c r="C20" i="11"/>
  <c r="B20" i="11"/>
  <c r="A20" i="11"/>
  <c r="L19" i="11"/>
  <c r="K19" i="11"/>
  <c r="J19" i="11"/>
  <c r="I19" i="11"/>
  <c r="H19" i="11"/>
  <c r="G19" i="11"/>
  <c r="F19" i="11"/>
  <c r="E19" i="11"/>
  <c r="D19" i="11"/>
  <c r="C19" i="11"/>
  <c r="B19" i="11"/>
  <c r="A19" i="11"/>
  <c r="L18" i="11"/>
  <c r="K18" i="11"/>
  <c r="J18" i="11"/>
  <c r="I18" i="11"/>
  <c r="H18" i="11"/>
  <c r="G18" i="11"/>
  <c r="F18" i="11"/>
  <c r="E18" i="11"/>
  <c r="D18" i="11"/>
  <c r="C18" i="11"/>
  <c r="B18" i="11"/>
  <c r="A18" i="11"/>
  <c r="L17" i="11"/>
  <c r="K17" i="11"/>
  <c r="J17" i="11"/>
  <c r="I17" i="11"/>
  <c r="H17" i="11"/>
  <c r="G17" i="11"/>
  <c r="F17" i="11"/>
  <c r="E17" i="11"/>
  <c r="D17" i="11"/>
  <c r="C17" i="11"/>
  <c r="B17" i="11"/>
  <c r="A17" i="11"/>
  <c r="L16" i="11"/>
  <c r="K16" i="11"/>
  <c r="J16" i="11"/>
  <c r="I16" i="11"/>
  <c r="H16" i="11"/>
  <c r="G16" i="11"/>
  <c r="F16" i="11"/>
  <c r="E16" i="11"/>
  <c r="D16" i="11"/>
  <c r="C16" i="11"/>
  <c r="B16" i="11"/>
  <c r="A16" i="11"/>
  <c r="L15" i="11"/>
  <c r="K15" i="11"/>
  <c r="J15" i="11"/>
  <c r="I15" i="11"/>
  <c r="H15" i="11"/>
  <c r="G15" i="11"/>
  <c r="F15" i="11"/>
  <c r="E15" i="11"/>
  <c r="D15" i="11"/>
  <c r="C15" i="11"/>
  <c r="B15" i="11"/>
  <c r="A15" i="11"/>
  <c r="L14" i="11"/>
  <c r="K14" i="11"/>
  <c r="J14" i="11"/>
  <c r="I14" i="11"/>
  <c r="H14" i="11"/>
  <c r="G14" i="11"/>
  <c r="F14" i="11"/>
  <c r="E14" i="11"/>
  <c r="D14" i="11"/>
  <c r="C14" i="11"/>
  <c r="B14" i="11"/>
  <c r="A14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L11" i="11"/>
  <c r="K11" i="11"/>
  <c r="J11" i="11"/>
  <c r="I11" i="11"/>
  <c r="H11" i="11"/>
  <c r="G11" i="11"/>
  <c r="F11" i="11"/>
  <c r="E11" i="11"/>
  <c r="D11" i="11"/>
  <c r="C11" i="11"/>
  <c r="B11" i="11"/>
  <c r="A11" i="11"/>
  <c r="L10" i="11"/>
  <c r="K10" i="11"/>
  <c r="J10" i="11"/>
  <c r="I10" i="11"/>
  <c r="H10" i="11"/>
  <c r="G10" i="11"/>
  <c r="F10" i="11"/>
  <c r="E10" i="11"/>
  <c r="D10" i="11"/>
  <c r="C10" i="11"/>
  <c r="B10" i="11"/>
  <c r="A10" i="11"/>
  <c r="L9" i="11"/>
  <c r="K9" i="11"/>
  <c r="J9" i="11"/>
  <c r="I9" i="11"/>
  <c r="H9" i="11"/>
  <c r="G9" i="11"/>
  <c r="F9" i="11"/>
  <c r="E9" i="11"/>
  <c r="D9" i="11"/>
  <c r="C9" i="11"/>
  <c r="B9" i="11"/>
  <c r="A9" i="11"/>
  <c r="L8" i="11"/>
  <c r="K8" i="11"/>
  <c r="J8" i="11"/>
  <c r="I8" i="11"/>
  <c r="H8" i="11"/>
  <c r="G8" i="11"/>
  <c r="F8" i="11"/>
  <c r="E8" i="11"/>
  <c r="D8" i="11"/>
  <c r="C8" i="11"/>
  <c r="B8" i="11"/>
  <c r="A8" i="11"/>
  <c r="L7" i="11"/>
  <c r="K7" i="11"/>
  <c r="J7" i="11"/>
  <c r="I7" i="11"/>
  <c r="H7" i="11"/>
  <c r="G7" i="11"/>
  <c r="F7" i="11"/>
  <c r="E7" i="11"/>
  <c r="D7" i="11"/>
  <c r="C7" i="11"/>
  <c r="B7" i="11"/>
  <c r="A7" i="11"/>
  <c r="L6" i="11"/>
  <c r="K6" i="11"/>
  <c r="J6" i="11"/>
  <c r="I6" i="11"/>
  <c r="H6" i="11"/>
  <c r="G6" i="11"/>
  <c r="F6" i="11"/>
  <c r="E6" i="11"/>
  <c r="D6" i="11"/>
  <c r="C6" i="11"/>
  <c r="B6" i="11"/>
  <c r="A6" i="11"/>
  <c r="L5" i="11"/>
  <c r="K5" i="11"/>
  <c r="J5" i="11"/>
  <c r="I5" i="11"/>
  <c r="H5" i="11"/>
  <c r="G5" i="11"/>
  <c r="F5" i="11"/>
  <c r="E5" i="11"/>
  <c r="D5" i="11"/>
  <c r="C5" i="11"/>
  <c r="B5" i="11"/>
  <c r="A5" i="11"/>
  <c r="L4" i="11"/>
  <c r="K4" i="11"/>
  <c r="J4" i="11"/>
  <c r="I4" i="11"/>
  <c r="H4" i="11"/>
  <c r="G4" i="11"/>
  <c r="F4" i="11"/>
  <c r="E4" i="11"/>
  <c r="D4" i="11"/>
  <c r="C4" i="11"/>
  <c r="B4" i="11"/>
  <c r="A4" i="11"/>
  <c r="L3" i="11"/>
  <c r="K3" i="11"/>
  <c r="J3" i="11"/>
  <c r="I3" i="11"/>
  <c r="H3" i="11"/>
  <c r="G3" i="11"/>
  <c r="F3" i="11"/>
  <c r="E3" i="11"/>
  <c r="D3" i="11"/>
  <c r="C3" i="11"/>
  <c r="B3" i="11"/>
  <c r="A3" i="11"/>
  <c r="L2" i="11"/>
  <c r="K2" i="11"/>
  <c r="J2" i="11"/>
  <c r="I2" i="11"/>
  <c r="H2" i="11"/>
  <c r="G2" i="11"/>
  <c r="F2" i="11"/>
  <c r="E2" i="11"/>
  <c r="D2" i="11"/>
  <c r="C2" i="11"/>
  <c r="B2" i="11"/>
  <c r="A2" i="11"/>
  <c r="L27" i="10"/>
  <c r="K27" i="10"/>
  <c r="J27" i="10"/>
  <c r="I27" i="10"/>
  <c r="H27" i="10"/>
  <c r="G27" i="10"/>
  <c r="F27" i="10"/>
  <c r="E27" i="10"/>
  <c r="D27" i="10"/>
  <c r="C27" i="10"/>
  <c r="B27" i="10"/>
  <c r="A27" i="10"/>
  <c r="L26" i="10"/>
  <c r="K26" i="10"/>
  <c r="J26" i="10"/>
  <c r="I26" i="10"/>
  <c r="H26" i="10"/>
  <c r="G26" i="10"/>
  <c r="F26" i="10"/>
  <c r="E26" i="10"/>
  <c r="D26" i="10"/>
  <c r="C26" i="10"/>
  <c r="B26" i="10"/>
  <c r="A26" i="10"/>
  <c r="L25" i="10"/>
  <c r="K25" i="10"/>
  <c r="J25" i="10"/>
  <c r="I25" i="10"/>
  <c r="H25" i="10"/>
  <c r="G25" i="10"/>
  <c r="F25" i="10"/>
  <c r="E25" i="10"/>
  <c r="D25" i="10"/>
  <c r="C25" i="10"/>
  <c r="B25" i="10"/>
  <c r="A25" i="10"/>
  <c r="L24" i="10"/>
  <c r="K24" i="10"/>
  <c r="J24" i="10"/>
  <c r="I24" i="10"/>
  <c r="H24" i="10"/>
  <c r="G24" i="10"/>
  <c r="F24" i="10"/>
  <c r="E24" i="10"/>
  <c r="D24" i="10"/>
  <c r="C24" i="10"/>
  <c r="B24" i="10"/>
  <c r="A24" i="10"/>
  <c r="L23" i="10"/>
  <c r="K23" i="10"/>
  <c r="J23" i="10"/>
  <c r="I23" i="10"/>
  <c r="H23" i="10"/>
  <c r="G23" i="10"/>
  <c r="F23" i="10"/>
  <c r="E23" i="10"/>
  <c r="D23" i="10"/>
  <c r="C23" i="10"/>
  <c r="B23" i="10"/>
  <c r="A23" i="10"/>
  <c r="L22" i="10"/>
  <c r="K22" i="10"/>
  <c r="J22" i="10"/>
  <c r="I22" i="10"/>
  <c r="H22" i="10"/>
  <c r="G22" i="10"/>
  <c r="F22" i="10"/>
  <c r="E22" i="10"/>
  <c r="D22" i="10"/>
  <c r="C22" i="10"/>
  <c r="B22" i="10"/>
  <c r="A22" i="10"/>
  <c r="L21" i="10"/>
  <c r="K21" i="10"/>
  <c r="J21" i="10"/>
  <c r="I21" i="10"/>
  <c r="H21" i="10"/>
  <c r="G21" i="10"/>
  <c r="F21" i="10"/>
  <c r="E21" i="10"/>
  <c r="D21" i="10"/>
  <c r="C21" i="10"/>
  <c r="B21" i="10"/>
  <c r="A21" i="10"/>
  <c r="L20" i="10"/>
  <c r="K20" i="10"/>
  <c r="J20" i="10"/>
  <c r="I20" i="10"/>
  <c r="H20" i="10"/>
  <c r="G20" i="10"/>
  <c r="F20" i="10"/>
  <c r="E20" i="10"/>
  <c r="D20" i="10"/>
  <c r="C20" i="10"/>
  <c r="B20" i="10"/>
  <c r="A20" i="10"/>
  <c r="L19" i="10"/>
  <c r="K19" i="10"/>
  <c r="J19" i="10"/>
  <c r="I19" i="10"/>
  <c r="H19" i="10"/>
  <c r="G19" i="10"/>
  <c r="F19" i="10"/>
  <c r="E19" i="10"/>
  <c r="D19" i="10"/>
  <c r="C19" i="10"/>
  <c r="B19" i="10"/>
  <c r="A19" i="10"/>
  <c r="L18" i="10"/>
  <c r="K18" i="10"/>
  <c r="J18" i="10"/>
  <c r="I18" i="10"/>
  <c r="H18" i="10"/>
  <c r="G18" i="10"/>
  <c r="F18" i="10"/>
  <c r="E18" i="10"/>
  <c r="D18" i="10"/>
  <c r="C18" i="10"/>
  <c r="B18" i="10"/>
  <c r="A18" i="10"/>
  <c r="L17" i="10"/>
  <c r="K17" i="10"/>
  <c r="J17" i="10"/>
  <c r="I17" i="10"/>
  <c r="H17" i="10"/>
  <c r="G17" i="10"/>
  <c r="F17" i="10"/>
  <c r="E17" i="10"/>
  <c r="D17" i="10"/>
  <c r="C17" i="10"/>
  <c r="B17" i="10"/>
  <c r="A17" i="10"/>
  <c r="L16" i="10"/>
  <c r="K16" i="10"/>
  <c r="J16" i="10"/>
  <c r="I16" i="10"/>
  <c r="H16" i="10"/>
  <c r="G16" i="10"/>
  <c r="F16" i="10"/>
  <c r="E16" i="10"/>
  <c r="D16" i="10"/>
  <c r="C16" i="10"/>
  <c r="B16" i="10"/>
  <c r="A16" i="10"/>
  <c r="L15" i="10"/>
  <c r="K15" i="10"/>
  <c r="J15" i="10"/>
  <c r="I15" i="10"/>
  <c r="H15" i="10"/>
  <c r="G15" i="10"/>
  <c r="F15" i="10"/>
  <c r="E15" i="10"/>
  <c r="D15" i="10"/>
  <c r="C15" i="10"/>
  <c r="B15" i="10"/>
  <c r="A15" i="10"/>
  <c r="L14" i="10"/>
  <c r="K14" i="10"/>
  <c r="J14" i="10"/>
  <c r="I14" i="10"/>
  <c r="H14" i="10"/>
  <c r="G14" i="10"/>
  <c r="F14" i="10"/>
  <c r="E14" i="10"/>
  <c r="D14" i="10"/>
  <c r="C14" i="10"/>
  <c r="B14" i="10"/>
  <c r="A14" i="10"/>
  <c r="L13" i="10"/>
  <c r="K13" i="10"/>
  <c r="J13" i="10"/>
  <c r="I13" i="10"/>
  <c r="H13" i="10"/>
  <c r="G13" i="10"/>
  <c r="F13" i="10"/>
  <c r="E13" i="10"/>
  <c r="D13" i="10"/>
  <c r="C13" i="10"/>
  <c r="B13" i="10"/>
  <c r="A13" i="10"/>
  <c r="L12" i="10"/>
  <c r="K12" i="10"/>
  <c r="J12" i="10"/>
  <c r="I12" i="10"/>
  <c r="H12" i="10"/>
  <c r="G12" i="10"/>
  <c r="F12" i="10"/>
  <c r="E12" i="10"/>
  <c r="D12" i="10"/>
  <c r="C12" i="10"/>
  <c r="B12" i="10"/>
  <c r="A12" i="10"/>
  <c r="L11" i="10"/>
  <c r="J11" i="21" s="1"/>
  <c r="K11" i="10"/>
  <c r="J11" i="10"/>
  <c r="I11" i="10"/>
  <c r="H11" i="10"/>
  <c r="G11" i="10"/>
  <c r="F11" i="10"/>
  <c r="E11" i="10"/>
  <c r="D11" i="10"/>
  <c r="C11" i="10"/>
  <c r="B11" i="10"/>
  <c r="A11" i="10"/>
  <c r="L10" i="10"/>
  <c r="K10" i="10"/>
  <c r="J10" i="10"/>
  <c r="I10" i="10"/>
  <c r="H10" i="10"/>
  <c r="G10" i="10"/>
  <c r="F10" i="10"/>
  <c r="E10" i="10"/>
  <c r="D10" i="10"/>
  <c r="C10" i="10"/>
  <c r="B10" i="10"/>
  <c r="A10" i="10"/>
  <c r="L9" i="10"/>
  <c r="K9" i="10"/>
  <c r="J9" i="10"/>
  <c r="I9" i="10"/>
  <c r="H9" i="10"/>
  <c r="G9" i="10"/>
  <c r="F9" i="10"/>
  <c r="E9" i="10"/>
  <c r="D9" i="10"/>
  <c r="C9" i="10"/>
  <c r="B9" i="10"/>
  <c r="A9" i="10"/>
  <c r="L8" i="10"/>
  <c r="K8" i="10"/>
  <c r="J8" i="10"/>
  <c r="I8" i="10"/>
  <c r="H8" i="10"/>
  <c r="G8" i="10"/>
  <c r="F8" i="10"/>
  <c r="E8" i="10"/>
  <c r="D8" i="10"/>
  <c r="C8" i="10"/>
  <c r="B8" i="10"/>
  <c r="A8" i="10"/>
  <c r="L7" i="10"/>
  <c r="K7" i="10"/>
  <c r="J7" i="10"/>
  <c r="I7" i="10"/>
  <c r="H7" i="10"/>
  <c r="G7" i="10"/>
  <c r="F7" i="10"/>
  <c r="E7" i="10"/>
  <c r="D7" i="10"/>
  <c r="C7" i="10"/>
  <c r="B7" i="10"/>
  <c r="A7" i="10"/>
  <c r="L6" i="10"/>
  <c r="K6" i="10"/>
  <c r="J6" i="10"/>
  <c r="I6" i="10"/>
  <c r="H6" i="10"/>
  <c r="G6" i="10"/>
  <c r="F6" i="10"/>
  <c r="E6" i="10"/>
  <c r="D6" i="10"/>
  <c r="C6" i="10"/>
  <c r="B6" i="10"/>
  <c r="A6" i="10"/>
  <c r="L5" i="10"/>
  <c r="K5" i="10"/>
  <c r="J5" i="10"/>
  <c r="I5" i="10"/>
  <c r="H5" i="10"/>
  <c r="G5" i="10"/>
  <c r="F5" i="10"/>
  <c r="E5" i="10"/>
  <c r="D5" i="10"/>
  <c r="C5" i="10"/>
  <c r="B5" i="10"/>
  <c r="A5" i="10"/>
  <c r="L4" i="10"/>
  <c r="J4" i="21" s="1"/>
  <c r="K4" i="10"/>
  <c r="J4" i="10"/>
  <c r="I4" i="10"/>
  <c r="H4" i="10"/>
  <c r="G4" i="10"/>
  <c r="F4" i="10"/>
  <c r="E4" i="10"/>
  <c r="D4" i="10"/>
  <c r="C4" i="10"/>
  <c r="B4" i="10"/>
  <c r="A4" i="10"/>
  <c r="L3" i="10"/>
  <c r="K3" i="10"/>
  <c r="J3" i="10"/>
  <c r="I3" i="10"/>
  <c r="H3" i="10"/>
  <c r="G3" i="10"/>
  <c r="F3" i="10"/>
  <c r="E3" i="10"/>
  <c r="D3" i="10"/>
  <c r="C3" i="10"/>
  <c r="B3" i="10"/>
  <c r="A3" i="10"/>
  <c r="L2" i="10"/>
  <c r="K2" i="10"/>
  <c r="J2" i="10"/>
  <c r="I2" i="10"/>
  <c r="H2" i="10"/>
  <c r="G2" i="10"/>
  <c r="F2" i="10"/>
  <c r="E2" i="10"/>
  <c r="D2" i="10"/>
  <c r="C2" i="10"/>
  <c r="B2" i="10"/>
  <c r="A2" i="10"/>
  <c r="L27" i="9"/>
  <c r="K27" i="9"/>
  <c r="J27" i="9"/>
  <c r="I27" i="9"/>
  <c r="H27" i="9"/>
  <c r="G27" i="9"/>
  <c r="F27" i="9"/>
  <c r="E27" i="9"/>
  <c r="D27" i="9"/>
  <c r="C27" i="9"/>
  <c r="B27" i="9"/>
  <c r="A27" i="9"/>
  <c r="L26" i="9"/>
  <c r="K26" i="9"/>
  <c r="J26" i="9"/>
  <c r="I26" i="9"/>
  <c r="H26" i="9"/>
  <c r="G26" i="9"/>
  <c r="F26" i="9"/>
  <c r="E26" i="9"/>
  <c r="D26" i="9"/>
  <c r="C26" i="9"/>
  <c r="B26" i="9"/>
  <c r="A26" i="9"/>
  <c r="L25" i="9"/>
  <c r="K25" i="9"/>
  <c r="J25" i="9"/>
  <c r="I25" i="9"/>
  <c r="H25" i="9"/>
  <c r="G25" i="9"/>
  <c r="F25" i="9"/>
  <c r="E25" i="9"/>
  <c r="D25" i="9"/>
  <c r="C25" i="9"/>
  <c r="B25" i="9"/>
  <c r="A25" i="9"/>
  <c r="L24" i="9"/>
  <c r="K24" i="9"/>
  <c r="J24" i="9"/>
  <c r="I24" i="9"/>
  <c r="H24" i="9"/>
  <c r="G24" i="9"/>
  <c r="F24" i="9"/>
  <c r="E24" i="9"/>
  <c r="D24" i="9"/>
  <c r="C24" i="9"/>
  <c r="B24" i="9"/>
  <c r="A24" i="9"/>
  <c r="L23" i="9"/>
  <c r="K23" i="9"/>
  <c r="J23" i="9"/>
  <c r="I23" i="9"/>
  <c r="H23" i="9"/>
  <c r="G23" i="9"/>
  <c r="F23" i="9"/>
  <c r="E23" i="9"/>
  <c r="D23" i="9"/>
  <c r="C23" i="9"/>
  <c r="B23" i="9"/>
  <c r="A23" i="9"/>
  <c r="L22" i="9"/>
  <c r="K22" i="9"/>
  <c r="J22" i="9"/>
  <c r="I22" i="9"/>
  <c r="H22" i="9"/>
  <c r="G22" i="9"/>
  <c r="F22" i="9"/>
  <c r="E22" i="9"/>
  <c r="D22" i="9"/>
  <c r="C22" i="9"/>
  <c r="B22" i="9"/>
  <c r="A22" i="9"/>
  <c r="L21" i="9"/>
  <c r="K21" i="9"/>
  <c r="J21" i="9"/>
  <c r="I21" i="9"/>
  <c r="H21" i="9"/>
  <c r="G21" i="9"/>
  <c r="F21" i="9"/>
  <c r="E21" i="9"/>
  <c r="D21" i="9"/>
  <c r="C21" i="9"/>
  <c r="B21" i="9"/>
  <c r="A21" i="9"/>
  <c r="L20" i="9"/>
  <c r="K20" i="9"/>
  <c r="J20" i="9"/>
  <c r="I20" i="9"/>
  <c r="H20" i="9"/>
  <c r="G20" i="9"/>
  <c r="F20" i="9"/>
  <c r="E20" i="9"/>
  <c r="D20" i="9"/>
  <c r="C20" i="9"/>
  <c r="B20" i="9"/>
  <c r="A20" i="9"/>
  <c r="L19" i="9"/>
  <c r="K19" i="9"/>
  <c r="J19" i="9"/>
  <c r="I19" i="9"/>
  <c r="H19" i="9"/>
  <c r="G19" i="9"/>
  <c r="F19" i="9"/>
  <c r="E19" i="9"/>
  <c r="D19" i="9"/>
  <c r="C19" i="9"/>
  <c r="B19" i="9"/>
  <c r="A19" i="9"/>
  <c r="L18" i="9"/>
  <c r="K18" i="9"/>
  <c r="J18" i="9"/>
  <c r="I18" i="9"/>
  <c r="H18" i="9"/>
  <c r="G18" i="9"/>
  <c r="F18" i="9"/>
  <c r="E18" i="9"/>
  <c r="D18" i="9"/>
  <c r="C18" i="9"/>
  <c r="B18" i="9"/>
  <c r="A18" i="9"/>
  <c r="L17" i="9"/>
  <c r="K17" i="9"/>
  <c r="J17" i="9"/>
  <c r="I17" i="9"/>
  <c r="H17" i="9"/>
  <c r="G17" i="9"/>
  <c r="F17" i="9"/>
  <c r="E17" i="9"/>
  <c r="D17" i="9"/>
  <c r="C17" i="9"/>
  <c r="B17" i="9"/>
  <c r="A17" i="9"/>
  <c r="L16" i="9"/>
  <c r="K16" i="9"/>
  <c r="J16" i="9"/>
  <c r="I16" i="9"/>
  <c r="H16" i="9"/>
  <c r="G16" i="9"/>
  <c r="F16" i="9"/>
  <c r="E16" i="9"/>
  <c r="D16" i="9"/>
  <c r="C16" i="9"/>
  <c r="B16" i="9"/>
  <c r="A16" i="9"/>
  <c r="L15" i="9"/>
  <c r="K15" i="9"/>
  <c r="J15" i="9"/>
  <c r="I15" i="9"/>
  <c r="H15" i="9"/>
  <c r="G15" i="9"/>
  <c r="F15" i="9"/>
  <c r="E15" i="9"/>
  <c r="D15" i="9"/>
  <c r="C15" i="9"/>
  <c r="B15" i="9"/>
  <c r="A15" i="9"/>
  <c r="L14" i="9"/>
  <c r="K14" i="9"/>
  <c r="J14" i="9"/>
  <c r="I14" i="9"/>
  <c r="H14" i="9"/>
  <c r="G14" i="9"/>
  <c r="F14" i="9"/>
  <c r="E14" i="9"/>
  <c r="D14" i="9"/>
  <c r="C14" i="9"/>
  <c r="B14" i="9"/>
  <c r="A14" i="9"/>
  <c r="L13" i="9"/>
  <c r="K13" i="9"/>
  <c r="J13" i="9"/>
  <c r="I13" i="9"/>
  <c r="H13" i="9"/>
  <c r="G13" i="9"/>
  <c r="F13" i="9"/>
  <c r="E13" i="9"/>
  <c r="D13" i="9"/>
  <c r="C13" i="9"/>
  <c r="B13" i="9"/>
  <c r="A13" i="9"/>
  <c r="L12" i="9"/>
  <c r="K12" i="9"/>
  <c r="J12" i="9"/>
  <c r="I12" i="9"/>
  <c r="H12" i="9"/>
  <c r="G12" i="9"/>
  <c r="F12" i="9"/>
  <c r="E12" i="9"/>
  <c r="D12" i="9"/>
  <c r="C12" i="9"/>
  <c r="B12" i="9"/>
  <c r="A12" i="9"/>
  <c r="L11" i="9"/>
  <c r="K11" i="9"/>
  <c r="J11" i="9"/>
  <c r="I11" i="9"/>
  <c r="H11" i="9"/>
  <c r="G11" i="9"/>
  <c r="F11" i="9"/>
  <c r="E11" i="9"/>
  <c r="D11" i="9"/>
  <c r="C11" i="9"/>
  <c r="B11" i="9"/>
  <c r="A11" i="9"/>
  <c r="L10" i="9"/>
  <c r="K10" i="9"/>
  <c r="J10" i="9"/>
  <c r="I10" i="9"/>
  <c r="H10" i="9"/>
  <c r="G10" i="9"/>
  <c r="F10" i="9"/>
  <c r="E10" i="9"/>
  <c r="D10" i="9"/>
  <c r="C10" i="9"/>
  <c r="B10" i="9"/>
  <c r="A10" i="9"/>
  <c r="L9" i="9"/>
  <c r="K9" i="9"/>
  <c r="J9" i="9"/>
  <c r="I9" i="9"/>
  <c r="H9" i="9"/>
  <c r="G9" i="9"/>
  <c r="F9" i="9"/>
  <c r="E9" i="9"/>
  <c r="D9" i="9"/>
  <c r="C9" i="9"/>
  <c r="B9" i="9"/>
  <c r="A9" i="9"/>
  <c r="L8" i="9"/>
  <c r="K8" i="9"/>
  <c r="J8" i="9"/>
  <c r="I8" i="9"/>
  <c r="H8" i="9"/>
  <c r="G8" i="9"/>
  <c r="F8" i="9"/>
  <c r="E8" i="9"/>
  <c r="D8" i="9"/>
  <c r="C8" i="9"/>
  <c r="B8" i="9"/>
  <c r="A8" i="9"/>
  <c r="L7" i="9"/>
  <c r="K7" i="9"/>
  <c r="J7" i="9"/>
  <c r="I7" i="9"/>
  <c r="H7" i="9"/>
  <c r="G7" i="9"/>
  <c r="F7" i="9"/>
  <c r="E7" i="9"/>
  <c r="D7" i="9"/>
  <c r="C7" i="9"/>
  <c r="B7" i="9"/>
  <c r="A7" i="9"/>
  <c r="L6" i="9"/>
  <c r="K6" i="9"/>
  <c r="J6" i="9"/>
  <c r="I6" i="9"/>
  <c r="H6" i="9"/>
  <c r="G6" i="9"/>
  <c r="F6" i="9"/>
  <c r="E6" i="9"/>
  <c r="D6" i="9"/>
  <c r="C6" i="9"/>
  <c r="B6" i="9"/>
  <c r="A6" i="9"/>
  <c r="L5" i="9"/>
  <c r="K5" i="9"/>
  <c r="J5" i="9"/>
  <c r="I5" i="9"/>
  <c r="H5" i="9"/>
  <c r="G5" i="9"/>
  <c r="F5" i="9"/>
  <c r="E5" i="9"/>
  <c r="D5" i="9"/>
  <c r="C5" i="9"/>
  <c r="B5" i="9"/>
  <c r="A5" i="9"/>
  <c r="L4" i="9"/>
  <c r="K4" i="9"/>
  <c r="J4" i="9"/>
  <c r="I4" i="9"/>
  <c r="H4" i="9"/>
  <c r="G4" i="9"/>
  <c r="F4" i="9"/>
  <c r="E4" i="9"/>
  <c r="D4" i="9"/>
  <c r="C4" i="9"/>
  <c r="B4" i="9"/>
  <c r="A4" i="9"/>
  <c r="L3" i="9"/>
  <c r="K3" i="9"/>
  <c r="J3" i="9"/>
  <c r="I3" i="9"/>
  <c r="H3" i="9"/>
  <c r="G3" i="9"/>
  <c r="F3" i="9"/>
  <c r="E3" i="9"/>
  <c r="D3" i="9"/>
  <c r="C3" i="9"/>
  <c r="B3" i="9"/>
  <c r="A3" i="9"/>
  <c r="L2" i="9"/>
  <c r="K2" i="9"/>
  <c r="J2" i="9"/>
  <c r="I2" i="9"/>
  <c r="H2" i="9"/>
  <c r="G2" i="9"/>
  <c r="F2" i="9"/>
  <c r="E2" i="9"/>
  <c r="D2" i="9"/>
  <c r="C2" i="9"/>
  <c r="B2" i="9"/>
  <c r="A2" i="9"/>
  <c r="L27" i="8"/>
  <c r="K27" i="8"/>
  <c r="J27" i="8"/>
  <c r="I27" i="8"/>
  <c r="H27" i="8"/>
  <c r="G27" i="8"/>
  <c r="F27" i="8"/>
  <c r="E27" i="8"/>
  <c r="D27" i="8"/>
  <c r="C27" i="8"/>
  <c r="B27" i="8"/>
  <c r="A27" i="8"/>
  <c r="L26" i="8"/>
  <c r="K26" i="8"/>
  <c r="J26" i="8"/>
  <c r="I26" i="8"/>
  <c r="H26" i="8"/>
  <c r="G26" i="8"/>
  <c r="F26" i="8"/>
  <c r="E26" i="8"/>
  <c r="D26" i="8"/>
  <c r="C26" i="8"/>
  <c r="B26" i="8"/>
  <c r="A26" i="8"/>
  <c r="L25" i="8"/>
  <c r="K25" i="8"/>
  <c r="J25" i="8"/>
  <c r="I25" i="8"/>
  <c r="H25" i="8"/>
  <c r="G25" i="8"/>
  <c r="F25" i="8"/>
  <c r="E25" i="8"/>
  <c r="D25" i="8"/>
  <c r="C25" i="8"/>
  <c r="B25" i="8"/>
  <c r="A25" i="8"/>
  <c r="L24" i="8"/>
  <c r="K24" i="8"/>
  <c r="J24" i="8"/>
  <c r="I24" i="8"/>
  <c r="H24" i="8"/>
  <c r="G24" i="8"/>
  <c r="F24" i="8"/>
  <c r="E24" i="8"/>
  <c r="D24" i="8"/>
  <c r="C24" i="8"/>
  <c r="B24" i="8"/>
  <c r="A24" i="8"/>
  <c r="L23" i="8"/>
  <c r="K23" i="8"/>
  <c r="J23" i="8"/>
  <c r="I23" i="8"/>
  <c r="H23" i="8"/>
  <c r="G23" i="8"/>
  <c r="F23" i="8"/>
  <c r="E23" i="8"/>
  <c r="D23" i="8"/>
  <c r="C23" i="8"/>
  <c r="B23" i="8"/>
  <c r="A23" i="8"/>
  <c r="L22" i="8"/>
  <c r="K22" i="8"/>
  <c r="J22" i="8"/>
  <c r="I22" i="8"/>
  <c r="H22" i="8"/>
  <c r="G22" i="8"/>
  <c r="F22" i="8"/>
  <c r="E22" i="8"/>
  <c r="D22" i="8"/>
  <c r="C22" i="8"/>
  <c r="B22" i="8"/>
  <c r="A22" i="8"/>
  <c r="L21" i="8"/>
  <c r="K21" i="8"/>
  <c r="J21" i="8"/>
  <c r="I21" i="8"/>
  <c r="H21" i="8"/>
  <c r="G21" i="8"/>
  <c r="F21" i="8"/>
  <c r="E21" i="8"/>
  <c r="D21" i="8"/>
  <c r="C21" i="8"/>
  <c r="B21" i="8"/>
  <c r="A21" i="8"/>
  <c r="L20" i="8"/>
  <c r="K20" i="8"/>
  <c r="J20" i="8"/>
  <c r="I20" i="8"/>
  <c r="H20" i="8"/>
  <c r="G20" i="8"/>
  <c r="F20" i="8"/>
  <c r="E20" i="8"/>
  <c r="D20" i="8"/>
  <c r="C20" i="8"/>
  <c r="B20" i="8"/>
  <c r="A20" i="8"/>
  <c r="L19" i="8"/>
  <c r="H19" i="21" s="1"/>
  <c r="K19" i="8"/>
  <c r="J19" i="8"/>
  <c r="I19" i="8"/>
  <c r="H19" i="8"/>
  <c r="G19" i="8"/>
  <c r="F19" i="8"/>
  <c r="E19" i="8"/>
  <c r="D19" i="8"/>
  <c r="C19" i="8"/>
  <c r="B19" i="8"/>
  <c r="A19" i="8"/>
  <c r="L18" i="8"/>
  <c r="K18" i="8"/>
  <c r="J18" i="8"/>
  <c r="I18" i="8"/>
  <c r="H18" i="8"/>
  <c r="G18" i="8"/>
  <c r="F18" i="8"/>
  <c r="E18" i="8"/>
  <c r="D18" i="8"/>
  <c r="C18" i="8"/>
  <c r="B18" i="8"/>
  <c r="A18" i="8"/>
  <c r="L17" i="8"/>
  <c r="K17" i="8"/>
  <c r="J17" i="8"/>
  <c r="I17" i="8"/>
  <c r="H17" i="8"/>
  <c r="G17" i="8"/>
  <c r="F17" i="8"/>
  <c r="E17" i="8"/>
  <c r="D17" i="8"/>
  <c r="C17" i="8"/>
  <c r="B17" i="8"/>
  <c r="A17" i="8"/>
  <c r="L16" i="8"/>
  <c r="K16" i="8"/>
  <c r="J16" i="8"/>
  <c r="I16" i="8"/>
  <c r="H16" i="8"/>
  <c r="G16" i="8"/>
  <c r="F16" i="8"/>
  <c r="E16" i="8"/>
  <c r="D16" i="8"/>
  <c r="C16" i="8"/>
  <c r="B16" i="8"/>
  <c r="A16" i="8"/>
  <c r="L15" i="8"/>
  <c r="H15" i="21" s="1"/>
  <c r="K15" i="8"/>
  <c r="J15" i="8"/>
  <c r="I15" i="8"/>
  <c r="H15" i="8"/>
  <c r="G15" i="8"/>
  <c r="F15" i="8"/>
  <c r="E15" i="8"/>
  <c r="D15" i="8"/>
  <c r="C15" i="8"/>
  <c r="B15" i="8"/>
  <c r="A15" i="8"/>
  <c r="L14" i="8"/>
  <c r="K14" i="8"/>
  <c r="J14" i="8"/>
  <c r="I14" i="8"/>
  <c r="H14" i="8"/>
  <c r="G14" i="8"/>
  <c r="F14" i="8"/>
  <c r="E14" i="8"/>
  <c r="D14" i="8"/>
  <c r="C14" i="8"/>
  <c r="B14" i="8"/>
  <c r="A14" i="8"/>
  <c r="L13" i="8"/>
  <c r="H13" i="21" s="1"/>
  <c r="K13" i="8"/>
  <c r="J13" i="8"/>
  <c r="I13" i="8"/>
  <c r="H13" i="8"/>
  <c r="G13" i="8"/>
  <c r="F13" i="8"/>
  <c r="E13" i="8"/>
  <c r="D13" i="8"/>
  <c r="C13" i="8"/>
  <c r="B13" i="8"/>
  <c r="A13" i="8"/>
  <c r="L12" i="8"/>
  <c r="K12" i="8"/>
  <c r="J12" i="8"/>
  <c r="I12" i="8"/>
  <c r="H12" i="8"/>
  <c r="G12" i="8"/>
  <c r="F12" i="8"/>
  <c r="E12" i="8"/>
  <c r="D12" i="8"/>
  <c r="C12" i="8"/>
  <c r="B12" i="8"/>
  <c r="A12" i="8"/>
  <c r="L11" i="8"/>
  <c r="H11" i="21" s="1"/>
  <c r="K11" i="8"/>
  <c r="J11" i="8"/>
  <c r="I11" i="8"/>
  <c r="H11" i="8"/>
  <c r="G11" i="8"/>
  <c r="F11" i="8"/>
  <c r="E11" i="8"/>
  <c r="D11" i="8"/>
  <c r="C11" i="8"/>
  <c r="B11" i="8"/>
  <c r="A11" i="8"/>
  <c r="L10" i="8"/>
  <c r="K10" i="8"/>
  <c r="J10" i="8"/>
  <c r="I10" i="8"/>
  <c r="H10" i="8"/>
  <c r="G10" i="8"/>
  <c r="F10" i="8"/>
  <c r="E10" i="8"/>
  <c r="D10" i="8"/>
  <c r="C10" i="8"/>
  <c r="B10" i="8"/>
  <c r="A10" i="8"/>
  <c r="L9" i="8"/>
  <c r="H9" i="21" s="1"/>
  <c r="K9" i="8"/>
  <c r="J9" i="8"/>
  <c r="I9" i="8"/>
  <c r="H9" i="8"/>
  <c r="G9" i="8"/>
  <c r="F9" i="8"/>
  <c r="E9" i="8"/>
  <c r="D9" i="8"/>
  <c r="C9" i="8"/>
  <c r="B9" i="8"/>
  <c r="A9" i="8"/>
  <c r="L8" i="8"/>
  <c r="K8" i="8"/>
  <c r="J8" i="8"/>
  <c r="I8" i="8"/>
  <c r="H8" i="8"/>
  <c r="G8" i="8"/>
  <c r="F8" i="8"/>
  <c r="E8" i="8"/>
  <c r="D8" i="8"/>
  <c r="C8" i="8"/>
  <c r="B8" i="8"/>
  <c r="A8" i="8"/>
  <c r="L7" i="8"/>
  <c r="K7" i="8"/>
  <c r="J7" i="8"/>
  <c r="I7" i="8"/>
  <c r="H7" i="8"/>
  <c r="G7" i="8"/>
  <c r="F7" i="8"/>
  <c r="E7" i="8"/>
  <c r="D7" i="8"/>
  <c r="C7" i="8"/>
  <c r="B7" i="8"/>
  <c r="A7" i="8"/>
  <c r="L6" i="8"/>
  <c r="K6" i="8"/>
  <c r="J6" i="8"/>
  <c r="I6" i="8"/>
  <c r="H6" i="8"/>
  <c r="G6" i="8"/>
  <c r="F6" i="8"/>
  <c r="E6" i="8"/>
  <c r="D6" i="8"/>
  <c r="C6" i="8"/>
  <c r="B6" i="8"/>
  <c r="A6" i="8"/>
  <c r="L5" i="8"/>
  <c r="K5" i="8"/>
  <c r="J5" i="8"/>
  <c r="I5" i="8"/>
  <c r="H5" i="8"/>
  <c r="G5" i="8"/>
  <c r="F5" i="8"/>
  <c r="E5" i="8"/>
  <c r="D5" i="8"/>
  <c r="C5" i="8"/>
  <c r="B5" i="8"/>
  <c r="A5" i="8"/>
  <c r="L4" i="8"/>
  <c r="K4" i="8"/>
  <c r="J4" i="8"/>
  <c r="I4" i="8"/>
  <c r="H4" i="8"/>
  <c r="G4" i="8"/>
  <c r="F4" i="8"/>
  <c r="E4" i="8"/>
  <c r="D4" i="8"/>
  <c r="C4" i="8"/>
  <c r="B4" i="8"/>
  <c r="A4" i="8"/>
  <c r="L3" i="8"/>
  <c r="H3" i="21" s="1"/>
  <c r="K3" i="8"/>
  <c r="J3" i="8"/>
  <c r="I3" i="8"/>
  <c r="H3" i="8"/>
  <c r="G3" i="8"/>
  <c r="F3" i="8"/>
  <c r="E3" i="8"/>
  <c r="D3" i="8"/>
  <c r="C3" i="8"/>
  <c r="B3" i="8"/>
  <c r="A3" i="8"/>
  <c r="L2" i="8"/>
  <c r="K2" i="8"/>
  <c r="J2" i="8"/>
  <c r="I2" i="8"/>
  <c r="H2" i="8"/>
  <c r="G2" i="8"/>
  <c r="F2" i="8"/>
  <c r="E2" i="8"/>
  <c r="D2" i="8"/>
  <c r="C2" i="8"/>
  <c r="B2" i="8"/>
  <c r="A2" i="8"/>
  <c r="L27" i="7"/>
  <c r="K27" i="7"/>
  <c r="J27" i="7"/>
  <c r="I27" i="7"/>
  <c r="H27" i="7"/>
  <c r="G27" i="7"/>
  <c r="F27" i="7"/>
  <c r="E27" i="7"/>
  <c r="D27" i="7"/>
  <c r="C27" i="7"/>
  <c r="B27" i="7"/>
  <c r="A27" i="7"/>
  <c r="L26" i="7"/>
  <c r="K26" i="7"/>
  <c r="J26" i="7"/>
  <c r="I26" i="7"/>
  <c r="H26" i="7"/>
  <c r="G26" i="7"/>
  <c r="F26" i="7"/>
  <c r="E26" i="7"/>
  <c r="D26" i="7"/>
  <c r="C26" i="7"/>
  <c r="B26" i="7"/>
  <c r="A26" i="7"/>
  <c r="L25" i="7"/>
  <c r="K25" i="7"/>
  <c r="J25" i="7"/>
  <c r="I25" i="7"/>
  <c r="H25" i="7"/>
  <c r="G25" i="7"/>
  <c r="F25" i="7"/>
  <c r="E25" i="7"/>
  <c r="D25" i="7"/>
  <c r="C25" i="7"/>
  <c r="B25" i="7"/>
  <c r="A25" i="7"/>
  <c r="L24" i="7"/>
  <c r="K24" i="7"/>
  <c r="J24" i="7"/>
  <c r="I24" i="7"/>
  <c r="H24" i="7"/>
  <c r="G24" i="7"/>
  <c r="F24" i="7"/>
  <c r="E24" i="7"/>
  <c r="D24" i="7"/>
  <c r="C24" i="7"/>
  <c r="B24" i="7"/>
  <c r="A24" i="7"/>
  <c r="L23" i="7"/>
  <c r="K23" i="7"/>
  <c r="J23" i="7"/>
  <c r="I23" i="7"/>
  <c r="H23" i="7"/>
  <c r="G23" i="7"/>
  <c r="F23" i="7"/>
  <c r="E23" i="7"/>
  <c r="D23" i="7"/>
  <c r="C23" i="7"/>
  <c r="B23" i="7"/>
  <c r="A23" i="7"/>
  <c r="L22" i="7"/>
  <c r="K22" i="7"/>
  <c r="J22" i="7"/>
  <c r="I22" i="7"/>
  <c r="H22" i="7"/>
  <c r="G22" i="7"/>
  <c r="F22" i="7"/>
  <c r="E22" i="7"/>
  <c r="D22" i="7"/>
  <c r="C22" i="7"/>
  <c r="B22" i="7"/>
  <c r="A22" i="7"/>
  <c r="L21" i="7"/>
  <c r="K21" i="7"/>
  <c r="J21" i="7"/>
  <c r="I21" i="7"/>
  <c r="H21" i="7"/>
  <c r="G21" i="7"/>
  <c r="F21" i="7"/>
  <c r="E21" i="7"/>
  <c r="D21" i="7"/>
  <c r="C21" i="7"/>
  <c r="B21" i="7"/>
  <c r="A21" i="7"/>
  <c r="L20" i="7"/>
  <c r="K20" i="7"/>
  <c r="J20" i="7"/>
  <c r="I20" i="7"/>
  <c r="H20" i="7"/>
  <c r="G20" i="7"/>
  <c r="F20" i="7"/>
  <c r="E20" i="7"/>
  <c r="D20" i="7"/>
  <c r="C20" i="7"/>
  <c r="B20" i="7"/>
  <c r="A20" i="7"/>
  <c r="L19" i="7"/>
  <c r="K19" i="7"/>
  <c r="J19" i="7"/>
  <c r="I19" i="7"/>
  <c r="H19" i="7"/>
  <c r="G19" i="7"/>
  <c r="F19" i="7"/>
  <c r="E19" i="7"/>
  <c r="D19" i="7"/>
  <c r="C19" i="7"/>
  <c r="B19" i="7"/>
  <c r="A19" i="7"/>
  <c r="L18" i="7"/>
  <c r="K18" i="7"/>
  <c r="J18" i="7"/>
  <c r="I18" i="7"/>
  <c r="H18" i="7"/>
  <c r="G18" i="7"/>
  <c r="F18" i="7"/>
  <c r="E18" i="7"/>
  <c r="D18" i="7"/>
  <c r="C18" i="7"/>
  <c r="B18" i="7"/>
  <c r="A18" i="7"/>
  <c r="L17" i="7"/>
  <c r="K17" i="7"/>
  <c r="J17" i="7"/>
  <c r="I17" i="7"/>
  <c r="H17" i="7"/>
  <c r="G17" i="7"/>
  <c r="F17" i="7"/>
  <c r="E17" i="7"/>
  <c r="D17" i="7"/>
  <c r="C17" i="7"/>
  <c r="B17" i="7"/>
  <c r="A17" i="7"/>
  <c r="L16" i="7"/>
  <c r="K16" i="7"/>
  <c r="J16" i="7"/>
  <c r="I16" i="7"/>
  <c r="H16" i="7"/>
  <c r="G16" i="7"/>
  <c r="F16" i="7"/>
  <c r="E16" i="7"/>
  <c r="D16" i="7"/>
  <c r="C16" i="7"/>
  <c r="B16" i="7"/>
  <c r="A16" i="7"/>
  <c r="L15" i="7"/>
  <c r="K15" i="7"/>
  <c r="J15" i="7"/>
  <c r="I15" i="7"/>
  <c r="H15" i="7"/>
  <c r="G15" i="7"/>
  <c r="F15" i="7"/>
  <c r="E15" i="7"/>
  <c r="D15" i="7"/>
  <c r="C15" i="7"/>
  <c r="B15" i="7"/>
  <c r="A15" i="7"/>
  <c r="L14" i="7"/>
  <c r="K14" i="7"/>
  <c r="J14" i="7"/>
  <c r="I14" i="7"/>
  <c r="H14" i="7"/>
  <c r="G14" i="7"/>
  <c r="F14" i="7"/>
  <c r="E14" i="7"/>
  <c r="D14" i="7"/>
  <c r="C14" i="7"/>
  <c r="B14" i="7"/>
  <c r="A14" i="7"/>
  <c r="L13" i="7"/>
  <c r="K13" i="7"/>
  <c r="J13" i="7"/>
  <c r="I13" i="7"/>
  <c r="H13" i="7"/>
  <c r="G13" i="7"/>
  <c r="F13" i="7"/>
  <c r="E13" i="7"/>
  <c r="D13" i="7"/>
  <c r="C13" i="7"/>
  <c r="B13" i="7"/>
  <c r="A13" i="7"/>
  <c r="L12" i="7"/>
  <c r="K12" i="7"/>
  <c r="J12" i="7"/>
  <c r="I12" i="7"/>
  <c r="H12" i="7"/>
  <c r="G12" i="7"/>
  <c r="F12" i="7"/>
  <c r="E12" i="7"/>
  <c r="D12" i="7"/>
  <c r="C12" i="7"/>
  <c r="B12" i="7"/>
  <c r="A12" i="7"/>
  <c r="L11" i="7"/>
  <c r="K11" i="7"/>
  <c r="J11" i="7"/>
  <c r="I11" i="7"/>
  <c r="H11" i="7"/>
  <c r="G11" i="7"/>
  <c r="F11" i="7"/>
  <c r="E11" i="7"/>
  <c r="D11" i="7"/>
  <c r="C11" i="7"/>
  <c r="B11" i="7"/>
  <c r="A11" i="7"/>
  <c r="L10" i="7"/>
  <c r="K10" i="7"/>
  <c r="J10" i="7"/>
  <c r="I10" i="7"/>
  <c r="H10" i="7"/>
  <c r="G10" i="7"/>
  <c r="F10" i="7"/>
  <c r="E10" i="7"/>
  <c r="D10" i="7"/>
  <c r="C10" i="7"/>
  <c r="B10" i="7"/>
  <c r="A10" i="7"/>
  <c r="L9" i="7"/>
  <c r="K9" i="7"/>
  <c r="J9" i="7"/>
  <c r="I9" i="7"/>
  <c r="H9" i="7"/>
  <c r="G9" i="7"/>
  <c r="F9" i="7"/>
  <c r="E9" i="7"/>
  <c r="D9" i="7"/>
  <c r="C9" i="7"/>
  <c r="B9" i="7"/>
  <c r="A9" i="7"/>
  <c r="L8" i="7"/>
  <c r="K8" i="7"/>
  <c r="J8" i="7"/>
  <c r="I8" i="7"/>
  <c r="H8" i="7"/>
  <c r="G8" i="7"/>
  <c r="F8" i="7"/>
  <c r="E8" i="7"/>
  <c r="D8" i="7"/>
  <c r="C8" i="7"/>
  <c r="B8" i="7"/>
  <c r="A8" i="7"/>
  <c r="L7" i="7"/>
  <c r="K7" i="7"/>
  <c r="J7" i="7"/>
  <c r="I7" i="7"/>
  <c r="H7" i="7"/>
  <c r="G7" i="7"/>
  <c r="F7" i="7"/>
  <c r="E7" i="7"/>
  <c r="D7" i="7"/>
  <c r="C7" i="7"/>
  <c r="B7" i="7"/>
  <c r="A7" i="7"/>
  <c r="L6" i="7"/>
  <c r="K6" i="7"/>
  <c r="J6" i="7"/>
  <c r="I6" i="7"/>
  <c r="H6" i="7"/>
  <c r="G6" i="7"/>
  <c r="F6" i="7"/>
  <c r="E6" i="7"/>
  <c r="D6" i="7"/>
  <c r="C6" i="7"/>
  <c r="B6" i="7"/>
  <c r="A6" i="7"/>
  <c r="L5" i="7"/>
  <c r="K5" i="7"/>
  <c r="J5" i="7"/>
  <c r="I5" i="7"/>
  <c r="H5" i="7"/>
  <c r="G5" i="7"/>
  <c r="F5" i="7"/>
  <c r="E5" i="7"/>
  <c r="D5" i="7"/>
  <c r="C5" i="7"/>
  <c r="B5" i="7"/>
  <c r="A5" i="7"/>
  <c r="L4" i="7"/>
  <c r="K4" i="7"/>
  <c r="J4" i="7"/>
  <c r="I4" i="7"/>
  <c r="H4" i="7"/>
  <c r="G4" i="7"/>
  <c r="F4" i="7"/>
  <c r="E4" i="7"/>
  <c r="D4" i="7"/>
  <c r="C4" i="7"/>
  <c r="B4" i="7"/>
  <c r="A4" i="7"/>
  <c r="L3" i="7"/>
  <c r="K3" i="7"/>
  <c r="J3" i="7"/>
  <c r="I3" i="7"/>
  <c r="H3" i="7"/>
  <c r="G3" i="7"/>
  <c r="F3" i="7"/>
  <c r="E3" i="7"/>
  <c r="D3" i="7"/>
  <c r="C3" i="7"/>
  <c r="B3" i="7"/>
  <c r="A3" i="7"/>
  <c r="L2" i="7"/>
  <c r="K2" i="7"/>
  <c r="J2" i="7"/>
  <c r="I2" i="7"/>
  <c r="H2" i="7"/>
  <c r="G2" i="7"/>
  <c r="F2" i="7"/>
  <c r="E2" i="7"/>
  <c r="D2" i="7"/>
  <c r="C2" i="7"/>
  <c r="B2" i="7"/>
  <c r="A2" i="7"/>
  <c r="L27" i="6"/>
  <c r="F27" i="21" s="1"/>
  <c r="K27" i="6"/>
  <c r="J27" i="6"/>
  <c r="I27" i="6"/>
  <c r="H27" i="6"/>
  <c r="G27" i="6"/>
  <c r="F27" i="6"/>
  <c r="E27" i="6"/>
  <c r="D27" i="6"/>
  <c r="F27" i="20" s="1"/>
  <c r="C27" i="6"/>
  <c r="B27" i="6"/>
  <c r="A27" i="6"/>
  <c r="L26" i="6"/>
  <c r="F26" i="21" s="1"/>
  <c r="K26" i="6"/>
  <c r="J26" i="6"/>
  <c r="I26" i="6"/>
  <c r="H26" i="6"/>
  <c r="G26" i="6"/>
  <c r="F26" i="6"/>
  <c r="E26" i="6"/>
  <c r="D26" i="6"/>
  <c r="F26" i="20" s="1"/>
  <c r="C26" i="6"/>
  <c r="B26" i="6"/>
  <c r="A26" i="6"/>
  <c r="L25" i="6"/>
  <c r="F25" i="21" s="1"/>
  <c r="K25" i="6"/>
  <c r="J25" i="6"/>
  <c r="I25" i="6"/>
  <c r="H25" i="6"/>
  <c r="G25" i="6"/>
  <c r="F25" i="6"/>
  <c r="E25" i="6"/>
  <c r="D25" i="6"/>
  <c r="C25" i="6"/>
  <c r="B25" i="6"/>
  <c r="A25" i="6"/>
  <c r="L24" i="6"/>
  <c r="F24" i="21" s="1"/>
  <c r="K24" i="6"/>
  <c r="J24" i="6"/>
  <c r="I24" i="6"/>
  <c r="H24" i="6"/>
  <c r="G24" i="6"/>
  <c r="F24" i="6"/>
  <c r="E24" i="6"/>
  <c r="D24" i="6"/>
  <c r="C24" i="6"/>
  <c r="B24" i="6"/>
  <c r="A24" i="6"/>
  <c r="L23" i="6"/>
  <c r="F23" i="21" s="1"/>
  <c r="K23" i="6"/>
  <c r="J23" i="6"/>
  <c r="I23" i="6"/>
  <c r="H23" i="6"/>
  <c r="G23" i="6"/>
  <c r="F23" i="6"/>
  <c r="E23" i="6"/>
  <c r="D23" i="6"/>
  <c r="C23" i="6"/>
  <c r="B23" i="6"/>
  <c r="A23" i="6"/>
  <c r="L22" i="6"/>
  <c r="F22" i="21" s="1"/>
  <c r="K22" i="6"/>
  <c r="J22" i="6"/>
  <c r="I22" i="6"/>
  <c r="H22" i="6"/>
  <c r="G22" i="6"/>
  <c r="F22" i="6"/>
  <c r="E22" i="6"/>
  <c r="D22" i="6"/>
  <c r="C22" i="6"/>
  <c r="B22" i="6"/>
  <c r="A22" i="6"/>
  <c r="L21" i="6"/>
  <c r="K21" i="6"/>
  <c r="J21" i="6"/>
  <c r="I21" i="6"/>
  <c r="H21" i="6"/>
  <c r="G21" i="6"/>
  <c r="F21" i="6"/>
  <c r="E21" i="6"/>
  <c r="D21" i="6"/>
  <c r="F21" i="20" s="1"/>
  <c r="C21" i="6"/>
  <c r="B21" i="6"/>
  <c r="A21" i="6"/>
  <c r="L20" i="6"/>
  <c r="K20" i="6"/>
  <c r="J20" i="6"/>
  <c r="I20" i="6"/>
  <c r="H20" i="6"/>
  <c r="G20" i="6"/>
  <c r="F20" i="6"/>
  <c r="E20" i="6"/>
  <c r="D20" i="6"/>
  <c r="F20" i="20" s="1"/>
  <c r="C20" i="6"/>
  <c r="B20" i="6"/>
  <c r="A20" i="6"/>
  <c r="L19" i="6"/>
  <c r="F19" i="21" s="1"/>
  <c r="K19" i="6"/>
  <c r="J19" i="6"/>
  <c r="I19" i="6"/>
  <c r="H19" i="6"/>
  <c r="G19" i="6"/>
  <c r="F19" i="6"/>
  <c r="E19" i="6"/>
  <c r="D19" i="6"/>
  <c r="C19" i="6"/>
  <c r="B19" i="6"/>
  <c r="A19" i="6"/>
  <c r="L18" i="6"/>
  <c r="F18" i="21" s="1"/>
  <c r="K18" i="6"/>
  <c r="J18" i="6"/>
  <c r="I18" i="6"/>
  <c r="H18" i="6"/>
  <c r="G18" i="6"/>
  <c r="F18" i="6"/>
  <c r="E18" i="6"/>
  <c r="D18" i="6"/>
  <c r="C18" i="6"/>
  <c r="B18" i="6"/>
  <c r="A18" i="6"/>
  <c r="L17" i="6"/>
  <c r="K17" i="6"/>
  <c r="J17" i="6"/>
  <c r="I17" i="6"/>
  <c r="H17" i="6"/>
  <c r="G17" i="6"/>
  <c r="F17" i="6"/>
  <c r="E17" i="6"/>
  <c r="D17" i="6"/>
  <c r="F17" i="20" s="1"/>
  <c r="C17" i="6"/>
  <c r="B17" i="6"/>
  <c r="A17" i="6"/>
  <c r="L16" i="6"/>
  <c r="F16" i="21" s="1"/>
  <c r="K16" i="6"/>
  <c r="J16" i="6"/>
  <c r="I16" i="6"/>
  <c r="H16" i="6"/>
  <c r="G16" i="6"/>
  <c r="F16" i="6"/>
  <c r="E16" i="6"/>
  <c r="D16" i="6"/>
  <c r="F16" i="20" s="1"/>
  <c r="C16" i="6"/>
  <c r="B16" i="6"/>
  <c r="A16" i="6"/>
  <c r="L15" i="6"/>
  <c r="K15" i="6"/>
  <c r="J15" i="6"/>
  <c r="I15" i="6"/>
  <c r="H15" i="6"/>
  <c r="G15" i="6"/>
  <c r="F15" i="6"/>
  <c r="E15" i="6"/>
  <c r="D15" i="6"/>
  <c r="C15" i="6"/>
  <c r="B15" i="6"/>
  <c r="A15" i="6"/>
  <c r="L14" i="6"/>
  <c r="K14" i="6"/>
  <c r="J14" i="6"/>
  <c r="I14" i="6"/>
  <c r="H14" i="6"/>
  <c r="G14" i="6"/>
  <c r="F14" i="6"/>
  <c r="E14" i="6"/>
  <c r="D14" i="6"/>
  <c r="C14" i="6"/>
  <c r="B14" i="6"/>
  <c r="A14" i="6"/>
  <c r="L13" i="6"/>
  <c r="K13" i="6"/>
  <c r="J13" i="6"/>
  <c r="I13" i="6"/>
  <c r="H13" i="6"/>
  <c r="G13" i="6"/>
  <c r="F13" i="6"/>
  <c r="E13" i="6"/>
  <c r="D13" i="6"/>
  <c r="C13" i="6"/>
  <c r="B13" i="6"/>
  <c r="A13" i="6"/>
  <c r="L12" i="6"/>
  <c r="F12" i="21" s="1"/>
  <c r="K12" i="6"/>
  <c r="J12" i="6"/>
  <c r="I12" i="6"/>
  <c r="H12" i="6"/>
  <c r="G12" i="6"/>
  <c r="F12" i="6"/>
  <c r="E12" i="6"/>
  <c r="D12" i="6"/>
  <c r="C12" i="6"/>
  <c r="B12" i="6"/>
  <c r="A12" i="6"/>
  <c r="L11" i="6"/>
  <c r="F11" i="21" s="1"/>
  <c r="K11" i="6"/>
  <c r="J11" i="6"/>
  <c r="I11" i="6"/>
  <c r="H11" i="6"/>
  <c r="G11" i="6"/>
  <c r="F11" i="6"/>
  <c r="E11" i="6"/>
  <c r="D11" i="6"/>
  <c r="F11" i="20" s="1"/>
  <c r="C11" i="6"/>
  <c r="B11" i="6"/>
  <c r="A11" i="6"/>
  <c r="L10" i="6"/>
  <c r="K10" i="6"/>
  <c r="J10" i="6"/>
  <c r="I10" i="6"/>
  <c r="H10" i="6"/>
  <c r="G10" i="6"/>
  <c r="F10" i="6"/>
  <c r="E10" i="6"/>
  <c r="D10" i="6"/>
  <c r="F10" i="20" s="1"/>
  <c r="C10" i="6"/>
  <c r="B10" i="6"/>
  <c r="A10" i="6"/>
  <c r="L9" i="6"/>
  <c r="F9" i="21" s="1"/>
  <c r="K9" i="6"/>
  <c r="J9" i="6"/>
  <c r="I9" i="6"/>
  <c r="H9" i="6"/>
  <c r="G9" i="6"/>
  <c r="F9" i="6"/>
  <c r="E9" i="6"/>
  <c r="D9" i="6"/>
  <c r="C9" i="6"/>
  <c r="B9" i="6"/>
  <c r="A9" i="6"/>
  <c r="L8" i="6"/>
  <c r="F8" i="21" s="1"/>
  <c r="K8" i="6"/>
  <c r="J8" i="6"/>
  <c r="I8" i="6"/>
  <c r="H8" i="6"/>
  <c r="G8" i="6"/>
  <c r="F8" i="6"/>
  <c r="E8" i="6"/>
  <c r="D8" i="6"/>
  <c r="C8" i="6"/>
  <c r="B8" i="6"/>
  <c r="A8" i="6"/>
  <c r="L7" i="6"/>
  <c r="K7" i="6"/>
  <c r="J7" i="6"/>
  <c r="I7" i="6"/>
  <c r="H7" i="6"/>
  <c r="G7" i="6"/>
  <c r="F7" i="6"/>
  <c r="E7" i="6"/>
  <c r="D7" i="6"/>
  <c r="F7" i="20" s="1"/>
  <c r="C7" i="6"/>
  <c r="B7" i="6"/>
  <c r="A7" i="6"/>
  <c r="L6" i="6"/>
  <c r="K6" i="6"/>
  <c r="J6" i="6"/>
  <c r="I6" i="6"/>
  <c r="H6" i="6"/>
  <c r="G6" i="6"/>
  <c r="F6" i="6"/>
  <c r="E6" i="6"/>
  <c r="D6" i="6"/>
  <c r="F6" i="20" s="1"/>
  <c r="C6" i="6"/>
  <c r="B6" i="6"/>
  <c r="A6" i="6"/>
  <c r="L5" i="6"/>
  <c r="F5" i="21" s="1"/>
  <c r="K5" i="6"/>
  <c r="J5" i="6"/>
  <c r="I5" i="6"/>
  <c r="H5" i="6"/>
  <c r="G5" i="6"/>
  <c r="F5" i="6"/>
  <c r="E5" i="6"/>
  <c r="D5" i="6"/>
  <c r="C5" i="6"/>
  <c r="B5" i="6"/>
  <c r="A5" i="6"/>
  <c r="L4" i="6"/>
  <c r="F4" i="21" s="1"/>
  <c r="K4" i="6"/>
  <c r="J4" i="6"/>
  <c r="I4" i="6"/>
  <c r="H4" i="6"/>
  <c r="G4" i="6"/>
  <c r="F4" i="6"/>
  <c r="E4" i="6"/>
  <c r="D4" i="6"/>
  <c r="C4" i="6"/>
  <c r="B4" i="6"/>
  <c r="A4" i="6"/>
  <c r="L3" i="6"/>
  <c r="F3" i="21" s="1"/>
  <c r="K3" i="6"/>
  <c r="J3" i="6"/>
  <c r="I3" i="6"/>
  <c r="H3" i="6"/>
  <c r="G3" i="6"/>
  <c r="F3" i="6"/>
  <c r="E3" i="6"/>
  <c r="D3" i="6"/>
  <c r="F3" i="20" s="1"/>
  <c r="C3" i="6"/>
  <c r="B3" i="6"/>
  <c r="A3" i="6"/>
  <c r="L2" i="6"/>
  <c r="F2" i="21" s="1"/>
  <c r="K2" i="6"/>
  <c r="J2" i="6"/>
  <c r="I2" i="6"/>
  <c r="H2" i="6"/>
  <c r="G2" i="6"/>
  <c r="F2" i="6"/>
  <c r="E2" i="6"/>
  <c r="D2" i="6"/>
  <c r="C2" i="6"/>
  <c r="B2" i="6"/>
  <c r="A2" i="6"/>
  <c r="L27" i="5"/>
  <c r="K27" i="5"/>
  <c r="J27" i="5"/>
  <c r="I27" i="5"/>
  <c r="H27" i="5"/>
  <c r="G27" i="5"/>
  <c r="F27" i="5"/>
  <c r="E27" i="5"/>
  <c r="D27" i="5"/>
  <c r="C27" i="5"/>
  <c r="B27" i="5"/>
  <c r="A27" i="5"/>
  <c r="L26" i="5"/>
  <c r="K26" i="5"/>
  <c r="J26" i="5"/>
  <c r="I26" i="5"/>
  <c r="H26" i="5"/>
  <c r="G26" i="5"/>
  <c r="F26" i="5"/>
  <c r="E26" i="5"/>
  <c r="D26" i="5"/>
  <c r="C26" i="5"/>
  <c r="B26" i="5"/>
  <c r="A26" i="5"/>
  <c r="L25" i="5"/>
  <c r="K25" i="5"/>
  <c r="J25" i="5"/>
  <c r="I25" i="5"/>
  <c r="H25" i="5"/>
  <c r="G25" i="5"/>
  <c r="F25" i="5"/>
  <c r="E25" i="5"/>
  <c r="D25" i="5"/>
  <c r="C25" i="5"/>
  <c r="B25" i="5"/>
  <c r="A25" i="5"/>
  <c r="L24" i="5"/>
  <c r="K24" i="5"/>
  <c r="J24" i="5"/>
  <c r="I24" i="5"/>
  <c r="H24" i="5"/>
  <c r="G24" i="5"/>
  <c r="F24" i="5"/>
  <c r="E24" i="5"/>
  <c r="D24" i="5"/>
  <c r="C24" i="5"/>
  <c r="B24" i="5"/>
  <c r="A24" i="5"/>
  <c r="L23" i="5"/>
  <c r="K23" i="5"/>
  <c r="J23" i="5"/>
  <c r="I23" i="5"/>
  <c r="H23" i="5"/>
  <c r="G23" i="5"/>
  <c r="F23" i="5"/>
  <c r="E23" i="5"/>
  <c r="D23" i="5"/>
  <c r="C23" i="5"/>
  <c r="B23" i="5"/>
  <c r="A23" i="5"/>
  <c r="L22" i="5"/>
  <c r="K22" i="5"/>
  <c r="J22" i="5"/>
  <c r="I22" i="5"/>
  <c r="H22" i="5"/>
  <c r="G22" i="5"/>
  <c r="F22" i="5"/>
  <c r="E22" i="5"/>
  <c r="D22" i="5"/>
  <c r="C22" i="5"/>
  <c r="B22" i="5"/>
  <c r="A22" i="5"/>
  <c r="L21" i="5"/>
  <c r="K21" i="5"/>
  <c r="J21" i="5"/>
  <c r="I21" i="5"/>
  <c r="H21" i="5"/>
  <c r="G21" i="5"/>
  <c r="F21" i="5"/>
  <c r="E21" i="5"/>
  <c r="D21" i="5"/>
  <c r="C21" i="5"/>
  <c r="B21" i="5"/>
  <c r="A21" i="5"/>
  <c r="L20" i="5"/>
  <c r="K20" i="5"/>
  <c r="J20" i="5"/>
  <c r="I20" i="5"/>
  <c r="H20" i="5"/>
  <c r="G20" i="5"/>
  <c r="F20" i="5"/>
  <c r="E20" i="5"/>
  <c r="D20" i="5"/>
  <c r="C20" i="5"/>
  <c r="B20" i="5"/>
  <c r="A20" i="5"/>
  <c r="L19" i="5"/>
  <c r="K19" i="5"/>
  <c r="J19" i="5"/>
  <c r="I19" i="5"/>
  <c r="H19" i="5"/>
  <c r="G19" i="5"/>
  <c r="F19" i="5"/>
  <c r="E19" i="5"/>
  <c r="D19" i="5"/>
  <c r="C19" i="5"/>
  <c r="B19" i="5"/>
  <c r="A19" i="5"/>
  <c r="L18" i="5"/>
  <c r="K18" i="5"/>
  <c r="J18" i="5"/>
  <c r="I18" i="5"/>
  <c r="H18" i="5"/>
  <c r="G18" i="5"/>
  <c r="F18" i="5"/>
  <c r="E18" i="5"/>
  <c r="D18" i="5"/>
  <c r="C18" i="5"/>
  <c r="B18" i="5"/>
  <c r="A18" i="5"/>
  <c r="L17" i="5"/>
  <c r="K17" i="5"/>
  <c r="J17" i="5"/>
  <c r="I17" i="5"/>
  <c r="H17" i="5"/>
  <c r="G17" i="5"/>
  <c r="F17" i="5"/>
  <c r="E17" i="5"/>
  <c r="D17" i="5"/>
  <c r="C17" i="5"/>
  <c r="B17" i="5"/>
  <c r="A17" i="5"/>
  <c r="L16" i="5"/>
  <c r="K16" i="5"/>
  <c r="J16" i="5"/>
  <c r="I16" i="5"/>
  <c r="H16" i="5"/>
  <c r="G16" i="5"/>
  <c r="F16" i="5"/>
  <c r="E16" i="5"/>
  <c r="D16" i="5"/>
  <c r="C16" i="5"/>
  <c r="B16" i="5"/>
  <c r="A16" i="5"/>
  <c r="L15" i="5"/>
  <c r="K15" i="5"/>
  <c r="J15" i="5"/>
  <c r="I15" i="5"/>
  <c r="H15" i="5"/>
  <c r="G15" i="5"/>
  <c r="F15" i="5"/>
  <c r="E15" i="5"/>
  <c r="D15" i="5"/>
  <c r="C15" i="5"/>
  <c r="B15" i="5"/>
  <c r="A15" i="5"/>
  <c r="L14" i="5"/>
  <c r="K14" i="5"/>
  <c r="J14" i="5"/>
  <c r="I14" i="5"/>
  <c r="H14" i="5"/>
  <c r="G14" i="5"/>
  <c r="F14" i="5"/>
  <c r="E14" i="5"/>
  <c r="D14" i="5"/>
  <c r="C14" i="5"/>
  <c r="B14" i="5"/>
  <c r="A14" i="5"/>
  <c r="L13" i="5"/>
  <c r="K13" i="5"/>
  <c r="J13" i="5"/>
  <c r="I13" i="5"/>
  <c r="H13" i="5"/>
  <c r="G13" i="5"/>
  <c r="F13" i="5"/>
  <c r="E13" i="5"/>
  <c r="D13" i="5"/>
  <c r="C13" i="5"/>
  <c r="B13" i="5"/>
  <c r="A13" i="5"/>
  <c r="L12" i="5"/>
  <c r="K12" i="5"/>
  <c r="J12" i="5"/>
  <c r="I12" i="5"/>
  <c r="H12" i="5"/>
  <c r="G12" i="5"/>
  <c r="F12" i="5"/>
  <c r="E12" i="5"/>
  <c r="D12" i="5"/>
  <c r="C12" i="5"/>
  <c r="B12" i="5"/>
  <c r="A12" i="5"/>
  <c r="L11" i="5"/>
  <c r="K11" i="5"/>
  <c r="J11" i="5"/>
  <c r="I11" i="5"/>
  <c r="H11" i="5"/>
  <c r="G11" i="5"/>
  <c r="F11" i="5"/>
  <c r="E11" i="5"/>
  <c r="D11" i="5"/>
  <c r="C11" i="5"/>
  <c r="B11" i="5"/>
  <c r="A11" i="5"/>
  <c r="L10" i="5"/>
  <c r="K10" i="5"/>
  <c r="J10" i="5"/>
  <c r="I10" i="5"/>
  <c r="H10" i="5"/>
  <c r="G10" i="5"/>
  <c r="F10" i="5"/>
  <c r="E10" i="5"/>
  <c r="D10" i="5"/>
  <c r="C10" i="5"/>
  <c r="B10" i="5"/>
  <c r="A10" i="5"/>
  <c r="L9" i="5"/>
  <c r="K9" i="5"/>
  <c r="J9" i="5"/>
  <c r="I9" i="5"/>
  <c r="H9" i="5"/>
  <c r="G9" i="5"/>
  <c r="F9" i="5"/>
  <c r="E9" i="5"/>
  <c r="D9" i="5"/>
  <c r="C9" i="5"/>
  <c r="B9" i="5"/>
  <c r="A9" i="5"/>
  <c r="L8" i="5"/>
  <c r="K8" i="5"/>
  <c r="J8" i="5"/>
  <c r="I8" i="5"/>
  <c r="H8" i="5"/>
  <c r="G8" i="5"/>
  <c r="F8" i="5"/>
  <c r="E8" i="5"/>
  <c r="D8" i="5"/>
  <c r="C8" i="5"/>
  <c r="B8" i="5"/>
  <c r="A8" i="5"/>
  <c r="L7" i="5"/>
  <c r="K7" i="5"/>
  <c r="J7" i="5"/>
  <c r="I7" i="5"/>
  <c r="H7" i="5"/>
  <c r="G7" i="5"/>
  <c r="F7" i="5"/>
  <c r="E7" i="5"/>
  <c r="D7" i="5"/>
  <c r="C7" i="5"/>
  <c r="B7" i="5"/>
  <c r="A7" i="5"/>
  <c r="L6" i="5"/>
  <c r="K6" i="5"/>
  <c r="J6" i="5"/>
  <c r="I6" i="5"/>
  <c r="H6" i="5"/>
  <c r="G6" i="5"/>
  <c r="F6" i="5"/>
  <c r="E6" i="5"/>
  <c r="D6" i="5"/>
  <c r="C6" i="5"/>
  <c r="B6" i="5"/>
  <c r="A6" i="5"/>
  <c r="L5" i="5"/>
  <c r="K5" i="5"/>
  <c r="J5" i="5"/>
  <c r="I5" i="5"/>
  <c r="H5" i="5"/>
  <c r="G5" i="5"/>
  <c r="F5" i="5"/>
  <c r="E5" i="5"/>
  <c r="D5" i="5"/>
  <c r="C5" i="5"/>
  <c r="B5" i="5"/>
  <c r="A5" i="5"/>
  <c r="L4" i="5"/>
  <c r="K4" i="5"/>
  <c r="J4" i="5"/>
  <c r="I4" i="5"/>
  <c r="H4" i="5"/>
  <c r="G4" i="5"/>
  <c r="F4" i="5"/>
  <c r="E4" i="5"/>
  <c r="D4" i="5"/>
  <c r="C4" i="5"/>
  <c r="B4" i="5"/>
  <c r="A4" i="5"/>
  <c r="L3" i="5"/>
  <c r="K3" i="5"/>
  <c r="J3" i="5"/>
  <c r="I3" i="5"/>
  <c r="H3" i="5"/>
  <c r="G3" i="5"/>
  <c r="F3" i="5"/>
  <c r="E3" i="5"/>
  <c r="D3" i="5"/>
  <c r="C3" i="5"/>
  <c r="B3" i="5"/>
  <c r="A3" i="5"/>
  <c r="L2" i="5"/>
  <c r="K2" i="5"/>
  <c r="J2" i="5"/>
  <c r="I2" i="5"/>
  <c r="H2" i="5"/>
  <c r="G2" i="5"/>
  <c r="F2" i="5"/>
  <c r="E2" i="5"/>
  <c r="D2" i="5"/>
  <c r="C2" i="5"/>
  <c r="B2" i="5"/>
  <c r="A2" i="5"/>
  <c r="L27" i="4"/>
  <c r="D27" i="21" s="1"/>
  <c r="K27" i="4"/>
  <c r="J27" i="4"/>
  <c r="I27" i="4"/>
  <c r="H27" i="4"/>
  <c r="G27" i="4"/>
  <c r="F27" i="4"/>
  <c r="E27" i="4"/>
  <c r="D27" i="4"/>
  <c r="C27" i="4"/>
  <c r="B27" i="4"/>
  <c r="A27" i="4"/>
  <c r="L26" i="4"/>
  <c r="D26" i="21" s="1"/>
  <c r="K26" i="4"/>
  <c r="J26" i="4"/>
  <c r="I26" i="4"/>
  <c r="H26" i="4"/>
  <c r="G26" i="4"/>
  <c r="F26" i="4"/>
  <c r="E26" i="4"/>
  <c r="D26" i="4"/>
  <c r="D26" i="20" s="1"/>
  <c r="C26" i="4"/>
  <c r="B26" i="4"/>
  <c r="A26" i="4"/>
  <c r="L25" i="4"/>
  <c r="K25" i="4"/>
  <c r="J25" i="4"/>
  <c r="I25" i="4"/>
  <c r="H25" i="4"/>
  <c r="G25" i="4"/>
  <c r="F25" i="4"/>
  <c r="E25" i="4"/>
  <c r="D25" i="4"/>
  <c r="C25" i="4"/>
  <c r="B25" i="4"/>
  <c r="A25" i="4"/>
  <c r="L24" i="4"/>
  <c r="K24" i="4"/>
  <c r="J24" i="4"/>
  <c r="I24" i="4"/>
  <c r="H24" i="4"/>
  <c r="G24" i="4"/>
  <c r="F24" i="4"/>
  <c r="E24" i="4"/>
  <c r="D24" i="4"/>
  <c r="C24" i="4"/>
  <c r="B24" i="4"/>
  <c r="A24" i="4"/>
  <c r="L23" i="4"/>
  <c r="K23" i="4"/>
  <c r="J23" i="4"/>
  <c r="I23" i="4"/>
  <c r="H23" i="4"/>
  <c r="G23" i="4"/>
  <c r="F23" i="4"/>
  <c r="E23" i="4"/>
  <c r="D23" i="4"/>
  <c r="C23" i="4"/>
  <c r="B23" i="4"/>
  <c r="A23" i="4"/>
  <c r="L22" i="4"/>
  <c r="D22" i="21" s="1"/>
  <c r="K22" i="4"/>
  <c r="J22" i="4"/>
  <c r="I22" i="4"/>
  <c r="H22" i="4"/>
  <c r="G22" i="4"/>
  <c r="F22" i="4"/>
  <c r="E22" i="4"/>
  <c r="D22" i="4"/>
  <c r="D22" i="20" s="1"/>
  <c r="C22" i="4"/>
  <c r="B22" i="4"/>
  <c r="A22" i="4"/>
  <c r="L21" i="4"/>
  <c r="K21" i="4"/>
  <c r="J21" i="4"/>
  <c r="I21" i="4"/>
  <c r="H21" i="4"/>
  <c r="G21" i="4"/>
  <c r="F21" i="4"/>
  <c r="E21" i="4"/>
  <c r="D21" i="4"/>
  <c r="C21" i="4"/>
  <c r="B21" i="4"/>
  <c r="A21" i="4"/>
  <c r="L20" i="4"/>
  <c r="K20" i="4"/>
  <c r="J20" i="4"/>
  <c r="I20" i="4"/>
  <c r="H20" i="4"/>
  <c r="G20" i="4"/>
  <c r="F20" i="4"/>
  <c r="E20" i="4"/>
  <c r="D20" i="4"/>
  <c r="D20" i="20" s="1"/>
  <c r="C20" i="4"/>
  <c r="B20" i="4"/>
  <c r="A20" i="4"/>
  <c r="L19" i="4"/>
  <c r="D19" i="21" s="1"/>
  <c r="K19" i="4"/>
  <c r="J19" i="4"/>
  <c r="I19" i="4"/>
  <c r="H19" i="4"/>
  <c r="G19" i="4"/>
  <c r="F19" i="4"/>
  <c r="E19" i="4"/>
  <c r="D19" i="4"/>
  <c r="C19" i="4"/>
  <c r="B19" i="4"/>
  <c r="A19" i="4"/>
  <c r="L18" i="4"/>
  <c r="D18" i="21" s="1"/>
  <c r="K18" i="4"/>
  <c r="J18" i="4"/>
  <c r="I18" i="4"/>
  <c r="H18" i="4"/>
  <c r="G18" i="4"/>
  <c r="F18" i="4"/>
  <c r="E18" i="4"/>
  <c r="D18" i="4"/>
  <c r="C18" i="4"/>
  <c r="B18" i="4"/>
  <c r="A18" i="4"/>
  <c r="L17" i="4"/>
  <c r="D17" i="21" s="1"/>
  <c r="K17" i="4"/>
  <c r="J17" i="4"/>
  <c r="I17" i="4"/>
  <c r="H17" i="4"/>
  <c r="G17" i="4"/>
  <c r="F17" i="4"/>
  <c r="E17" i="4"/>
  <c r="D17" i="4"/>
  <c r="C17" i="4"/>
  <c r="B17" i="4"/>
  <c r="A17" i="4"/>
  <c r="L16" i="4"/>
  <c r="D16" i="21" s="1"/>
  <c r="K16" i="4"/>
  <c r="J16" i="4"/>
  <c r="I16" i="4"/>
  <c r="H16" i="4"/>
  <c r="G16" i="4"/>
  <c r="F16" i="4"/>
  <c r="E16" i="4"/>
  <c r="D16" i="4"/>
  <c r="D16" i="20" s="1"/>
  <c r="C16" i="4"/>
  <c r="B16" i="4"/>
  <c r="A16" i="4"/>
  <c r="L15" i="4"/>
  <c r="K15" i="4"/>
  <c r="J15" i="4"/>
  <c r="I15" i="4"/>
  <c r="H15" i="4"/>
  <c r="G15" i="4"/>
  <c r="F15" i="4"/>
  <c r="E15" i="4"/>
  <c r="D15" i="4"/>
  <c r="C15" i="4"/>
  <c r="B15" i="4"/>
  <c r="A15" i="4"/>
  <c r="L14" i="4"/>
  <c r="K14" i="4"/>
  <c r="J14" i="4"/>
  <c r="I14" i="4"/>
  <c r="H14" i="4"/>
  <c r="G14" i="4"/>
  <c r="F14" i="4"/>
  <c r="E14" i="4"/>
  <c r="D14" i="4"/>
  <c r="C14" i="4"/>
  <c r="B14" i="4"/>
  <c r="A14" i="4"/>
  <c r="L13" i="4"/>
  <c r="D13" i="21" s="1"/>
  <c r="K13" i="4"/>
  <c r="J13" i="4"/>
  <c r="I13" i="4"/>
  <c r="H13" i="4"/>
  <c r="G13" i="4"/>
  <c r="F13" i="4"/>
  <c r="E13" i="4"/>
  <c r="D13" i="4"/>
  <c r="C13" i="4"/>
  <c r="B13" i="4"/>
  <c r="A13" i="4"/>
  <c r="L12" i="4"/>
  <c r="D12" i="21" s="1"/>
  <c r="K12" i="4"/>
  <c r="J12" i="4"/>
  <c r="I12" i="4"/>
  <c r="H12" i="4"/>
  <c r="G12" i="4"/>
  <c r="F12" i="4"/>
  <c r="E12" i="4"/>
  <c r="D12" i="4"/>
  <c r="D12" i="20" s="1"/>
  <c r="C12" i="4"/>
  <c r="B12" i="4"/>
  <c r="A12" i="4"/>
  <c r="L11" i="4"/>
  <c r="D11" i="21" s="1"/>
  <c r="K11" i="4"/>
  <c r="J11" i="4"/>
  <c r="I11" i="4"/>
  <c r="H11" i="4"/>
  <c r="G11" i="4"/>
  <c r="F11" i="4"/>
  <c r="E11" i="4"/>
  <c r="D11" i="4"/>
  <c r="C11" i="4"/>
  <c r="B11" i="4"/>
  <c r="A11" i="4"/>
  <c r="L10" i="4"/>
  <c r="D10" i="21" s="1"/>
  <c r="K10" i="4"/>
  <c r="J10" i="4"/>
  <c r="I10" i="4"/>
  <c r="H10" i="4"/>
  <c r="G10" i="4"/>
  <c r="F10" i="4"/>
  <c r="E10" i="4"/>
  <c r="D10" i="4"/>
  <c r="D10" i="20" s="1"/>
  <c r="C10" i="4"/>
  <c r="B10" i="4"/>
  <c r="A10" i="4"/>
  <c r="L9" i="4"/>
  <c r="K9" i="4"/>
  <c r="J9" i="4"/>
  <c r="I9" i="4"/>
  <c r="H9" i="4"/>
  <c r="G9" i="4"/>
  <c r="F9" i="4"/>
  <c r="E9" i="4"/>
  <c r="D9" i="4"/>
  <c r="C9" i="4"/>
  <c r="B9" i="4"/>
  <c r="A9" i="4"/>
  <c r="L8" i="4"/>
  <c r="K8" i="4"/>
  <c r="J8" i="4"/>
  <c r="I8" i="4"/>
  <c r="H8" i="4"/>
  <c r="G8" i="4"/>
  <c r="F8" i="4"/>
  <c r="E8" i="4"/>
  <c r="D8" i="4"/>
  <c r="C8" i="4"/>
  <c r="B8" i="4"/>
  <c r="A8" i="4"/>
  <c r="L7" i="4"/>
  <c r="K7" i="4"/>
  <c r="J7" i="4"/>
  <c r="I7" i="4"/>
  <c r="H7" i="4"/>
  <c r="G7" i="4"/>
  <c r="F7" i="4"/>
  <c r="E7" i="4"/>
  <c r="D7" i="4"/>
  <c r="C7" i="4"/>
  <c r="B7" i="4"/>
  <c r="A7" i="4"/>
  <c r="L6" i="4"/>
  <c r="D6" i="21" s="1"/>
  <c r="K6" i="4"/>
  <c r="J6" i="4"/>
  <c r="I6" i="4"/>
  <c r="H6" i="4"/>
  <c r="G6" i="4"/>
  <c r="F6" i="4"/>
  <c r="E6" i="4"/>
  <c r="D6" i="4"/>
  <c r="D6" i="20" s="1"/>
  <c r="C6" i="4"/>
  <c r="B6" i="4"/>
  <c r="A6" i="4"/>
  <c r="L5" i="4"/>
  <c r="K5" i="4"/>
  <c r="J5" i="4"/>
  <c r="I5" i="4"/>
  <c r="H5" i="4"/>
  <c r="G5" i="4"/>
  <c r="F5" i="4"/>
  <c r="E5" i="4"/>
  <c r="D5" i="4"/>
  <c r="D5" i="20" s="1"/>
  <c r="C5" i="4"/>
  <c r="B5" i="4"/>
  <c r="A5" i="4"/>
  <c r="L4" i="4"/>
  <c r="D4" i="21" s="1"/>
  <c r="K4" i="4"/>
  <c r="J4" i="4"/>
  <c r="I4" i="4"/>
  <c r="H4" i="4"/>
  <c r="G4" i="4"/>
  <c r="F4" i="4"/>
  <c r="E4" i="4"/>
  <c r="D4" i="4"/>
  <c r="D4" i="20" s="1"/>
  <c r="C4" i="4"/>
  <c r="B4" i="4"/>
  <c r="A4" i="4"/>
  <c r="L3" i="4"/>
  <c r="D3" i="21" s="1"/>
  <c r="K3" i="4"/>
  <c r="J3" i="4"/>
  <c r="I3" i="4"/>
  <c r="H3" i="4"/>
  <c r="G3" i="4"/>
  <c r="F3" i="4"/>
  <c r="E3" i="4"/>
  <c r="D3" i="4"/>
  <c r="C3" i="4"/>
  <c r="B3" i="4"/>
  <c r="A3" i="4"/>
  <c r="L2" i="4"/>
  <c r="D2" i="21" s="1"/>
  <c r="K2" i="4"/>
  <c r="J2" i="4"/>
  <c r="I2" i="4"/>
  <c r="H2" i="4"/>
  <c r="G2" i="4"/>
  <c r="F2" i="4"/>
  <c r="E2" i="4"/>
  <c r="D2" i="4"/>
  <c r="D2" i="20" s="1"/>
  <c r="C2" i="4"/>
  <c r="B2" i="4"/>
  <c r="A2" i="4"/>
  <c r="L27" i="2"/>
  <c r="K27" i="2"/>
  <c r="J27" i="2"/>
  <c r="I27" i="2"/>
  <c r="H27" i="2"/>
  <c r="G27" i="2"/>
  <c r="F27" i="2"/>
  <c r="E27" i="2"/>
  <c r="D27" i="2"/>
  <c r="C27" i="2"/>
  <c r="B27" i="2"/>
  <c r="A27" i="2"/>
  <c r="L26" i="2"/>
  <c r="B26" i="21" s="1"/>
  <c r="K26" i="2"/>
  <c r="J26" i="2"/>
  <c r="I26" i="2"/>
  <c r="H26" i="2"/>
  <c r="G26" i="2"/>
  <c r="F26" i="2"/>
  <c r="E26" i="2"/>
  <c r="D26" i="2"/>
  <c r="B26" i="20" s="1"/>
  <c r="C26" i="2"/>
  <c r="B26" i="2"/>
  <c r="A26" i="2"/>
  <c r="L25" i="2"/>
  <c r="K25" i="2"/>
  <c r="J25" i="2"/>
  <c r="I25" i="2"/>
  <c r="H25" i="2"/>
  <c r="G25" i="2"/>
  <c r="F25" i="2"/>
  <c r="E25" i="2"/>
  <c r="D25" i="2"/>
  <c r="C25" i="2"/>
  <c r="B25" i="2"/>
  <c r="A25" i="2"/>
  <c r="L24" i="2"/>
  <c r="B24" i="21" s="1"/>
  <c r="K24" i="2"/>
  <c r="J24" i="2"/>
  <c r="I24" i="2"/>
  <c r="H24" i="2"/>
  <c r="G24" i="2"/>
  <c r="F24" i="2"/>
  <c r="E24" i="2"/>
  <c r="D24" i="2"/>
  <c r="B24" i="20" s="1"/>
  <c r="C24" i="2"/>
  <c r="B24" i="2"/>
  <c r="A24" i="2"/>
  <c r="L23" i="2"/>
  <c r="K23" i="2"/>
  <c r="J23" i="2"/>
  <c r="I23" i="2"/>
  <c r="H23" i="2"/>
  <c r="G23" i="2"/>
  <c r="F23" i="2"/>
  <c r="E23" i="2"/>
  <c r="D23" i="2"/>
  <c r="C23" i="2"/>
  <c r="B23" i="2"/>
  <c r="A23" i="2"/>
  <c r="L22" i="2"/>
  <c r="B22" i="21" s="1"/>
  <c r="K22" i="2"/>
  <c r="J22" i="2"/>
  <c r="I22" i="2"/>
  <c r="H22" i="2"/>
  <c r="G22" i="2"/>
  <c r="F22" i="2"/>
  <c r="E22" i="2"/>
  <c r="D22" i="2"/>
  <c r="B22" i="20" s="1"/>
  <c r="C22" i="2"/>
  <c r="B22" i="2"/>
  <c r="A22" i="2"/>
  <c r="L21" i="2"/>
  <c r="K21" i="2"/>
  <c r="J21" i="2"/>
  <c r="I21" i="2"/>
  <c r="H21" i="2"/>
  <c r="G21" i="2"/>
  <c r="F21" i="2"/>
  <c r="E21" i="2"/>
  <c r="D21" i="2"/>
  <c r="C21" i="2"/>
  <c r="B21" i="2"/>
  <c r="A21" i="2"/>
  <c r="L20" i="2"/>
  <c r="B20" i="21" s="1"/>
  <c r="K20" i="2"/>
  <c r="J20" i="2"/>
  <c r="I20" i="2"/>
  <c r="H20" i="2"/>
  <c r="G20" i="2"/>
  <c r="F20" i="2"/>
  <c r="E20" i="2"/>
  <c r="D20" i="2"/>
  <c r="B20" i="20" s="1"/>
  <c r="C20" i="2"/>
  <c r="B20" i="2"/>
  <c r="A20" i="2"/>
  <c r="L19" i="2"/>
  <c r="K19" i="2"/>
  <c r="J19" i="2"/>
  <c r="I19" i="2"/>
  <c r="H19" i="2"/>
  <c r="G19" i="2"/>
  <c r="F19" i="2"/>
  <c r="E19" i="2"/>
  <c r="D19" i="2"/>
  <c r="C19" i="2"/>
  <c r="B19" i="2"/>
  <c r="A19" i="2"/>
  <c r="L18" i="2"/>
  <c r="B18" i="21" s="1"/>
  <c r="K18" i="2"/>
  <c r="J18" i="2"/>
  <c r="I18" i="2"/>
  <c r="H18" i="2"/>
  <c r="G18" i="2"/>
  <c r="F18" i="2"/>
  <c r="E18" i="2"/>
  <c r="D18" i="2"/>
  <c r="B18" i="20" s="1"/>
  <c r="C18" i="2"/>
  <c r="B18" i="2"/>
  <c r="A18" i="2"/>
  <c r="L17" i="2"/>
  <c r="K17" i="2"/>
  <c r="J17" i="2"/>
  <c r="I17" i="2"/>
  <c r="H17" i="2"/>
  <c r="G17" i="2"/>
  <c r="F17" i="2"/>
  <c r="E17" i="2"/>
  <c r="D17" i="2"/>
  <c r="C17" i="2"/>
  <c r="B17" i="2"/>
  <c r="A17" i="2"/>
  <c r="L16" i="2"/>
  <c r="B16" i="21" s="1"/>
  <c r="K16" i="2"/>
  <c r="J16" i="2"/>
  <c r="I16" i="2"/>
  <c r="H16" i="2"/>
  <c r="G16" i="2"/>
  <c r="F16" i="2"/>
  <c r="E16" i="2"/>
  <c r="D16" i="2"/>
  <c r="B16" i="20" s="1"/>
  <c r="C16" i="2"/>
  <c r="B16" i="2"/>
  <c r="A16" i="2"/>
  <c r="L15" i="2"/>
  <c r="K15" i="2"/>
  <c r="J15" i="2"/>
  <c r="I15" i="2"/>
  <c r="H15" i="2"/>
  <c r="G15" i="2"/>
  <c r="F15" i="2"/>
  <c r="E15" i="2"/>
  <c r="D15" i="2"/>
  <c r="C15" i="2"/>
  <c r="B15" i="2"/>
  <c r="A15" i="2"/>
  <c r="L14" i="2"/>
  <c r="B14" i="21" s="1"/>
  <c r="K14" i="2"/>
  <c r="J14" i="2"/>
  <c r="I14" i="2"/>
  <c r="H14" i="2"/>
  <c r="G14" i="2"/>
  <c r="F14" i="2"/>
  <c r="E14" i="2"/>
  <c r="D14" i="2"/>
  <c r="B14" i="20" s="1"/>
  <c r="C14" i="2"/>
  <c r="B14" i="2"/>
  <c r="A14" i="2"/>
  <c r="L13" i="2"/>
  <c r="K13" i="2"/>
  <c r="J13" i="2"/>
  <c r="I13" i="2"/>
  <c r="H13" i="2"/>
  <c r="G13" i="2"/>
  <c r="F13" i="2"/>
  <c r="E13" i="2"/>
  <c r="D13" i="2"/>
  <c r="C13" i="2"/>
  <c r="B13" i="2"/>
  <c r="A13" i="2"/>
  <c r="L12" i="2"/>
  <c r="B12" i="21" s="1"/>
  <c r="K12" i="2"/>
  <c r="J12" i="2"/>
  <c r="I12" i="2"/>
  <c r="H12" i="2"/>
  <c r="G12" i="2"/>
  <c r="F12" i="2"/>
  <c r="E12" i="2"/>
  <c r="D12" i="2"/>
  <c r="B12" i="20" s="1"/>
  <c r="C12" i="2"/>
  <c r="B12" i="2"/>
  <c r="A12" i="2"/>
  <c r="L11" i="2"/>
  <c r="K11" i="2"/>
  <c r="J11" i="2"/>
  <c r="I11" i="2"/>
  <c r="H11" i="2"/>
  <c r="G11" i="2"/>
  <c r="F11" i="2"/>
  <c r="E11" i="2"/>
  <c r="D11" i="2"/>
  <c r="C11" i="2"/>
  <c r="B11" i="2"/>
  <c r="A11" i="2"/>
  <c r="L10" i="2"/>
  <c r="B10" i="21" s="1"/>
  <c r="K10" i="2"/>
  <c r="J10" i="2"/>
  <c r="I10" i="2"/>
  <c r="H10" i="2"/>
  <c r="G10" i="2"/>
  <c r="F10" i="2"/>
  <c r="E10" i="2"/>
  <c r="D10" i="2"/>
  <c r="B10" i="20" s="1"/>
  <c r="C10" i="2"/>
  <c r="B10" i="2"/>
  <c r="A10" i="2"/>
  <c r="L9" i="2"/>
  <c r="K9" i="2"/>
  <c r="J9" i="2"/>
  <c r="I9" i="2"/>
  <c r="H9" i="2"/>
  <c r="G9" i="2"/>
  <c r="F9" i="2"/>
  <c r="E9" i="2"/>
  <c r="D9" i="2"/>
  <c r="C9" i="2"/>
  <c r="B9" i="2"/>
  <c r="A9" i="2"/>
  <c r="L8" i="2"/>
  <c r="B8" i="21" s="1"/>
  <c r="K8" i="2"/>
  <c r="J8" i="2"/>
  <c r="I8" i="2"/>
  <c r="H8" i="2"/>
  <c r="G8" i="2"/>
  <c r="F8" i="2"/>
  <c r="E8" i="2"/>
  <c r="D8" i="2"/>
  <c r="B8" i="20" s="1"/>
  <c r="C8" i="2"/>
  <c r="B8" i="2"/>
  <c r="A8" i="2"/>
  <c r="L7" i="2"/>
  <c r="K7" i="2"/>
  <c r="J7" i="2"/>
  <c r="I7" i="2"/>
  <c r="H7" i="2"/>
  <c r="G7" i="2"/>
  <c r="F7" i="2"/>
  <c r="E7" i="2"/>
  <c r="D7" i="2"/>
  <c r="C7" i="2"/>
  <c r="B7" i="2"/>
  <c r="A7" i="2"/>
  <c r="L6" i="2"/>
  <c r="B6" i="21" s="1"/>
  <c r="K6" i="2"/>
  <c r="J6" i="2"/>
  <c r="I6" i="2"/>
  <c r="H6" i="2"/>
  <c r="G6" i="2"/>
  <c r="F6" i="2"/>
  <c r="E6" i="2"/>
  <c r="D6" i="2"/>
  <c r="B6" i="20" s="1"/>
  <c r="C6" i="2"/>
  <c r="B6" i="2"/>
  <c r="A6" i="2"/>
  <c r="L5" i="2"/>
  <c r="K5" i="2"/>
  <c r="J5" i="2"/>
  <c r="I5" i="2"/>
  <c r="H5" i="2"/>
  <c r="G5" i="2"/>
  <c r="F5" i="2"/>
  <c r="E5" i="2"/>
  <c r="D5" i="2"/>
  <c r="C5" i="2"/>
  <c r="B5" i="2"/>
  <c r="A5" i="2"/>
  <c r="L4" i="2"/>
  <c r="B4" i="21" s="1"/>
  <c r="K4" i="2"/>
  <c r="J4" i="2"/>
  <c r="I4" i="2"/>
  <c r="H4" i="2"/>
  <c r="G4" i="2"/>
  <c r="F4" i="2"/>
  <c r="E4" i="2"/>
  <c r="D4" i="2"/>
  <c r="B4" i="20" s="1"/>
  <c r="C4" i="2"/>
  <c r="B4" i="2"/>
  <c r="A4" i="2"/>
  <c r="L3" i="2"/>
  <c r="K3" i="2"/>
  <c r="J3" i="2"/>
  <c r="I3" i="2"/>
  <c r="H3" i="2"/>
  <c r="G3" i="2"/>
  <c r="F3" i="2"/>
  <c r="E3" i="2"/>
  <c r="D3" i="2"/>
  <c r="C3" i="2"/>
  <c r="B3" i="2"/>
  <c r="A3" i="2"/>
  <c r="L2" i="2"/>
  <c r="B2" i="21" s="1"/>
  <c r="K2" i="2"/>
  <c r="J2" i="2"/>
  <c r="I2" i="2"/>
  <c r="H2" i="2"/>
  <c r="G2" i="2"/>
  <c r="F2" i="2"/>
  <c r="E2" i="2"/>
  <c r="D2" i="2"/>
  <c r="B2" i="20" s="1"/>
  <c r="C2" i="2"/>
  <c r="B2" i="2"/>
  <c r="A2" i="2"/>
  <c r="B3" i="21"/>
  <c r="E3" i="21"/>
  <c r="G3" i="21"/>
  <c r="I3" i="21"/>
  <c r="J3" i="21"/>
  <c r="K3" i="21"/>
  <c r="L3" i="21"/>
  <c r="M3" i="21"/>
  <c r="N3" i="21"/>
  <c r="O3" i="21"/>
  <c r="P3" i="21"/>
  <c r="Q3" i="21"/>
  <c r="E4" i="21"/>
  <c r="G4" i="21"/>
  <c r="H4" i="21"/>
  <c r="I4" i="21"/>
  <c r="K4" i="21"/>
  <c r="L4" i="21"/>
  <c r="M4" i="21"/>
  <c r="N4" i="21"/>
  <c r="O4" i="21"/>
  <c r="P4" i="21"/>
  <c r="Q4" i="21"/>
  <c r="B5" i="21"/>
  <c r="D5" i="21"/>
  <c r="E5" i="21"/>
  <c r="G5" i="21"/>
  <c r="H5" i="21"/>
  <c r="I5" i="21"/>
  <c r="J5" i="21"/>
  <c r="K5" i="21"/>
  <c r="L5" i="21"/>
  <c r="M5" i="21"/>
  <c r="N5" i="21"/>
  <c r="O5" i="21"/>
  <c r="P5" i="21"/>
  <c r="Q5" i="21"/>
  <c r="E6" i="21"/>
  <c r="F6" i="21"/>
  <c r="G6" i="21"/>
  <c r="H6" i="21"/>
  <c r="I6" i="21"/>
  <c r="J6" i="21"/>
  <c r="K6" i="21"/>
  <c r="L6" i="21"/>
  <c r="M6" i="21"/>
  <c r="N6" i="21"/>
  <c r="O6" i="21"/>
  <c r="P6" i="21"/>
  <c r="Q6" i="21"/>
  <c r="B7" i="21"/>
  <c r="D7" i="21"/>
  <c r="E7" i="21"/>
  <c r="F7" i="21"/>
  <c r="G7" i="21"/>
  <c r="H7" i="21"/>
  <c r="I7" i="21"/>
  <c r="J7" i="21"/>
  <c r="K7" i="21"/>
  <c r="L7" i="21"/>
  <c r="M7" i="21"/>
  <c r="N7" i="21"/>
  <c r="O7" i="21"/>
  <c r="P7" i="21"/>
  <c r="Q7" i="21"/>
  <c r="D8" i="21"/>
  <c r="E8" i="21"/>
  <c r="G8" i="21"/>
  <c r="H8" i="21"/>
  <c r="I8" i="21"/>
  <c r="J8" i="21"/>
  <c r="K8" i="21"/>
  <c r="L8" i="21"/>
  <c r="M8" i="21"/>
  <c r="N8" i="21"/>
  <c r="O8" i="21"/>
  <c r="P8" i="21"/>
  <c r="Q8" i="21"/>
  <c r="B9" i="21"/>
  <c r="D9" i="21"/>
  <c r="E9" i="21"/>
  <c r="G9" i="21"/>
  <c r="I9" i="21"/>
  <c r="J9" i="21"/>
  <c r="K9" i="21"/>
  <c r="M9" i="21"/>
  <c r="N9" i="21"/>
  <c r="O9" i="21"/>
  <c r="P9" i="21"/>
  <c r="Q9" i="21"/>
  <c r="E10" i="21"/>
  <c r="F10" i="21"/>
  <c r="G10" i="21"/>
  <c r="H10" i="21"/>
  <c r="I10" i="21"/>
  <c r="J10" i="21"/>
  <c r="K10" i="21"/>
  <c r="L10" i="21"/>
  <c r="M10" i="21"/>
  <c r="N10" i="21"/>
  <c r="O10" i="21"/>
  <c r="P10" i="21"/>
  <c r="Q10" i="21"/>
  <c r="B11" i="21"/>
  <c r="E11" i="21"/>
  <c r="G11" i="21"/>
  <c r="I11" i="21"/>
  <c r="K11" i="21"/>
  <c r="L11" i="21"/>
  <c r="M11" i="21"/>
  <c r="N11" i="21"/>
  <c r="O11" i="21"/>
  <c r="P11" i="21"/>
  <c r="Q11" i="21"/>
  <c r="E12" i="21"/>
  <c r="G12" i="21"/>
  <c r="H12" i="21"/>
  <c r="I12" i="21"/>
  <c r="J12" i="21"/>
  <c r="K12" i="21"/>
  <c r="L12" i="21"/>
  <c r="M12" i="21"/>
  <c r="N12" i="21"/>
  <c r="O12" i="21"/>
  <c r="P12" i="21"/>
  <c r="Q12" i="21"/>
  <c r="B13" i="21"/>
  <c r="E13" i="21"/>
  <c r="F13" i="21"/>
  <c r="G13" i="21"/>
  <c r="I13" i="21"/>
  <c r="J13" i="21"/>
  <c r="K13" i="21"/>
  <c r="L13" i="21"/>
  <c r="M13" i="21"/>
  <c r="N13" i="21"/>
  <c r="O13" i="21"/>
  <c r="P13" i="21"/>
  <c r="Q13" i="21"/>
  <c r="D14" i="21"/>
  <c r="E14" i="21"/>
  <c r="F14" i="21"/>
  <c r="G14" i="21"/>
  <c r="H14" i="21"/>
  <c r="I14" i="21"/>
  <c r="J14" i="21"/>
  <c r="K14" i="21"/>
  <c r="L14" i="21"/>
  <c r="M14" i="21"/>
  <c r="N14" i="21"/>
  <c r="O14" i="21"/>
  <c r="P14" i="21"/>
  <c r="Q14" i="21"/>
  <c r="B15" i="21"/>
  <c r="D15" i="21"/>
  <c r="E15" i="21"/>
  <c r="F15" i="21"/>
  <c r="G15" i="21"/>
  <c r="I15" i="21"/>
  <c r="J15" i="21"/>
  <c r="K15" i="21"/>
  <c r="L15" i="21"/>
  <c r="M15" i="21"/>
  <c r="N15" i="21"/>
  <c r="O15" i="21"/>
  <c r="P15" i="21"/>
  <c r="Q15" i="21"/>
  <c r="E16" i="21"/>
  <c r="G16" i="21"/>
  <c r="H16" i="21"/>
  <c r="I16" i="21"/>
  <c r="J16" i="21"/>
  <c r="K16" i="21"/>
  <c r="L16" i="21"/>
  <c r="M16" i="21"/>
  <c r="N16" i="21"/>
  <c r="O16" i="21"/>
  <c r="P16" i="21"/>
  <c r="Q16" i="21"/>
  <c r="B17" i="21"/>
  <c r="E17" i="21"/>
  <c r="F17" i="21"/>
  <c r="G17" i="21"/>
  <c r="H17" i="21"/>
  <c r="I17" i="21"/>
  <c r="J17" i="21"/>
  <c r="K17" i="21"/>
  <c r="M17" i="21"/>
  <c r="N17" i="21"/>
  <c r="O17" i="21"/>
  <c r="P17" i="21"/>
  <c r="Q17" i="21"/>
  <c r="E18" i="21"/>
  <c r="G18" i="21"/>
  <c r="H18" i="21"/>
  <c r="I18" i="21"/>
  <c r="J18" i="21"/>
  <c r="K18" i="21"/>
  <c r="L18" i="21"/>
  <c r="M18" i="21"/>
  <c r="N18" i="21"/>
  <c r="O18" i="21"/>
  <c r="P18" i="21"/>
  <c r="Q18" i="21"/>
  <c r="B19" i="21"/>
  <c r="E19" i="21"/>
  <c r="G19" i="21"/>
  <c r="I19" i="21"/>
  <c r="J19" i="21"/>
  <c r="K19" i="21"/>
  <c r="L19" i="21"/>
  <c r="M19" i="21"/>
  <c r="N19" i="21"/>
  <c r="O19" i="21"/>
  <c r="P19" i="21"/>
  <c r="Q19" i="21"/>
  <c r="D20" i="21"/>
  <c r="E20" i="21"/>
  <c r="F20" i="21"/>
  <c r="G20" i="21"/>
  <c r="H20" i="21"/>
  <c r="I20" i="21"/>
  <c r="J20" i="21"/>
  <c r="K20" i="21"/>
  <c r="L20" i="21"/>
  <c r="M20" i="21"/>
  <c r="N20" i="21"/>
  <c r="O20" i="21"/>
  <c r="P20" i="21"/>
  <c r="Q20" i="21"/>
  <c r="B21" i="21"/>
  <c r="D21" i="21"/>
  <c r="E21" i="21"/>
  <c r="F21" i="21"/>
  <c r="G21" i="21"/>
  <c r="H21" i="21"/>
  <c r="I21" i="21"/>
  <c r="J21" i="21"/>
  <c r="K21" i="21"/>
  <c r="L21" i="21"/>
  <c r="M21" i="21"/>
  <c r="N21" i="21"/>
  <c r="O21" i="21"/>
  <c r="P21" i="21"/>
  <c r="Q21" i="21"/>
  <c r="E22" i="21"/>
  <c r="G22" i="21"/>
  <c r="H22" i="21"/>
  <c r="I22" i="21"/>
  <c r="J22" i="21"/>
  <c r="K22" i="21"/>
  <c r="L22" i="21"/>
  <c r="M22" i="21"/>
  <c r="N22" i="21"/>
  <c r="O22" i="21"/>
  <c r="P22" i="21"/>
  <c r="Q22" i="21"/>
  <c r="B23" i="21"/>
  <c r="D23" i="21"/>
  <c r="E23" i="21"/>
  <c r="G23" i="21"/>
  <c r="H23" i="21"/>
  <c r="I23" i="21"/>
  <c r="J23" i="21"/>
  <c r="K23" i="21"/>
  <c r="L23" i="21"/>
  <c r="M23" i="21"/>
  <c r="N23" i="21"/>
  <c r="O23" i="21"/>
  <c r="P23" i="21"/>
  <c r="Q23" i="21"/>
  <c r="D24" i="21"/>
  <c r="E24" i="21"/>
  <c r="G24" i="21"/>
  <c r="H24" i="21"/>
  <c r="I24" i="21"/>
  <c r="J24" i="21"/>
  <c r="K24" i="21"/>
  <c r="L24" i="21"/>
  <c r="M24" i="21"/>
  <c r="N24" i="21"/>
  <c r="O24" i="21"/>
  <c r="P24" i="21"/>
  <c r="Q24" i="21"/>
  <c r="B25" i="21"/>
  <c r="D25" i="21"/>
  <c r="E25" i="21"/>
  <c r="G25" i="21"/>
  <c r="H25" i="21"/>
  <c r="I25" i="21"/>
  <c r="J25" i="21"/>
  <c r="K25" i="21"/>
  <c r="M25" i="21"/>
  <c r="N25" i="21"/>
  <c r="O25" i="21"/>
  <c r="P25" i="21"/>
  <c r="Q25" i="21"/>
  <c r="E26" i="21"/>
  <c r="G26" i="21"/>
  <c r="H26" i="21"/>
  <c r="I26" i="21"/>
  <c r="J26" i="21"/>
  <c r="K26" i="21"/>
  <c r="L26" i="21"/>
  <c r="M26" i="21"/>
  <c r="N26" i="21"/>
  <c r="O26" i="21"/>
  <c r="P26" i="21"/>
  <c r="Q26" i="21"/>
  <c r="B27" i="21"/>
  <c r="E27" i="21"/>
  <c r="G27" i="21"/>
  <c r="H27" i="21"/>
  <c r="I27" i="21"/>
  <c r="J27" i="21"/>
  <c r="K27" i="21"/>
  <c r="L27" i="21"/>
  <c r="M27" i="21"/>
  <c r="N27" i="21"/>
  <c r="O27" i="21"/>
  <c r="P27" i="21"/>
  <c r="Q27" i="21"/>
  <c r="Q2" i="21"/>
  <c r="P2" i="21"/>
  <c r="O2" i="21"/>
  <c r="N2" i="21"/>
  <c r="M2" i="21"/>
  <c r="L2" i="21"/>
  <c r="K2" i="21"/>
  <c r="J2" i="21"/>
  <c r="I2" i="21"/>
  <c r="H2" i="21"/>
  <c r="G2" i="21"/>
  <c r="E2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  <c r="A3" i="21"/>
  <c r="A2" i="21"/>
  <c r="B3" i="20"/>
  <c r="D3" i="20"/>
  <c r="E3" i="20"/>
  <c r="G3" i="20"/>
  <c r="H3" i="20"/>
  <c r="I3" i="20"/>
  <c r="J3" i="20"/>
  <c r="K3" i="20"/>
  <c r="L3" i="20"/>
  <c r="M3" i="20"/>
  <c r="N3" i="20"/>
  <c r="O3" i="20"/>
  <c r="P3" i="20"/>
  <c r="Q3" i="20"/>
  <c r="E4" i="20"/>
  <c r="F4" i="20"/>
  <c r="G4" i="20"/>
  <c r="H4" i="20"/>
  <c r="I4" i="20"/>
  <c r="J4" i="20"/>
  <c r="K4" i="20"/>
  <c r="L4" i="20"/>
  <c r="M4" i="20"/>
  <c r="N4" i="20"/>
  <c r="O4" i="20"/>
  <c r="P4" i="20"/>
  <c r="Q4" i="20"/>
  <c r="B5" i="20"/>
  <c r="E5" i="20"/>
  <c r="F5" i="20"/>
  <c r="G5" i="20"/>
  <c r="H5" i="20"/>
  <c r="I5" i="20"/>
  <c r="J5" i="20"/>
  <c r="K5" i="20"/>
  <c r="L5" i="20"/>
  <c r="M5" i="20"/>
  <c r="N5" i="20"/>
  <c r="O5" i="20"/>
  <c r="P5" i="20"/>
  <c r="Q5" i="20"/>
  <c r="E6" i="20"/>
  <c r="G6" i="20"/>
  <c r="H6" i="20"/>
  <c r="I6" i="20"/>
  <c r="J6" i="20"/>
  <c r="K6" i="20"/>
  <c r="L6" i="20"/>
  <c r="M6" i="20"/>
  <c r="N6" i="20"/>
  <c r="O6" i="20"/>
  <c r="P6" i="20"/>
  <c r="Q6" i="20"/>
  <c r="B7" i="20"/>
  <c r="D7" i="20"/>
  <c r="E7" i="20"/>
  <c r="G7" i="20"/>
  <c r="H7" i="20"/>
  <c r="I7" i="20"/>
  <c r="J7" i="20"/>
  <c r="K7" i="20"/>
  <c r="L7" i="20"/>
  <c r="M7" i="20"/>
  <c r="N7" i="20"/>
  <c r="O7" i="20"/>
  <c r="P7" i="20"/>
  <c r="Q7" i="20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Q8" i="20"/>
  <c r="B9" i="20"/>
  <c r="D9" i="20"/>
  <c r="E9" i="20"/>
  <c r="F9" i="20"/>
  <c r="G9" i="20"/>
  <c r="H9" i="20"/>
  <c r="I9" i="20"/>
  <c r="J9" i="20"/>
  <c r="K9" i="20"/>
  <c r="M9" i="20"/>
  <c r="N9" i="20"/>
  <c r="O9" i="20"/>
  <c r="P9" i="20"/>
  <c r="Q9" i="20"/>
  <c r="E10" i="20"/>
  <c r="G10" i="20"/>
  <c r="H10" i="20"/>
  <c r="I10" i="20"/>
  <c r="J10" i="20"/>
  <c r="K10" i="20"/>
  <c r="L10" i="20"/>
  <c r="M10" i="20"/>
  <c r="N10" i="20"/>
  <c r="O10" i="20"/>
  <c r="P10" i="20"/>
  <c r="Q10" i="20"/>
  <c r="B11" i="20"/>
  <c r="D11" i="20"/>
  <c r="E11" i="20"/>
  <c r="G11" i="20"/>
  <c r="H11" i="20"/>
  <c r="I11" i="20"/>
  <c r="J11" i="20"/>
  <c r="K11" i="20"/>
  <c r="L11" i="20"/>
  <c r="M11" i="20"/>
  <c r="N11" i="20"/>
  <c r="O11" i="20"/>
  <c r="P11" i="20"/>
  <c r="Q11" i="20"/>
  <c r="E12" i="20"/>
  <c r="F12" i="20"/>
  <c r="G12" i="20"/>
  <c r="H12" i="20"/>
  <c r="I12" i="20"/>
  <c r="J12" i="20"/>
  <c r="K12" i="20"/>
  <c r="L12" i="20"/>
  <c r="M12" i="20"/>
  <c r="N12" i="20"/>
  <c r="O12" i="20"/>
  <c r="P12" i="20"/>
  <c r="Q12" i="20"/>
  <c r="B13" i="20"/>
  <c r="D13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Q13" i="20"/>
  <c r="D14" i="20"/>
  <c r="E14" i="20"/>
  <c r="F14" i="20"/>
  <c r="G14" i="20"/>
  <c r="H14" i="20"/>
  <c r="I14" i="20"/>
  <c r="J14" i="20"/>
  <c r="K14" i="20"/>
  <c r="L14" i="20"/>
  <c r="M14" i="20"/>
  <c r="N14" i="20"/>
  <c r="O14" i="20"/>
  <c r="P14" i="20"/>
  <c r="Q14" i="20"/>
  <c r="B15" i="20"/>
  <c r="D15" i="20"/>
  <c r="E15" i="20"/>
  <c r="F15" i="20"/>
  <c r="G15" i="20"/>
  <c r="H15" i="20"/>
  <c r="I15" i="20"/>
  <c r="J15" i="20"/>
  <c r="K15" i="20"/>
  <c r="L15" i="20"/>
  <c r="M15" i="20"/>
  <c r="N15" i="20"/>
  <c r="O15" i="20"/>
  <c r="P15" i="20"/>
  <c r="Q15" i="20"/>
  <c r="E16" i="20"/>
  <c r="G16" i="20"/>
  <c r="H16" i="20"/>
  <c r="I16" i="20"/>
  <c r="J16" i="20"/>
  <c r="K16" i="20"/>
  <c r="L16" i="20"/>
  <c r="M16" i="20"/>
  <c r="N16" i="20"/>
  <c r="O16" i="20"/>
  <c r="P16" i="20"/>
  <c r="Q16" i="20"/>
  <c r="B17" i="20"/>
  <c r="D17" i="20"/>
  <c r="E17" i="20"/>
  <c r="G17" i="20"/>
  <c r="H17" i="20"/>
  <c r="I17" i="20"/>
  <c r="J17" i="20"/>
  <c r="K17" i="20"/>
  <c r="M17" i="20"/>
  <c r="N17" i="20"/>
  <c r="O17" i="20"/>
  <c r="P17" i="20"/>
  <c r="Q17" i="20"/>
  <c r="D18" i="20"/>
  <c r="E18" i="20"/>
  <c r="F18" i="20"/>
  <c r="G18" i="20"/>
  <c r="H18" i="20"/>
  <c r="I18" i="20"/>
  <c r="J18" i="20"/>
  <c r="K18" i="20"/>
  <c r="L18" i="20"/>
  <c r="M18" i="20"/>
  <c r="N18" i="20"/>
  <c r="O18" i="20"/>
  <c r="P18" i="20"/>
  <c r="Q18" i="20"/>
  <c r="B19" i="20"/>
  <c r="D19" i="20"/>
  <c r="E19" i="20"/>
  <c r="F19" i="20"/>
  <c r="G19" i="20"/>
  <c r="H19" i="20"/>
  <c r="I19" i="20"/>
  <c r="J19" i="20"/>
  <c r="K19" i="20"/>
  <c r="L19" i="20"/>
  <c r="M19" i="20"/>
  <c r="N19" i="20"/>
  <c r="O19" i="20"/>
  <c r="P19" i="20"/>
  <c r="Q19" i="20"/>
  <c r="E20" i="20"/>
  <c r="G20" i="20"/>
  <c r="H20" i="20"/>
  <c r="I20" i="20"/>
  <c r="J20" i="20"/>
  <c r="K20" i="20"/>
  <c r="L20" i="20"/>
  <c r="M20" i="20"/>
  <c r="N20" i="20"/>
  <c r="O20" i="20"/>
  <c r="P20" i="20"/>
  <c r="Q20" i="20"/>
  <c r="B21" i="20"/>
  <c r="D21" i="20"/>
  <c r="E21" i="20"/>
  <c r="G21" i="20"/>
  <c r="H21" i="20"/>
  <c r="I21" i="20"/>
  <c r="J21" i="20"/>
  <c r="K21" i="20"/>
  <c r="L21" i="20"/>
  <c r="M21" i="20"/>
  <c r="N21" i="20"/>
  <c r="O21" i="20"/>
  <c r="P21" i="20"/>
  <c r="Q21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Q22" i="20"/>
  <c r="B23" i="20"/>
  <c r="D23" i="20"/>
  <c r="E23" i="20"/>
  <c r="F23" i="20"/>
  <c r="G23" i="20"/>
  <c r="H23" i="20"/>
  <c r="I23" i="20"/>
  <c r="J23" i="20"/>
  <c r="K23" i="20"/>
  <c r="L23" i="20"/>
  <c r="M23" i="20"/>
  <c r="N23" i="20"/>
  <c r="O23" i="20"/>
  <c r="P23" i="20"/>
  <c r="Q23" i="20"/>
  <c r="D24" i="20"/>
  <c r="E24" i="20"/>
  <c r="F24" i="20"/>
  <c r="G24" i="20"/>
  <c r="H24" i="20"/>
  <c r="I24" i="20"/>
  <c r="J24" i="20"/>
  <c r="K24" i="20"/>
  <c r="L24" i="20"/>
  <c r="M24" i="20"/>
  <c r="N24" i="20"/>
  <c r="O24" i="20"/>
  <c r="P24" i="20"/>
  <c r="Q24" i="20"/>
  <c r="B25" i="20"/>
  <c r="D25" i="20"/>
  <c r="E25" i="20"/>
  <c r="F25" i="20"/>
  <c r="G25" i="20"/>
  <c r="H25" i="20"/>
  <c r="I25" i="20"/>
  <c r="J25" i="20"/>
  <c r="K25" i="20"/>
  <c r="M25" i="20"/>
  <c r="N25" i="20"/>
  <c r="O25" i="20"/>
  <c r="P25" i="20"/>
  <c r="Q25" i="20"/>
  <c r="E26" i="20"/>
  <c r="G26" i="20"/>
  <c r="H26" i="20"/>
  <c r="I26" i="20"/>
  <c r="J26" i="20"/>
  <c r="K26" i="20"/>
  <c r="L26" i="20"/>
  <c r="M26" i="20"/>
  <c r="N26" i="20"/>
  <c r="O26" i="20"/>
  <c r="P26" i="20"/>
  <c r="Q26" i="20"/>
  <c r="B27" i="20"/>
  <c r="D27" i="20"/>
  <c r="E27" i="20"/>
  <c r="G27" i="20"/>
  <c r="H27" i="20"/>
  <c r="I27" i="20"/>
  <c r="J27" i="20"/>
  <c r="K27" i="20"/>
  <c r="L27" i="20"/>
  <c r="M27" i="20"/>
  <c r="N27" i="20"/>
  <c r="O27" i="20"/>
  <c r="P27" i="20"/>
  <c r="Q27" i="20"/>
  <c r="Q2" i="20"/>
  <c r="P2" i="20"/>
  <c r="O2" i="20"/>
  <c r="N2" i="20"/>
  <c r="M2" i="20"/>
  <c r="L2" i="20"/>
  <c r="K2" i="20"/>
  <c r="J2" i="20"/>
  <c r="I2" i="20"/>
  <c r="H2" i="20"/>
  <c r="G2" i="20"/>
  <c r="F2" i="20"/>
  <c r="E2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3" i="20"/>
  <c r="A2" i="20"/>
  <c r="B3" i="19" l="1"/>
  <c r="D3" i="19"/>
  <c r="E3" i="19"/>
  <c r="F3" i="19"/>
  <c r="G3" i="19"/>
  <c r="H3" i="19"/>
  <c r="I3" i="19"/>
  <c r="J3" i="19"/>
  <c r="K3" i="19"/>
  <c r="L3" i="19"/>
  <c r="M3" i="19"/>
  <c r="N3" i="19"/>
  <c r="O3" i="19"/>
  <c r="P3" i="19"/>
  <c r="Q3" i="19"/>
  <c r="B4" i="19"/>
  <c r="D4" i="19"/>
  <c r="E4" i="19"/>
  <c r="F4" i="19"/>
  <c r="G4" i="19"/>
  <c r="H4" i="19"/>
  <c r="I4" i="19"/>
  <c r="J4" i="19"/>
  <c r="K4" i="19"/>
  <c r="L4" i="19"/>
  <c r="M4" i="19"/>
  <c r="N4" i="19"/>
  <c r="O4" i="19"/>
  <c r="P4" i="19"/>
  <c r="Q4" i="19"/>
  <c r="B5" i="19"/>
  <c r="D5" i="19"/>
  <c r="E5" i="19"/>
  <c r="F5" i="19"/>
  <c r="G5" i="19"/>
  <c r="H5" i="19"/>
  <c r="I5" i="19"/>
  <c r="J5" i="19"/>
  <c r="K5" i="19"/>
  <c r="L5" i="19"/>
  <c r="M5" i="19"/>
  <c r="N5" i="19"/>
  <c r="O5" i="19"/>
  <c r="P5" i="19"/>
  <c r="Q5" i="19"/>
  <c r="B6" i="19"/>
  <c r="D6" i="19"/>
  <c r="E6" i="19"/>
  <c r="F6" i="19"/>
  <c r="G6" i="19"/>
  <c r="H6" i="19"/>
  <c r="I6" i="19"/>
  <c r="J6" i="19"/>
  <c r="K6" i="19"/>
  <c r="L6" i="19"/>
  <c r="M6" i="19"/>
  <c r="N6" i="19"/>
  <c r="O6" i="19"/>
  <c r="P6" i="19"/>
  <c r="Q6" i="19"/>
  <c r="B7" i="19"/>
  <c r="D7" i="19"/>
  <c r="E7" i="19"/>
  <c r="F7" i="19"/>
  <c r="G7" i="19"/>
  <c r="H7" i="19"/>
  <c r="I7" i="19"/>
  <c r="J7" i="19"/>
  <c r="K7" i="19"/>
  <c r="L7" i="19"/>
  <c r="M7" i="19"/>
  <c r="N7" i="19"/>
  <c r="O7" i="19"/>
  <c r="P7" i="19"/>
  <c r="Q7" i="19"/>
  <c r="B8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B9" i="19"/>
  <c r="D9" i="19"/>
  <c r="E9" i="19"/>
  <c r="F9" i="19"/>
  <c r="G9" i="19"/>
  <c r="H9" i="19"/>
  <c r="I9" i="19"/>
  <c r="J9" i="19"/>
  <c r="K9" i="19"/>
  <c r="L9" i="19"/>
  <c r="M9" i="19"/>
  <c r="N9" i="19"/>
  <c r="O9" i="19"/>
  <c r="P9" i="19"/>
  <c r="Q9" i="19"/>
  <c r="B10" i="19"/>
  <c r="D10" i="19"/>
  <c r="E10" i="19"/>
  <c r="F10" i="19"/>
  <c r="G10" i="19"/>
  <c r="H10" i="19"/>
  <c r="I10" i="19"/>
  <c r="J10" i="19"/>
  <c r="K10" i="19"/>
  <c r="L10" i="19"/>
  <c r="M10" i="19"/>
  <c r="N10" i="19"/>
  <c r="O10" i="19"/>
  <c r="P10" i="19"/>
  <c r="Q10" i="19"/>
  <c r="B11" i="19"/>
  <c r="D11" i="19"/>
  <c r="E11" i="19"/>
  <c r="F11" i="19"/>
  <c r="G11" i="19"/>
  <c r="H11" i="19"/>
  <c r="I11" i="19"/>
  <c r="J11" i="19"/>
  <c r="K11" i="19"/>
  <c r="L11" i="19"/>
  <c r="M11" i="19"/>
  <c r="N11" i="19"/>
  <c r="O11" i="19"/>
  <c r="P11" i="19"/>
  <c r="Q11" i="19"/>
  <c r="B12" i="19"/>
  <c r="D12" i="19"/>
  <c r="E12" i="19"/>
  <c r="F12" i="19"/>
  <c r="G12" i="19"/>
  <c r="H12" i="19"/>
  <c r="I12" i="19"/>
  <c r="J12" i="19"/>
  <c r="K12" i="19"/>
  <c r="L12" i="19"/>
  <c r="M12" i="19"/>
  <c r="N12" i="19"/>
  <c r="O12" i="19"/>
  <c r="P12" i="19"/>
  <c r="Q12" i="19"/>
  <c r="B13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B14" i="19"/>
  <c r="D14" i="19"/>
  <c r="E14" i="19"/>
  <c r="F14" i="19"/>
  <c r="G14" i="19"/>
  <c r="H14" i="19"/>
  <c r="I14" i="19"/>
  <c r="J14" i="19"/>
  <c r="K14" i="19"/>
  <c r="L14" i="19"/>
  <c r="M14" i="19"/>
  <c r="N14" i="19"/>
  <c r="O14" i="19"/>
  <c r="P14" i="19"/>
  <c r="Q14" i="19"/>
  <c r="B15" i="19"/>
  <c r="D15" i="19"/>
  <c r="E15" i="19"/>
  <c r="F15" i="19"/>
  <c r="G15" i="19"/>
  <c r="H15" i="19"/>
  <c r="I15" i="19"/>
  <c r="J15" i="19"/>
  <c r="K15" i="19"/>
  <c r="L15" i="19"/>
  <c r="M15" i="19"/>
  <c r="N15" i="19"/>
  <c r="O15" i="19"/>
  <c r="P15" i="19"/>
  <c r="Q15" i="19"/>
  <c r="B16" i="19"/>
  <c r="D16" i="19"/>
  <c r="E16" i="19"/>
  <c r="F16" i="19"/>
  <c r="G16" i="19"/>
  <c r="H16" i="19"/>
  <c r="I16" i="19"/>
  <c r="J16" i="19"/>
  <c r="K16" i="19"/>
  <c r="L16" i="19"/>
  <c r="M16" i="19"/>
  <c r="N16" i="19"/>
  <c r="O16" i="19"/>
  <c r="P16" i="19"/>
  <c r="Q16" i="19"/>
  <c r="B17" i="19"/>
  <c r="D17" i="19"/>
  <c r="E17" i="19"/>
  <c r="F17" i="19"/>
  <c r="G17" i="19"/>
  <c r="H17" i="19"/>
  <c r="I17" i="19"/>
  <c r="J17" i="19"/>
  <c r="K17" i="19"/>
  <c r="L17" i="19"/>
  <c r="M17" i="19"/>
  <c r="N17" i="19"/>
  <c r="O17" i="19"/>
  <c r="P17" i="19"/>
  <c r="Q17" i="19"/>
  <c r="B18" i="19"/>
  <c r="D18" i="19"/>
  <c r="E18" i="19"/>
  <c r="F18" i="19"/>
  <c r="G18" i="19"/>
  <c r="H18" i="19"/>
  <c r="I18" i="19"/>
  <c r="J18" i="19"/>
  <c r="K18" i="19"/>
  <c r="L18" i="19"/>
  <c r="M18" i="19"/>
  <c r="N18" i="19"/>
  <c r="O18" i="19"/>
  <c r="P18" i="19"/>
  <c r="Q18" i="19"/>
  <c r="B19" i="19"/>
  <c r="D19" i="19"/>
  <c r="E19" i="19"/>
  <c r="F19" i="19"/>
  <c r="G19" i="19"/>
  <c r="H19" i="19"/>
  <c r="I19" i="19"/>
  <c r="J19" i="19"/>
  <c r="K19" i="19"/>
  <c r="L19" i="19"/>
  <c r="M19" i="19"/>
  <c r="N19" i="19"/>
  <c r="O19" i="19"/>
  <c r="P19" i="19"/>
  <c r="Q19" i="19"/>
  <c r="B20" i="19"/>
  <c r="D20" i="19"/>
  <c r="E20" i="19"/>
  <c r="F20" i="19"/>
  <c r="G20" i="19"/>
  <c r="H20" i="19"/>
  <c r="I20" i="19"/>
  <c r="J20" i="19"/>
  <c r="K20" i="19"/>
  <c r="L20" i="19"/>
  <c r="M20" i="19"/>
  <c r="N20" i="19"/>
  <c r="O20" i="19"/>
  <c r="P20" i="19"/>
  <c r="Q20" i="19"/>
  <c r="B21" i="19"/>
  <c r="D21" i="19"/>
  <c r="E21" i="19"/>
  <c r="F21" i="19"/>
  <c r="G21" i="19"/>
  <c r="H21" i="19"/>
  <c r="I21" i="19"/>
  <c r="J21" i="19"/>
  <c r="K21" i="19"/>
  <c r="L21" i="19"/>
  <c r="M21" i="19"/>
  <c r="N21" i="19"/>
  <c r="O21" i="19"/>
  <c r="P21" i="19"/>
  <c r="Q21" i="19"/>
  <c r="B22" i="19"/>
  <c r="D22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Q22" i="19"/>
  <c r="B23" i="19"/>
  <c r="D23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Q23" i="19"/>
  <c r="B24" i="19"/>
  <c r="D24" i="19"/>
  <c r="E24" i="19"/>
  <c r="F24" i="19"/>
  <c r="G24" i="19"/>
  <c r="H24" i="19"/>
  <c r="I24" i="19"/>
  <c r="J24" i="19"/>
  <c r="K24" i="19"/>
  <c r="L24" i="19"/>
  <c r="M24" i="19"/>
  <c r="N24" i="19"/>
  <c r="O24" i="19"/>
  <c r="P24" i="19"/>
  <c r="Q24" i="19"/>
  <c r="B25" i="19"/>
  <c r="D25" i="19"/>
  <c r="E25" i="19"/>
  <c r="F25" i="19"/>
  <c r="G25" i="19"/>
  <c r="H25" i="19"/>
  <c r="I25" i="19"/>
  <c r="J25" i="19"/>
  <c r="K25" i="19"/>
  <c r="L25" i="19"/>
  <c r="M25" i="19"/>
  <c r="N25" i="19"/>
  <c r="O25" i="19"/>
  <c r="P25" i="19"/>
  <c r="Q25" i="19"/>
  <c r="B26" i="19"/>
  <c r="D26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Q26" i="19"/>
  <c r="B27" i="19"/>
  <c r="D27" i="19"/>
  <c r="E27" i="19"/>
  <c r="F27" i="19"/>
  <c r="G27" i="19"/>
  <c r="H27" i="19"/>
  <c r="I27" i="19"/>
  <c r="J27" i="19"/>
  <c r="K27" i="19"/>
  <c r="L27" i="19"/>
  <c r="M27" i="19"/>
  <c r="N27" i="19"/>
  <c r="O27" i="19"/>
  <c r="P27" i="19"/>
  <c r="Q27" i="19"/>
  <c r="Q2" i="19"/>
  <c r="P2" i="19"/>
  <c r="O2" i="19"/>
  <c r="N2" i="19"/>
  <c r="L2" i="19"/>
  <c r="M2" i="19"/>
  <c r="K2" i="19"/>
  <c r="J2" i="19"/>
  <c r="I2" i="19"/>
  <c r="H2" i="19"/>
  <c r="G2" i="19"/>
  <c r="F2" i="19"/>
  <c r="E2" i="19"/>
  <c r="D2" i="19"/>
  <c r="B2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" i="19"/>
  <c r="A2" i="19"/>
  <c r="B3" i="18"/>
  <c r="D3" i="18"/>
  <c r="E3" i="18"/>
  <c r="F3" i="18"/>
  <c r="G3" i="18"/>
  <c r="H3" i="18"/>
  <c r="I3" i="18"/>
  <c r="J3" i="18"/>
  <c r="K3" i="18"/>
  <c r="L3" i="18"/>
  <c r="M3" i="18"/>
  <c r="N3" i="18"/>
  <c r="O3" i="18"/>
  <c r="P3" i="18"/>
  <c r="Q3" i="18"/>
  <c r="B4" i="18"/>
  <c r="D4" i="18"/>
  <c r="E4" i="18"/>
  <c r="F4" i="18"/>
  <c r="G4" i="18"/>
  <c r="H4" i="18"/>
  <c r="I4" i="18"/>
  <c r="J4" i="18"/>
  <c r="K4" i="18"/>
  <c r="L4" i="18"/>
  <c r="M4" i="18"/>
  <c r="N4" i="18"/>
  <c r="O4" i="18"/>
  <c r="P4" i="18"/>
  <c r="Q4" i="18"/>
  <c r="B5" i="18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Q5" i="18"/>
  <c r="B6" i="18"/>
  <c r="D6" i="18"/>
  <c r="E6" i="18"/>
  <c r="F6" i="18"/>
  <c r="G6" i="18"/>
  <c r="H6" i="18"/>
  <c r="I6" i="18"/>
  <c r="J6" i="18"/>
  <c r="K6" i="18"/>
  <c r="L6" i="18"/>
  <c r="M6" i="18"/>
  <c r="N6" i="18"/>
  <c r="O6" i="18"/>
  <c r="P6" i="18"/>
  <c r="Q6" i="18"/>
  <c r="B7" i="18"/>
  <c r="D7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B8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B9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B10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B11" i="18"/>
  <c r="D11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Q11" i="18"/>
  <c r="B12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B13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B14" i="18"/>
  <c r="D14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B15" i="18"/>
  <c r="D15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B17" i="18"/>
  <c r="D17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B18" i="18"/>
  <c r="D18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B19" i="18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B20" i="18"/>
  <c r="D20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B21" i="18"/>
  <c r="D21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B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B23" i="18"/>
  <c r="D23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B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B25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B26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B27" i="18"/>
  <c r="D27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Q2" i="18"/>
  <c r="P2" i="18"/>
  <c r="O2" i="18"/>
  <c r="N2" i="18"/>
  <c r="M2" i="18"/>
  <c r="L2" i="18"/>
  <c r="K2" i="18"/>
  <c r="J2" i="18"/>
  <c r="I2" i="18"/>
  <c r="H2" i="18"/>
  <c r="G2" i="18"/>
  <c r="F2" i="18"/>
  <c r="E2" i="18"/>
  <c r="D2" i="18"/>
  <c r="B2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  <c r="A3" i="18"/>
  <c r="A2" i="18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" i="1"/>
  <c r="A27" i="12" l="1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<sst xmlns="http://schemas.openxmlformats.org/spreadsheetml/2006/main" count="192" uniqueCount="12">
  <si>
    <t>VCELL(apparatus 6)</t>
  </si>
  <si>
    <t>Gross energy efficiency</t>
  </si>
  <si>
    <t>Net energy efficiency</t>
  </si>
  <si>
    <t>Heat energy efficiency</t>
  </si>
  <si>
    <t>Total energy efficiency</t>
  </si>
  <si>
    <t>Gross exergy efficiency</t>
  </si>
  <si>
    <t>Net exergy efficiency</t>
  </si>
  <si>
    <t>Heat exergy efficiency</t>
  </si>
  <si>
    <t>Total exergy efficiency</t>
  </si>
  <si>
    <t>SOFC_AC_power</t>
  </si>
  <si>
    <t>SOFC_U_O</t>
  </si>
  <si>
    <t>SOFC_i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</si>
</sst>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C2" sqref="C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0.7'!$B2</f>
        <v>38.657671270000002</v>
      </c>
      <c r="C2" s="15">
        <f>(B2+D2)/2</f>
        <v>39.209923719999999</v>
      </c>
      <c r="D2" s="15">
        <f>'FU 0.72'!$B2</f>
        <v>39.762176169999996</v>
      </c>
      <c r="E2" s="15">
        <f>'FU 0.73'!$B2</f>
        <v>40.31442861</v>
      </c>
      <c r="F2" s="15">
        <f>'FU 0.74'!$B2</f>
        <v>40.866681059999998</v>
      </c>
      <c r="G2" s="15">
        <f>'FU 0.75'!$B2</f>
        <v>41.418933510000002</v>
      </c>
      <c r="H2" s="15">
        <f>'FU 0.76'!$B2</f>
        <v>41.971185949999999</v>
      </c>
      <c r="I2" s="15">
        <f>'FU 0.77'!$B2</f>
        <v>42.523438400000003</v>
      </c>
      <c r="J2" s="15">
        <f>'FU 0.78'!$B2</f>
        <v>43.075690850000001</v>
      </c>
      <c r="K2" s="15">
        <f>'FU 0.79'!$B2</f>
        <v>43.627943289999997</v>
      </c>
      <c r="L2" s="15">
        <f>'FU 0.8'!$B2</f>
        <v>44.180195740000002</v>
      </c>
      <c r="M2" s="15">
        <f>'FU 0.81'!$B2</f>
        <v>44.732448189999999</v>
      </c>
      <c r="N2" s="15">
        <f>'FU 0.82'!$B2</f>
        <v>45.284700630000003</v>
      </c>
      <c r="O2" s="15">
        <f>'FU 0.83'!$B2</f>
        <v>45.836953080000001</v>
      </c>
      <c r="P2" s="15">
        <f>'FU 0.84'!$B2</f>
        <v>46.389205529999998</v>
      </c>
      <c r="Q2" s="15">
        <f>'FU 0.85'!$B2</f>
        <v>46.941457970000002</v>
      </c>
    </row>
    <row r="3" spans="1:17" x14ac:dyDescent="0.25">
      <c r="A3">
        <f>'FU 0.7'!A3</f>
        <v>0.61</v>
      </c>
      <c r="B3" s="15">
        <f>'FU 0.7'!$B3</f>
        <v>39.301965789999997</v>
      </c>
      <c r="C3" s="15">
        <f t="shared" ref="C3:C27" si="0">(B3+D3)/2</f>
        <v>39.863422444999998</v>
      </c>
      <c r="D3" s="15">
        <f>'FU 0.72'!$B3</f>
        <v>40.424879099999998</v>
      </c>
      <c r="E3" s="15">
        <f>'FU 0.73'!$B3</f>
        <v>40.986335760000003</v>
      </c>
      <c r="F3" s="15">
        <f>'FU 0.74'!$B3</f>
        <v>41.54779241</v>
      </c>
      <c r="G3" s="15">
        <f>'FU 0.75'!$B3</f>
        <v>42.109249069999997</v>
      </c>
      <c r="H3" s="15">
        <f>'FU 0.76'!$B3</f>
        <v>42.670705720000001</v>
      </c>
      <c r="I3" s="15">
        <f>'FU 0.77'!$B3</f>
        <v>43.232162369999998</v>
      </c>
      <c r="J3" s="15">
        <f>'FU 0.78'!$B3</f>
        <v>43.793619030000002</v>
      </c>
      <c r="K3" s="15">
        <f>'FU 0.79'!$B3</f>
        <v>44.355075679999999</v>
      </c>
      <c r="L3" s="15">
        <f>'FU 0.8'!$B3</f>
        <v>44.916532340000003</v>
      </c>
      <c r="M3" s="15">
        <f>'FU 0.81'!$B3</f>
        <v>45.47798899</v>
      </c>
      <c r="N3" s="15">
        <f>'FU 0.82'!$B3</f>
        <v>46.039445639999997</v>
      </c>
      <c r="O3" s="15">
        <f>'FU 0.83'!$B3</f>
        <v>46.600902300000001</v>
      </c>
      <c r="P3" s="15">
        <f>'FU 0.84'!$B3</f>
        <v>47.162358949999998</v>
      </c>
      <c r="Q3" s="15">
        <f>'FU 0.85'!$B3</f>
        <v>47.723815610000003</v>
      </c>
    </row>
    <row r="4" spans="1:17" x14ac:dyDescent="0.25">
      <c r="A4">
        <f>'FU 0.7'!A4</f>
        <v>0.62</v>
      </c>
      <c r="B4" s="15">
        <f>'FU 0.7'!$B4</f>
        <v>39.94626032</v>
      </c>
      <c r="C4" s="15">
        <f t="shared" si="0"/>
        <v>40.516921179999997</v>
      </c>
      <c r="D4" s="15">
        <f>'FU 0.72'!$B4</f>
        <v>41.087582040000001</v>
      </c>
      <c r="E4" s="15">
        <f>'FU 0.73'!$B4</f>
        <v>41.658242899999998</v>
      </c>
      <c r="F4" s="15">
        <f>'FU 0.74'!$B4</f>
        <v>42.228903760000001</v>
      </c>
      <c r="G4" s="15">
        <f>'FU 0.75'!$B4</f>
        <v>42.799564619999998</v>
      </c>
      <c r="H4" s="15">
        <f>'FU 0.76'!$B4</f>
        <v>43.370225490000003</v>
      </c>
      <c r="I4" s="15">
        <f>'FU 0.77'!$B4</f>
        <v>43.94088635</v>
      </c>
      <c r="J4" s="15">
        <f>'FU 0.78'!$B4</f>
        <v>44.511547210000003</v>
      </c>
      <c r="K4" s="15">
        <f>'FU 0.79'!$B4</f>
        <v>45.08220807</v>
      </c>
      <c r="L4" s="15">
        <f>'FU 0.8'!$B4</f>
        <v>45.652868929999997</v>
      </c>
      <c r="M4" s="15">
        <f>'FU 0.81'!$B4</f>
        <v>46.223529790000001</v>
      </c>
      <c r="N4" s="15">
        <f>'FU 0.82'!$B4</f>
        <v>46.794190659999998</v>
      </c>
      <c r="O4" s="15">
        <f>'FU 0.83'!$B4</f>
        <v>47.364851520000002</v>
      </c>
      <c r="P4" s="15">
        <f>'FU 0.84'!$B4</f>
        <v>47.935512379999999</v>
      </c>
      <c r="Q4" s="15">
        <f>'FU 0.85'!$B4</f>
        <v>48.506173240000003</v>
      </c>
    </row>
    <row r="5" spans="1:17" x14ac:dyDescent="0.25">
      <c r="A5">
        <f>'FU 0.7'!A5</f>
        <v>0.63</v>
      </c>
      <c r="B5" s="15">
        <f>'FU 0.7'!$B5</f>
        <v>40.590554840000003</v>
      </c>
      <c r="C5" s="15">
        <f t="shared" si="0"/>
        <v>41.170419905000003</v>
      </c>
      <c r="D5" s="15">
        <f>'FU 0.72'!$B5</f>
        <v>41.750284970000003</v>
      </c>
      <c r="E5" s="15">
        <f>'FU 0.73'!$B5</f>
        <v>42.330150039999999</v>
      </c>
      <c r="F5" s="15">
        <f>'FU 0.74'!$B5</f>
        <v>42.910015110000003</v>
      </c>
      <c r="G5" s="15">
        <f>'FU 0.75'!$B5</f>
        <v>43.48988018</v>
      </c>
      <c r="H5" s="15">
        <f>'FU 0.76'!$B5</f>
        <v>44.069745249999997</v>
      </c>
      <c r="I5" s="15">
        <f>'FU 0.77'!$B5</f>
        <v>44.649610320000001</v>
      </c>
      <c r="J5" s="15">
        <f>'FU 0.78'!$B5</f>
        <v>45.229475389999998</v>
      </c>
      <c r="K5" s="15">
        <f>'FU 0.79'!$B5</f>
        <v>45.809340460000001</v>
      </c>
      <c r="L5" s="15">
        <f>'FU 0.8'!$B5</f>
        <v>46.389205529999998</v>
      </c>
      <c r="M5" s="15">
        <f>'FU 0.81'!$B5</f>
        <v>46.969070600000002</v>
      </c>
      <c r="N5" s="15">
        <f>'FU 0.82'!$B5</f>
        <v>47.548935669999999</v>
      </c>
      <c r="O5" s="15">
        <f>'FU 0.83'!$B5</f>
        <v>48.128800730000002</v>
      </c>
      <c r="P5" s="15">
        <f>'FU 0.84'!$B5</f>
        <v>48.708665799999999</v>
      </c>
      <c r="Q5" s="15">
        <f>'FU 0.85'!$B5</f>
        <v>49.288530870000002</v>
      </c>
    </row>
    <row r="6" spans="1:17" x14ac:dyDescent="0.25">
      <c r="A6">
        <f>'FU 0.7'!A6</f>
        <v>0.64</v>
      </c>
      <c r="B6" s="15">
        <f>'FU 0.7'!$B6</f>
        <v>41.234849359999998</v>
      </c>
      <c r="C6" s="15">
        <f t="shared" si="0"/>
        <v>41.823918634999998</v>
      </c>
      <c r="D6" s="15">
        <f>'FU 0.72'!$B6</f>
        <v>42.412987909999998</v>
      </c>
      <c r="E6" s="15">
        <f>'FU 0.73'!$B6</f>
        <v>43.002057190000002</v>
      </c>
      <c r="F6" s="15">
        <f>'FU 0.74'!$B6</f>
        <v>43.591126459999998</v>
      </c>
      <c r="G6" s="15">
        <f>'FU 0.75'!$B6</f>
        <v>44.180195740000002</v>
      </c>
      <c r="H6" s="15">
        <f>'FU 0.76'!$B6</f>
        <v>44.769265019999999</v>
      </c>
      <c r="I6" s="15">
        <f>'FU 0.77'!$B6</f>
        <v>45.358334290000002</v>
      </c>
      <c r="J6" s="15">
        <f>'FU 0.78'!$B6</f>
        <v>45.947403569999999</v>
      </c>
      <c r="K6" s="15">
        <f>'FU 0.79'!$B6</f>
        <v>46.536472850000003</v>
      </c>
      <c r="L6" s="15">
        <f>'FU 0.8'!$B6</f>
        <v>47.125542119999999</v>
      </c>
      <c r="M6" s="15">
        <f>'FU 0.81'!$B6</f>
        <v>47.714611400000003</v>
      </c>
      <c r="N6" s="15">
        <f>'FU 0.82'!$B6</f>
        <v>48.303680679999999</v>
      </c>
      <c r="O6" s="15">
        <f>'FU 0.83'!$B6</f>
        <v>48.892749950000002</v>
      </c>
      <c r="P6" s="15">
        <f>'FU 0.84'!$B6</f>
        <v>49.481819229999999</v>
      </c>
      <c r="Q6" s="15">
        <f>'FU 0.85'!$B6</f>
        <v>50.070888510000003</v>
      </c>
    </row>
    <row r="7" spans="1:17" x14ac:dyDescent="0.25">
      <c r="A7">
        <f>'FU 0.7'!A7</f>
        <v>0.65</v>
      </c>
      <c r="B7" s="15">
        <f>'FU 0.7'!$B7</f>
        <v>41.879143880000001</v>
      </c>
      <c r="C7" s="15">
        <f t="shared" si="0"/>
        <v>42.477417365000001</v>
      </c>
      <c r="D7" s="15">
        <f>'FU 0.72'!$B7</f>
        <v>43.075690850000001</v>
      </c>
      <c r="E7" s="15">
        <f>'FU 0.73'!$B7</f>
        <v>43.673964329999997</v>
      </c>
      <c r="F7" s="15">
        <f>'FU 0.74'!$B7</f>
        <v>44.272237820000001</v>
      </c>
      <c r="G7" s="15">
        <f>'FU 0.75'!$B7</f>
        <v>44.870511299999997</v>
      </c>
      <c r="H7" s="15">
        <f>'FU 0.76'!$B7</f>
        <v>45.46878478</v>
      </c>
      <c r="I7" s="15">
        <f>'FU 0.77'!$B7</f>
        <v>46.067058269999997</v>
      </c>
      <c r="J7" s="15">
        <f>'FU 0.78'!$B7</f>
        <v>46.66533175</v>
      </c>
      <c r="K7" s="15">
        <f>'FU 0.79'!$B7</f>
        <v>47.263605239999997</v>
      </c>
      <c r="L7" s="15">
        <f>'FU 0.8'!$B7</f>
        <v>47.86187872</v>
      </c>
      <c r="M7" s="15">
        <f>'FU 0.81'!$B7</f>
        <v>48.460152200000003</v>
      </c>
      <c r="N7" s="15">
        <f>'FU 0.82'!$B7</f>
        <v>49.05842569</v>
      </c>
      <c r="O7" s="15">
        <f>'FU 0.83'!$B7</f>
        <v>49.656699170000003</v>
      </c>
      <c r="P7" s="15">
        <f>'FU 0.84'!$B7</f>
        <v>50.254972649999999</v>
      </c>
      <c r="Q7" s="15">
        <f>'FU 0.85'!$B7</f>
        <v>50.853246140000003</v>
      </c>
    </row>
    <row r="8" spans="1:17" x14ac:dyDescent="0.25">
      <c r="A8">
        <f>'FU 0.7'!A8</f>
        <v>0.66</v>
      </c>
      <c r="B8" s="15">
        <f>'FU 0.7'!$B8</f>
        <v>42.523438400000003</v>
      </c>
      <c r="C8" s="15">
        <f t="shared" si="0"/>
        <v>43.130916089999999</v>
      </c>
      <c r="D8" s="15">
        <f>'FU 0.72'!$B8</f>
        <v>43.738393780000003</v>
      </c>
      <c r="E8" s="15">
        <f>'FU 0.73'!$B8</f>
        <v>44.345871469999999</v>
      </c>
      <c r="F8" s="15">
        <f>'FU 0.74'!$B8</f>
        <v>44.953349170000003</v>
      </c>
      <c r="G8" s="15">
        <f>'FU 0.75'!$B8</f>
        <v>45.560826859999999</v>
      </c>
      <c r="H8" s="15">
        <f>'FU 0.76'!$B8</f>
        <v>46.168304550000002</v>
      </c>
      <c r="I8" s="15">
        <f>'FU 0.77'!$B8</f>
        <v>46.775782239999998</v>
      </c>
      <c r="J8" s="15">
        <f>'FU 0.78'!$B8</f>
        <v>47.383259930000001</v>
      </c>
      <c r="K8" s="15">
        <f>'FU 0.79'!$B8</f>
        <v>47.990737619999997</v>
      </c>
      <c r="L8" s="15">
        <f>'FU 0.8'!$B8</f>
        <v>48.59821531</v>
      </c>
      <c r="M8" s="15">
        <f>'FU 0.81'!$B8</f>
        <v>49.205693009999997</v>
      </c>
      <c r="N8" s="15">
        <f>'FU 0.82'!$B8</f>
        <v>49.813170700000001</v>
      </c>
      <c r="O8" s="15">
        <f>'FU 0.83'!$B8</f>
        <v>50.420648389999997</v>
      </c>
      <c r="P8" s="15">
        <f>'FU 0.84'!$B8</f>
        <v>51.02812608</v>
      </c>
      <c r="Q8" s="15">
        <f>'FU 0.85'!$B8</f>
        <v>51.635603770000003</v>
      </c>
    </row>
    <row r="9" spans="1:17" x14ac:dyDescent="0.25">
      <c r="A9">
        <f>'FU 0.7'!A9</f>
        <v>0.67</v>
      </c>
      <c r="B9" s="15">
        <f>'FU 0.7'!$B9</f>
        <v>43.167732919999999</v>
      </c>
      <c r="C9" s="15">
        <f t="shared" si="0"/>
        <v>43.784414819999995</v>
      </c>
      <c r="D9" s="15">
        <f>'FU 0.72'!$B9</f>
        <v>44.401096719999998</v>
      </c>
      <c r="E9" s="15">
        <f>'FU 0.73'!$B9</f>
        <v>45.017778620000001</v>
      </c>
      <c r="F9" s="15">
        <f>'FU 0.74'!$B9</f>
        <v>45.634460519999998</v>
      </c>
      <c r="G9" s="15">
        <f>'FU 0.75'!$B9</f>
        <v>46.251142420000001</v>
      </c>
      <c r="H9" s="15">
        <f>'FU 0.76'!$B9</f>
        <v>46.867824310000003</v>
      </c>
      <c r="I9" s="15">
        <f>'FU 0.77'!$B9</f>
        <v>47.484506209999999</v>
      </c>
      <c r="J9" s="15">
        <f>'FU 0.78'!$B9</f>
        <v>48.101188110000002</v>
      </c>
      <c r="K9" s="15">
        <f>'FU 0.79'!$B9</f>
        <v>48.717870009999999</v>
      </c>
      <c r="L9" s="15">
        <f>'FU 0.8'!$B9</f>
        <v>49.334551910000002</v>
      </c>
      <c r="M9" s="15">
        <f>'FU 0.81'!$B9</f>
        <v>49.951233809999998</v>
      </c>
      <c r="N9" s="15">
        <f>'FU 0.82'!$B9</f>
        <v>50.567915710000001</v>
      </c>
      <c r="O9" s="15">
        <f>'FU 0.83'!$B9</f>
        <v>51.184597609999997</v>
      </c>
      <c r="P9" s="15">
        <f>'FU 0.84'!$B9</f>
        <v>51.801279510000001</v>
      </c>
      <c r="Q9" s="15">
        <f>'FU 0.85'!$B9</f>
        <v>52.417961400000003</v>
      </c>
    </row>
    <row r="10" spans="1:17" x14ac:dyDescent="0.25">
      <c r="A10">
        <f>'FU 0.7'!A10</f>
        <v>0.68</v>
      </c>
      <c r="B10" s="15">
        <f>'FU 0.7'!$B10</f>
        <v>43.812027440000001</v>
      </c>
      <c r="C10" s="15">
        <f t="shared" si="0"/>
        <v>44.437913550000005</v>
      </c>
      <c r="D10" s="15">
        <f>'FU 0.72'!$B10</f>
        <v>45.063799660000001</v>
      </c>
      <c r="E10" s="15">
        <f>'FU 0.73'!$B10</f>
        <v>45.689685760000003</v>
      </c>
      <c r="F10" s="15">
        <f>'FU 0.74'!$B10</f>
        <v>46.315571869999999</v>
      </c>
      <c r="G10" s="15">
        <f>'FU 0.75'!$B10</f>
        <v>46.941457970000002</v>
      </c>
      <c r="H10" s="15">
        <f>'FU 0.76'!$B10</f>
        <v>47.567344079999998</v>
      </c>
      <c r="I10" s="15">
        <f>'FU 0.77'!$B10</f>
        <v>48.193230190000001</v>
      </c>
      <c r="J10" s="15">
        <f>'FU 0.78'!$B10</f>
        <v>48.819116289999997</v>
      </c>
      <c r="K10" s="15">
        <f>'FU 0.79'!$B10</f>
        <v>49.4450024</v>
      </c>
      <c r="L10" s="15">
        <f>'FU 0.8'!$B10</f>
        <v>50.070888510000003</v>
      </c>
      <c r="M10" s="15">
        <f>'FU 0.81'!$B10</f>
        <v>50.696774609999999</v>
      </c>
      <c r="N10" s="15">
        <f>'FU 0.82'!$B10</f>
        <v>51.322660720000002</v>
      </c>
      <c r="O10" s="15">
        <f>'FU 0.83'!$B10</f>
        <v>51.948546829999998</v>
      </c>
      <c r="P10" s="15">
        <f>'FU 0.84'!$B10</f>
        <v>52.57443293</v>
      </c>
      <c r="Q10" s="15">
        <f>'FU 0.85'!$B10</f>
        <v>53.200319039999997</v>
      </c>
    </row>
    <row r="11" spans="1:17" x14ac:dyDescent="0.25">
      <c r="A11">
        <f>'FU 0.7'!A11</f>
        <v>0.69</v>
      </c>
      <c r="B11" s="15">
        <f>'FU 0.7'!$B11</f>
        <v>44.456321959999997</v>
      </c>
      <c r="C11" s="15">
        <f t="shared" si="0"/>
        <v>45.091412274999996</v>
      </c>
      <c r="D11" s="15">
        <f>'FU 0.72'!$B11</f>
        <v>45.726502590000003</v>
      </c>
      <c r="E11" s="15">
        <f>'FU 0.73'!$B11</f>
        <v>46.361592909999999</v>
      </c>
      <c r="F11" s="15">
        <f>'FU 0.74'!$B11</f>
        <v>46.996683220000001</v>
      </c>
      <c r="G11" s="15">
        <f>'FU 0.75'!$B11</f>
        <v>47.631773529999997</v>
      </c>
      <c r="H11" s="15">
        <f>'FU 0.76'!$B11</f>
        <v>48.26686385</v>
      </c>
      <c r="I11" s="15">
        <f>'FU 0.77'!$B11</f>
        <v>48.901954160000003</v>
      </c>
      <c r="J11" s="15">
        <f>'FU 0.78'!$B11</f>
        <v>49.537044469999998</v>
      </c>
      <c r="K11" s="15">
        <f>'FU 0.79'!$B11</f>
        <v>50.172134790000001</v>
      </c>
      <c r="L11" s="15">
        <f>'FU 0.8'!$B11</f>
        <v>50.807225099999997</v>
      </c>
      <c r="M11" s="15">
        <f>'FU 0.81'!$B11</f>
        <v>51.44231542</v>
      </c>
      <c r="N11" s="15">
        <f>'FU 0.82'!$B11</f>
        <v>52.077405730000002</v>
      </c>
      <c r="O11" s="15">
        <f>'FU 0.83'!$B11</f>
        <v>52.712496039999998</v>
      </c>
      <c r="P11" s="15">
        <f>'FU 0.84'!$B11</f>
        <v>53.347586360000001</v>
      </c>
      <c r="Q11" s="15">
        <f>'FU 0.85'!$B11</f>
        <v>53.982676669999996</v>
      </c>
    </row>
    <row r="12" spans="1:17" x14ac:dyDescent="0.25">
      <c r="A12">
        <f>'FU 0.7'!A12</f>
        <v>0.7</v>
      </c>
      <c r="B12" s="15">
        <f>'FU 0.7'!$B12</f>
        <v>45.10061649</v>
      </c>
      <c r="C12" s="15">
        <f t="shared" si="0"/>
        <v>45.744911009999996</v>
      </c>
      <c r="D12" s="15">
        <f>'FU 0.72'!$B12</f>
        <v>46.389205529999998</v>
      </c>
      <c r="E12" s="15">
        <f>'FU 0.73'!$B12</f>
        <v>47.033500050000001</v>
      </c>
      <c r="F12" s="15">
        <f>'FU 0.74'!$B12</f>
        <v>47.677794570000003</v>
      </c>
      <c r="G12" s="15">
        <f>'FU 0.75'!$B12</f>
        <v>48.322089089999999</v>
      </c>
      <c r="H12" s="15">
        <f>'FU 0.76'!$B12</f>
        <v>48.966383610000001</v>
      </c>
      <c r="I12" s="15">
        <f>'FU 0.77'!$B12</f>
        <v>49.610678129999997</v>
      </c>
      <c r="J12" s="15">
        <f>'FU 0.78'!$B12</f>
        <v>50.254972649999999</v>
      </c>
      <c r="K12" s="15">
        <f>'FU 0.79'!$B12</f>
        <v>50.899267180000002</v>
      </c>
      <c r="L12" s="15">
        <f>'FU 0.8'!$B12</f>
        <v>51.543561699999998</v>
      </c>
      <c r="M12" s="15">
        <f>'FU 0.81'!$B12</f>
        <v>52.18785622</v>
      </c>
      <c r="N12" s="15">
        <f>'FU 0.82'!$B12</f>
        <v>52.832150740000003</v>
      </c>
      <c r="O12" s="15">
        <f>'FU 0.83'!$B12</f>
        <v>53.476445259999998</v>
      </c>
      <c r="P12" s="15">
        <f>'FU 0.84'!$B12</f>
        <v>54.120739780000001</v>
      </c>
      <c r="Q12" s="15">
        <f>'FU 0.85'!$B12</f>
        <v>54.765034300000003</v>
      </c>
    </row>
    <row r="13" spans="1:17" x14ac:dyDescent="0.25">
      <c r="A13">
        <f>'FU 0.7'!A13</f>
        <v>0.71</v>
      </c>
      <c r="B13" s="15">
        <f>'FU 0.7'!$B13</f>
        <v>45.744911010000003</v>
      </c>
      <c r="C13" s="15">
        <f t="shared" si="0"/>
        <v>46.398409735000001</v>
      </c>
      <c r="D13" s="15">
        <f>'FU 0.72'!$B13</f>
        <v>47.05190846</v>
      </c>
      <c r="E13" s="15">
        <f>'FU 0.73'!$B13</f>
        <v>47.705407190000003</v>
      </c>
      <c r="F13" s="15">
        <f>'FU 0.74'!$B13</f>
        <v>48.358905919999998</v>
      </c>
      <c r="G13" s="15">
        <f>'FU 0.75'!$B13</f>
        <v>49.012404650000001</v>
      </c>
      <c r="H13" s="15">
        <f>'FU 0.76'!$B13</f>
        <v>49.665903380000003</v>
      </c>
      <c r="I13" s="15">
        <f>'FU 0.77'!$B13</f>
        <v>50.319402109999999</v>
      </c>
      <c r="J13" s="15">
        <f>'FU 0.78'!$B13</f>
        <v>50.972900840000001</v>
      </c>
      <c r="K13" s="15">
        <f>'FU 0.79'!$B13</f>
        <v>51.626399560000003</v>
      </c>
      <c r="L13" s="15">
        <f>'FU 0.8'!$B13</f>
        <v>52.279898289999998</v>
      </c>
      <c r="M13" s="15">
        <f>'FU 0.81'!$B13</f>
        <v>52.933397020000001</v>
      </c>
      <c r="N13" s="15">
        <f>'FU 0.82'!$B13</f>
        <v>53.586895749999996</v>
      </c>
      <c r="O13" s="15">
        <f>'FU 0.83'!$B13</f>
        <v>54.240394479999999</v>
      </c>
      <c r="P13" s="15">
        <f>'FU 0.84'!$B13</f>
        <v>54.893893210000002</v>
      </c>
      <c r="Q13" s="15">
        <f>'FU 0.85'!$B13</f>
        <v>55.547391939999997</v>
      </c>
    </row>
    <row r="14" spans="1:17" x14ac:dyDescent="0.25">
      <c r="A14">
        <f>'FU 0.7'!A14</f>
        <v>0.72</v>
      </c>
      <c r="B14" s="15">
        <f>'FU 0.7'!$B14</f>
        <v>46.389205529999998</v>
      </c>
      <c r="C14" s="15">
        <f t="shared" si="0"/>
        <v>47.051908464999997</v>
      </c>
      <c r="D14" s="15">
        <f>'FU 0.72'!$B14</f>
        <v>47.714611400000003</v>
      </c>
      <c r="E14" s="15">
        <f>'FU 0.73'!$B14</f>
        <v>48.377314339999998</v>
      </c>
      <c r="F14" s="15">
        <f>'FU 0.74'!$B14</f>
        <v>49.04001727</v>
      </c>
      <c r="G14" s="15">
        <f>'FU 0.75'!$B14</f>
        <v>49.702720210000003</v>
      </c>
      <c r="H14" s="15">
        <f>'FU 0.76'!$B14</f>
        <v>50.365423139999997</v>
      </c>
      <c r="I14" s="15">
        <f>'FU 0.77'!$B14</f>
        <v>51.02812608</v>
      </c>
      <c r="J14" s="15">
        <f>'FU 0.78'!$B14</f>
        <v>51.690829020000002</v>
      </c>
      <c r="K14" s="15">
        <f>'FU 0.79'!$B14</f>
        <v>52.353531949999997</v>
      </c>
      <c r="L14" s="15">
        <f>'FU 0.8'!$B14</f>
        <v>53.01623489</v>
      </c>
      <c r="M14" s="15">
        <f>'FU 0.81'!$B14</f>
        <v>53.678937820000002</v>
      </c>
      <c r="N14" s="15">
        <f>'FU 0.82'!$B14</f>
        <v>54.341640759999997</v>
      </c>
      <c r="O14" s="15">
        <f>'FU 0.83'!$B14</f>
        <v>55.0043437</v>
      </c>
      <c r="P14" s="15">
        <f>'FU 0.84'!$B14</f>
        <v>55.667046630000002</v>
      </c>
      <c r="Q14" s="15">
        <f>'FU 0.85'!$B14</f>
        <v>56.329749569999997</v>
      </c>
    </row>
    <row r="15" spans="1:17" x14ac:dyDescent="0.25">
      <c r="A15">
        <f>'FU 0.7'!A15</f>
        <v>0.73</v>
      </c>
      <c r="B15" s="15">
        <f>'FU 0.7'!$B15</f>
        <v>47.033500050000001</v>
      </c>
      <c r="C15" s="15">
        <f t="shared" si="0"/>
        <v>47.705407194999999</v>
      </c>
      <c r="D15" s="15">
        <f>'FU 0.72'!$B15</f>
        <v>48.377314339999998</v>
      </c>
      <c r="E15" s="15">
        <f>'FU 0.73'!$B15</f>
        <v>49.04922148</v>
      </c>
      <c r="F15" s="15">
        <f>'FU 0.74'!$B15</f>
        <v>49.721128620000002</v>
      </c>
      <c r="G15" s="15">
        <f>'FU 0.75'!$B15</f>
        <v>50.393035769999997</v>
      </c>
      <c r="H15" s="15">
        <f>'FU 0.76'!$B15</f>
        <v>51.064942909999999</v>
      </c>
      <c r="I15" s="15">
        <f>'FU 0.77'!$B15</f>
        <v>51.736850050000001</v>
      </c>
      <c r="J15" s="15">
        <f>'FU 0.78'!$B15</f>
        <v>52.408757199999997</v>
      </c>
      <c r="K15" s="15">
        <f>'FU 0.79'!$B15</f>
        <v>53.080664339999998</v>
      </c>
      <c r="L15" s="15">
        <f>'FU 0.8'!$B15</f>
        <v>53.75257148</v>
      </c>
      <c r="M15" s="15">
        <f>'FU 0.81'!$B15</f>
        <v>54.424478630000003</v>
      </c>
      <c r="N15" s="15">
        <f>'FU 0.82'!$B15</f>
        <v>55.096385769999998</v>
      </c>
      <c r="O15" s="15">
        <f>'FU 0.83'!$B15</f>
        <v>55.76829292</v>
      </c>
      <c r="P15" s="15">
        <f>'FU 0.84'!$B15</f>
        <v>56.440200060000002</v>
      </c>
      <c r="Q15" s="15">
        <f>'FU 0.85'!$B15</f>
        <v>57.112107199999997</v>
      </c>
    </row>
    <row r="16" spans="1:17" x14ac:dyDescent="0.25">
      <c r="A16">
        <f>'FU 0.7'!A16</f>
        <v>0.74</v>
      </c>
      <c r="B16" s="15">
        <f>'FU 0.7'!$B16</f>
        <v>47.677794570000003</v>
      </c>
      <c r="C16" s="15">
        <f t="shared" si="0"/>
        <v>48.358905919999998</v>
      </c>
      <c r="D16" s="15">
        <f>'FU 0.72'!$B16</f>
        <v>49.04001727</v>
      </c>
      <c r="E16" s="15">
        <f>'FU 0.73'!$B16</f>
        <v>49.721128620000002</v>
      </c>
      <c r="F16" s="15">
        <f>'FU 0.74'!$B16</f>
        <v>50.402239969999997</v>
      </c>
      <c r="G16" s="15">
        <f>'FU 0.75'!$B16</f>
        <v>51.083351329999999</v>
      </c>
      <c r="H16" s="15">
        <f>'FU 0.76'!$B16</f>
        <v>51.764462680000001</v>
      </c>
      <c r="I16" s="15">
        <f>'FU 0.77'!$B16</f>
        <v>52.445574030000003</v>
      </c>
      <c r="J16" s="15">
        <f>'FU 0.78'!$B16</f>
        <v>53.126685379999998</v>
      </c>
      <c r="K16" s="15">
        <f>'FU 0.79'!$B16</f>
        <v>53.80779673</v>
      </c>
      <c r="L16" s="15">
        <f>'FU 0.8'!$B16</f>
        <v>54.488908080000002</v>
      </c>
      <c r="M16" s="15">
        <f>'FU 0.81'!$B16</f>
        <v>55.170019430000004</v>
      </c>
      <c r="N16" s="15">
        <f>'FU 0.82'!$B16</f>
        <v>55.851130779999998</v>
      </c>
      <c r="O16" s="15">
        <f>'FU 0.83'!$B16</f>
        <v>56.53224213</v>
      </c>
      <c r="P16" s="15">
        <f>'FU 0.84'!$B16</f>
        <v>57.213353480000002</v>
      </c>
      <c r="Q16" s="15">
        <f>'FU 0.85'!$B16</f>
        <v>57.894464839999998</v>
      </c>
    </row>
    <row r="17" spans="1:17" x14ac:dyDescent="0.25">
      <c r="A17">
        <f>'FU 0.7'!A17</f>
        <v>0.75</v>
      </c>
      <c r="B17" s="15">
        <f>'FU 0.7'!$B17</f>
        <v>48.322089089999999</v>
      </c>
      <c r="C17" s="15">
        <f t="shared" si="0"/>
        <v>49.012404650000001</v>
      </c>
      <c r="D17" s="15">
        <f>'FU 0.72'!$B17</f>
        <v>49.702720210000003</v>
      </c>
      <c r="E17" s="15">
        <f>'FU 0.73'!$B17</f>
        <v>50.393035769999997</v>
      </c>
      <c r="F17" s="15">
        <f>'FU 0.74'!$B17</f>
        <v>51.083351329999999</v>
      </c>
      <c r="G17" s="15">
        <f>'FU 0.75'!$B17</f>
        <v>51.77366688</v>
      </c>
      <c r="H17" s="15">
        <f>'FU 0.76'!$B17</f>
        <v>52.463982440000002</v>
      </c>
      <c r="I17" s="15">
        <f>'FU 0.77'!$B17</f>
        <v>53.154297999999997</v>
      </c>
      <c r="J17" s="15">
        <f>'FU 0.78'!$B17</f>
        <v>53.844613559999999</v>
      </c>
      <c r="K17" s="15">
        <f>'FU 0.79'!$B17</f>
        <v>54.534929120000001</v>
      </c>
      <c r="L17" s="15">
        <f>'FU 0.8'!$B17</f>
        <v>55.225244680000003</v>
      </c>
      <c r="M17" s="15">
        <f>'FU 0.81'!$B17</f>
        <v>55.915560229999997</v>
      </c>
      <c r="N17" s="15">
        <f>'FU 0.82'!$B17</f>
        <v>56.605875789999999</v>
      </c>
      <c r="O17" s="15">
        <f>'FU 0.83'!$B17</f>
        <v>57.296191350000001</v>
      </c>
      <c r="P17" s="15">
        <f>'FU 0.84'!$B17</f>
        <v>57.986506910000003</v>
      </c>
      <c r="Q17" s="15">
        <f>'FU 0.85'!$B17</f>
        <v>58.676822469999998</v>
      </c>
    </row>
    <row r="18" spans="1:17" x14ac:dyDescent="0.25">
      <c r="A18">
        <f>'FU 0.7'!A18</f>
        <v>0.76</v>
      </c>
      <c r="B18" s="15">
        <f>'FU 0.7'!$B18</f>
        <v>48.966383610000001</v>
      </c>
      <c r="C18" s="15">
        <f t="shared" si="0"/>
        <v>49.665903374999999</v>
      </c>
      <c r="D18" s="15">
        <f>'FU 0.72'!$B18</f>
        <v>50.365423139999997</v>
      </c>
      <c r="E18" s="15">
        <f>'FU 0.73'!$B18</f>
        <v>51.064942909999999</v>
      </c>
      <c r="F18" s="15">
        <f>'FU 0.74'!$B18</f>
        <v>51.764462680000001</v>
      </c>
      <c r="G18" s="15">
        <f>'FU 0.75'!$B18</f>
        <v>52.463982440000002</v>
      </c>
      <c r="H18" s="15">
        <f>'FU 0.76'!$B18</f>
        <v>53.163502209999997</v>
      </c>
      <c r="I18" s="15">
        <f>'FU 0.77'!$B18</f>
        <v>53.863021969999998</v>
      </c>
      <c r="J18" s="15">
        <f>'FU 0.78'!$B18</f>
        <v>54.56254174</v>
      </c>
      <c r="K18" s="15">
        <f>'FU 0.79'!$B18</f>
        <v>55.262061510000002</v>
      </c>
      <c r="L18" s="15">
        <f>'FU 0.8'!$B18</f>
        <v>55.961581270000003</v>
      </c>
      <c r="M18" s="15">
        <f>'FU 0.81'!$B18</f>
        <v>56.661101039999998</v>
      </c>
      <c r="N18" s="15">
        <f>'FU 0.82'!$B18</f>
        <v>57.3606208</v>
      </c>
      <c r="O18" s="15">
        <f>'FU 0.83'!$B18</f>
        <v>58.060140570000002</v>
      </c>
      <c r="P18" s="15">
        <f>'FU 0.84'!$B18</f>
        <v>58.759660340000003</v>
      </c>
      <c r="Q18" s="15">
        <f>'FU 0.85'!$B18</f>
        <v>59.459180099999998</v>
      </c>
    </row>
    <row r="19" spans="1:17" x14ac:dyDescent="0.25">
      <c r="A19">
        <f>'FU 0.7'!A19</f>
        <v>0.77</v>
      </c>
      <c r="B19" s="15">
        <f>'FU 0.7'!$B19</f>
        <v>49.610678129999997</v>
      </c>
      <c r="C19" s="15">
        <f t="shared" si="0"/>
        <v>50.319402104999995</v>
      </c>
      <c r="D19" s="15">
        <f>'FU 0.72'!$B19</f>
        <v>51.02812608</v>
      </c>
      <c r="E19" s="15">
        <f>'FU 0.73'!$B19</f>
        <v>51.736850050000001</v>
      </c>
      <c r="F19" s="15">
        <f>'FU 0.74'!$B19</f>
        <v>52.445574030000003</v>
      </c>
      <c r="G19" s="15">
        <f>'FU 0.75'!$B19</f>
        <v>53.154297999999997</v>
      </c>
      <c r="H19" s="15">
        <f>'FU 0.76'!$B19</f>
        <v>53.863021969999998</v>
      </c>
      <c r="I19" s="15">
        <f>'FU 0.77'!$B19</f>
        <v>54.57174595</v>
      </c>
      <c r="J19" s="15">
        <f>'FU 0.78'!$B19</f>
        <v>55.280469920000002</v>
      </c>
      <c r="K19" s="15">
        <f>'FU 0.79'!$B19</f>
        <v>55.989193890000003</v>
      </c>
      <c r="L19" s="15">
        <f>'FU 0.8'!$B19</f>
        <v>56.697917869999998</v>
      </c>
      <c r="M19" s="15">
        <f>'FU 0.81'!$B19</f>
        <v>57.406641839999999</v>
      </c>
      <c r="N19" s="15">
        <f>'FU 0.82'!$B19</f>
        <v>58.11536581</v>
      </c>
      <c r="O19" s="15">
        <f>'FU 0.83'!$B19</f>
        <v>58.824089790000002</v>
      </c>
      <c r="P19" s="15">
        <f>'FU 0.84'!$B19</f>
        <v>59.532813760000003</v>
      </c>
      <c r="Q19" s="15">
        <f>'FU 0.85'!$B19</f>
        <v>60.241537729999997</v>
      </c>
    </row>
    <row r="20" spans="1:17" x14ac:dyDescent="0.25">
      <c r="A20">
        <f>'FU 0.7'!A20</f>
        <v>0.78</v>
      </c>
      <c r="B20" s="15">
        <f>'FU 0.7'!$B20</f>
        <v>50.254972649999999</v>
      </c>
      <c r="C20" s="15">
        <f t="shared" si="0"/>
        <v>50.972900835000004</v>
      </c>
      <c r="D20" s="15">
        <f>'FU 0.72'!$B20</f>
        <v>51.690829020000002</v>
      </c>
      <c r="E20" s="15">
        <f>'FU 0.73'!$B20</f>
        <v>52.408757199999997</v>
      </c>
      <c r="F20" s="15">
        <f>'FU 0.74'!$B20</f>
        <v>53.126685379999998</v>
      </c>
      <c r="G20" s="15">
        <f>'FU 0.75'!$B20</f>
        <v>53.844613559999999</v>
      </c>
      <c r="H20" s="15">
        <f>'FU 0.76'!$B20</f>
        <v>54.56254174</v>
      </c>
      <c r="I20" s="15">
        <f>'FU 0.77'!$B20</f>
        <v>55.280469920000002</v>
      </c>
      <c r="J20" s="15">
        <f>'FU 0.78'!$B20</f>
        <v>55.998398100000003</v>
      </c>
      <c r="K20" s="15">
        <f>'FU 0.79'!$B20</f>
        <v>56.716326279999997</v>
      </c>
      <c r="L20" s="15">
        <f>'FU 0.8'!$B20</f>
        <v>57.434254459999998</v>
      </c>
      <c r="M20" s="15">
        <f>'FU 0.81'!$B20</f>
        <v>58.152182639999999</v>
      </c>
      <c r="N20" s="15">
        <f>'FU 0.82'!$B20</f>
        <v>58.870110820000001</v>
      </c>
      <c r="O20" s="15">
        <f>'FU 0.83'!$B20</f>
        <v>59.588039010000003</v>
      </c>
      <c r="P20" s="15">
        <f>'FU 0.84'!$B20</f>
        <v>60.305967189999997</v>
      </c>
      <c r="Q20" s="15">
        <f>'FU 0.85'!$B20</f>
        <v>61.023895369999998</v>
      </c>
    </row>
    <row r="21" spans="1:17" x14ac:dyDescent="0.25">
      <c r="A21">
        <f>'FU 0.7'!A21</f>
        <v>0.79</v>
      </c>
      <c r="B21" s="15">
        <f>'FU 0.7'!$B21</f>
        <v>50.899267180000002</v>
      </c>
      <c r="C21" s="15">
        <f t="shared" si="0"/>
        <v>51.626399565</v>
      </c>
      <c r="D21" s="15">
        <f>'FU 0.72'!$B21</f>
        <v>52.353531949999997</v>
      </c>
      <c r="E21" s="15">
        <f>'FU 0.73'!$B21</f>
        <v>53.080664339999998</v>
      </c>
      <c r="F21" s="15">
        <f>'FU 0.74'!$B21</f>
        <v>53.80779673</v>
      </c>
      <c r="G21" s="15">
        <f>'FU 0.75'!$B21</f>
        <v>54.534929120000001</v>
      </c>
      <c r="H21" s="15">
        <f>'FU 0.76'!$B21</f>
        <v>55.262061510000002</v>
      </c>
      <c r="I21" s="15">
        <f>'FU 0.77'!$B21</f>
        <v>55.989193890000003</v>
      </c>
      <c r="J21" s="15">
        <f>'FU 0.78'!$B21</f>
        <v>56.716326279999997</v>
      </c>
      <c r="K21" s="15">
        <f>'FU 0.79'!$B21</f>
        <v>57.443458669999998</v>
      </c>
      <c r="L21" s="15">
        <f>'FU 0.8'!$B21</f>
        <v>58.17059106</v>
      </c>
      <c r="M21" s="15">
        <f>'FU 0.81'!$B21</f>
        <v>58.897723450000001</v>
      </c>
      <c r="N21" s="15">
        <f>'FU 0.82'!$B21</f>
        <v>59.624855830000001</v>
      </c>
      <c r="O21" s="15">
        <f>'FU 0.83'!$B21</f>
        <v>60.351988220000003</v>
      </c>
      <c r="P21" s="15">
        <f>'FU 0.84'!$B21</f>
        <v>61.079120609999997</v>
      </c>
      <c r="Q21" s="15">
        <f>'FU 0.85'!$B21</f>
        <v>61.806252999999998</v>
      </c>
    </row>
    <row r="22" spans="1:17" x14ac:dyDescent="0.25">
      <c r="A22">
        <f>'FU 0.7'!A22</f>
        <v>0.8</v>
      </c>
      <c r="B22" s="15">
        <f>'FU 0.7'!$B22</f>
        <v>51.543561699999998</v>
      </c>
      <c r="C22" s="15">
        <f t="shared" si="0"/>
        <v>52.279898294999995</v>
      </c>
      <c r="D22" s="15">
        <f>'FU 0.72'!$B22</f>
        <v>53.01623489</v>
      </c>
      <c r="E22" s="15">
        <f>'FU 0.73'!$B22</f>
        <v>53.75257148</v>
      </c>
      <c r="F22" s="15">
        <f>'FU 0.74'!$B22</f>
        <v>54.488908080000002</v>
      </c>
      <c r="G22" s="15">
        <f>'FU 0.75'!$B22</f>
        <v>55.225244680000003</v>
      </c>
      <c r="H22" s="15">
        <f>'FU 0.76'!$B22</f>
        <v>55.961581270000003</v>
      </c>
      <c r="I22" s="15">
        <f>'FU 0.77'!$B22</f>
        <v>56.697917869999998</v>
      </c>
      <c r="J22" s="15">
        <f>'FU 0.78'!$B22</f>
        <v>57.434254459999998</v>
      </c>
      <c r="K22" s="15">
        <f>'FU 0.79'!$B22</f>
        <v>58.17059106</v>
      </c>
      <c r="L22" s="15">
        <f>'FU 0.8'!$B22</f>
        <v>58.90692765</v>
      </c>
      <c r="M22" s="15">
        <f>'FU 0.81'!$B22</f>
        <v>59.643264250000001</v>
      </c>
      <c r="N22" s="15">
        <f>'FU 0.82'!$B22</f>
        <v>60.379600850000003</v>
      </c>
      <c r="O22" s="15">
        <f>'FU 0.83'!$B22</f>
        <v>61.115937440000003</v>
      </c>
      <c r="P22" s="15">
        <f>'FU 0.84'!$B22</f>
        <v>61.852274039999998</v>
      </c>
      <c r="Q22" s="15">
        <f>'FU 0.85'!$B22</f>
        <v>62.588610629999998</v>
      </c>
    </row>
    <row r="23" spans="1:17" x14ac:dyDescent="0.25">
      <c r="A23">
        <f>'FU 0.7'!A23</f>
        <v>0.81</v>
      </c>
      <c r="B23" s="15">
        <f>'FU 0.7'!$B23</f>
        <v>52.18785622</v>
      </c>
      <c r="C23" s="15">
        <f t="shared" si="0"/>
        <v>52.933397020000001</v>
      </c>
      <c r="D23" s="15">
        <f>'FU 0.72'!$B23</f>
        <v>53.678937820000002</v>
      </c>
      <c r="E23" s="15">
        <f>'FU 0.73'!$B23</f>
        <v>54.424478630000003</v>
      </c>
      <c r="F23" s="15">
        <f>'FU 0.74'!$B23</f>
        <v>55.170019430000004</v>
      </c>
      <c r="G23" s="15">
        <f>'FU 0.75'!$B23</f>
        <v>55.915560229999997</v>
      </c>
      <c r="H23" s="15">
        <f>'FU 0.76'!$B23</f>
        <v>56.661101039999998</v>
      </c>
      <c r="I23" s="15">
        <f>'FU 0.77'!$B23</f>
        <v>57.406641839999999</v>
      </c>
      <c r="J23" s="15">
        <f>'FU 0.78'!$B23</f>
        <v>58.152182639999999</v>
      </c>
      <c r="K23" s="15">
        <f>'FU 0.79'!$B23</f>
        <v>58.897723450000001</v>
      </c>
      <c r="L23" s="15">
        <f>'FU 0.8'!$B23</f>
        <v>59.643264250000001</v>
      </c>
      <c r="M23" s="15">
        <f>'FU 0.81'!$B23</f>
        <v>60.388805050000002</v>
      </c>
      <c r="N23" s="15">
        <f>'FU 0.82'!$B23</f>
        <v>61.134345860000003</v>
      </c>
      <c r="O23" s="15">
        <f>'FU 0.83'!$B23</f>
        <v>61.879886659999997</v>
      </c>
      <c r="P23" s="15">
        <f>'FU 0.84'!$B23</f>
        <v>62.625427459999997</v>
      </c>
      <c r="Q23" s="15">
        <f>'FU 0.85'!$B23</f>
        <v>63.370968269999999</v>
      </c>
    </row>
    <row r="24" spans="1:17" x14ac:dyDescent="0.25">
      <c r="A24">
        <f>'FU 0.7'!A24</f>
        <v>0.82</v>
      </c>
      <c r="B24" s="15">
        <f>'FU 0.7'!$B24</f>
        <v>52.832150740000003</v>
      </c>
      <c r="C24" s="15">
        <f t="shared" si="0"/>
        <v>53.586895749999996</v>
      </c>
      <c r="D24" s="15">
        <f>'FU 0.72'!$B24</f>
        <v>54.341640759999997</v>
      </c>
      <c r="E24" s="15">
        <f>'FU 0.73'!$B24</f>
        <v>55.096385769999998</v>
      </c>
      <c r="F24" s="15">
        <f>'FU 0.74'!$B24</f>
        <v>55.851130779999998</v>
      </c>
      <c r="G24" s="15">
        <f>'FU 0.75'!$B24</f>
        <v>56.605875789999999</v>
      </c>
      <c r="H24" s="15">
        <f>'FU 0.76'!$B24</f>
        <v>57.3606208</v>
      </c>
      <c r="I24" s="15">
        <f>'FU 0.77'!$B24</f>
        <v>58.11536581</v>
      </c>
      <c r="J24" s="15">
        <f>'FU 0.78'!$B24</f>
        <v>58.870110820000001</v>
      </c>
      <c r="K24" s="15">
        <f>'FU 0.79'!$B24</f>
        <v>59.624855830000001</v>
      </c>
      <c r="L24" s="15">
        <f>'FU 0.8'!$B24</f>
        <v>60.379600850000003</v>
      </c>
      <c r="M24" s="15">
        <f>'FU 0.81'!$B24</f>
        <v>61.134345860000003</v>
      </c>
      <c r="N24" s="15">
        <f>'FU 0.82'!$B24</f>
        <v>61.889090869999997</v>
      </c>
      <c r="O24" s="15">
        <f>'FU 0.83'!$B24</f>
        <v>62.643835879999997</v>
      </c>
      <c r="P24" s="15">
        <f>'FU 0.84'!$B24</f>
        <v>63.398580889999998</v>
      </c>
      <c r="Q24" s="15">
        <f>'FU 0.85'!$B24</f>
        <v>64.153325899999999</v>
      </c>
    </row>
    <row r="25" spans="1:17" x14ac:dyDescent="0.25">
      <c r="A25">
        <f>'FU 0.7'!A25</f>
        <v>0.83</v>
      </c>
      <c r="B25" s="15">
        <f>'FU 0.7'!$B25</f>
        <v>53.476445259999998</v>
      </c>
      <c r="C25" s="15">
        <f t="shared" si="0"/>
        <v>54.240394479999999</v>
      </c>
      <c r="D25" s="15">
        <f>'FU 0.72'!$B25</f>
        <v>55.0043437</v>
      </c>
      <c r="E25" s="15">
        <f>'FU 0.73'!$B25</f>
        <v>55.76829292</v>
      </c>
      <c r="F25" s="15">
        <f>'FU 0.74'!$B25</f>
        <v>56.53224213</v>
      </c>
      <c r="G25" s="15">
        <f>'FU 0.75'!$B25</f>
        <v>57.296191350000001</v>
      </c>
      <c r="H25" s="15">
        <f>'FU 0.76'!$B25</f>
        <v>58.060140570000002</v>
      </c>
      <c r="I25" s="15">
        <f>'FU 0.77'!$B25</f>
        <v>58.824089790000002</v>
      </c>
      <c r="J25" s="15">
        <f>'FU 0.78'!$B25</f>
        <v>59.588039010000003</v>
      </c>
      <c r="K25" s="15">
        <f>'FU 0.79'!$B25</f>
        <v>60.351988220000003</v>
      </c>
      <c r="L25" s="15">
        <f>'FU 0.8'!$B25</f>
        <v>61.115937440000003</v>
      </c>
      <c r="M25" s="15">
        <f>'FU 0.81'!$B25</f>
        <v>61.879886659999997</v>
      </c>
      <c r="N25" s="15">
        <f>'FU 0.82'!$B25</f>
        <v>62.643835879999997</v>
      </c>
      <c r="O25" s="15">
        <f>'FU 0.83'!$B25</f>
        <v>63.407785099999998</v>
      </c>
      <c r="P25" s="15">
        <f>'FU 0.84'!$B25</f>
        <v>64.171734310000005</v>
      </c>
      <c r="Q25" s="15">
        <f>'FU 0.85'!$B25</f>
        <v>64.935683530000006</v>
      </c>
    </row>
    <row r="26" spans="1:17" x14ac:dyDescent="0.25">
      <c r="A26">
        <f>'FU 0.7'!A26</f>
        <v>0.84</v>
      </c>
      <c r="B26" s="15">
        <f>'FU 0.7'!$B26</f>
        <v>54.120739780000001</v>
      </c>
      <c r="C26" s="15">
        <f t="shared" si="0"/>
        <v>54.893893204999998</v>
      </c>
      <c r="D26" s="15">
        <f>'FU 0.72'!$B26</f>
        <v>55.667046630000002</v>
      </c>
      <c r="E26" s="15">
        <f>'FU 0.73'!$B26</f>
        <v>56.440200060000002</v>
      </c>
      <c r="F26" s="15">
        <f>'FU 0.74'!$B26</f>
        <v>57.213353480000002</v>
      </c>
      <c r="G26" s="15">
        <f>'FU 0.75'!$B26</f>
        <v>57.986506910000003</v>
      </c>
      <c r="H26" s="15">
        <f>'FU 0.76'!$B26</f>
        <v>58.759660340000003</v>
      </c>
      <c r="I26" s="15">
        <f>'FU 0.77'!$B26</f>
        <v>59.532813760000003</v>
      </c>
      <c r="J26" s="15">
        <f>'FU 0.78'!$B26</f>
        <v>60.305967189999997</v>
      </c>
      <c r="K26" s="15">
        <f>'FU 0.79'!$B26</f>
        <v>61.079120609999997</v>
      </c>
      <c r="L26" s="15">
        <f>'FU 0.8'!$B26</f>
        <v>61.852274039999998</v>
      </c>
      <c r="M26" s="15">
        <f>'FU 0.81'!$B26</f>
        <v>62.625427459999997</v>
      </c>
      <c r="N26" s="15">
        <f>'FU 0.82'!$B26</f>
        <v>63.398580889999998</v>
      </c>
      <c r="O26" s="15">
        <f>'FU 0.83'!$B26</f>
        <v>64.171734310000005</v>
      </c>
      <c r="P26" s="15">
        <f>'FU 0.84'!$B26</f>
        <v>64.944887739999999</v>
      </c>
      <c r="Q26" s="15">
        <f>'FU 0.85'!$B26</f>
        <v>65.718041159999999</v>
      </c>
    </row>
    <row r="27" spans="1:17" x14ac:dyDescent="0.25">
      <c r="A27">
        <f>'FU 0.7'!A27</f>
        <v>0.85</v>
      </c>
      <c r="B27" s="15">
        <f>'FU 0.7'!$B27</f>
        <v>54.765034300000003</v>
      </c>
      <c r="C27" s="15">
        <f t="shared" si="0"/>
        <v>55.547391935</v>
      </c>
      <c r="D27" s="15">
        <f>'FU 0.72'!$B27</f>
        <v>56.329749569999997</v>
      </c>
      <c r="E27" s="15">
        <f>'FU 0.73'!$B27</f>
        <v>57.112107199999997</v>
      </c>
      <c r="F27" s="15">
        <f>'FU 0.74'!$B27</f>
        <v>57.894464839999998</v>
      </c>
      <c r="G27" s="15">
        <f>'FU 0.75'!$B27</f>
        <v>58.676822469999998</v>
      </c>
      <c r="H27" s="15">
        <f>'FU 0.76'!$B27</f>
        <v>59.459180099999998</v>
      </c>
      <c r="I27" s="15">
        <f>'FU 0.77'!$B27</f>
        <v>60.241537729999997</v>
      </c>
      <c r="J27" s="15">
        <f>'FU 0.78'!$B27</f>
        <v>61.023895369999998</v>
      </c>
      <c r="K27" s="15">
        <f>'FU 0.79'!$B27</f>
        <v>61.806252999999998</v>
      </c>
      <c r="L27" s="15">
        <f>'FU 0.8'!$B27</f>
        <v>62.588610629999998</v>
      </c>
      <c r="M27" s="15">
        <f>'FU 0.81'!$B27</f>
        <v>63.370968269999999</v>
      </c>
      <c r="N27" s="15">
        <f>'FU 0.82'!$B27</f>
        <v>64.153325899999999</v>
      </c>
      <c r="O27" s="15">
        <f>'FU 0.83'!$B27</f>
        <v>64.935683530000006</v>
      </c>
      <c r="P27" s="15">
        <f>'FU 0.84'!$B27</f>
        <v>65.718041159999999</v>
      </c>
      <c r="Q27" s="15">
        <f>'FU 0.85'!$B27</f>
        <v>66.500398799999999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G7" sqref="G7"/>
    </sheetView>
  </sheetViews>
  <sheetFormatPr defaultRowHeight="15" x14ac:dyDescent="0.25"/>
  <sheetData>
    <row r="1" spans="1:12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>
        <f>0.6</f>
        <v>0.6</v>
      </c>
      <c r="B2">
        <f>40.86668106</f>
        <v>40.866681059999998</v>
      </c>
      <c r="C2">
        <f>38.75027008</f>
        <v>38.75027008</v>
      </c>
      <c r="D2">
        <f>16.56188483</f>
        <v>16.56188483</v>
      </c>
      <c r="E2">
        <f>55.31215491</f>
        <v>55.312154909999997</v>
      </c>
      <c r="F2">
        <f>39.53022689</f>
        <v>39.530226890000002</v>
      </c>
      <c r="G2">
        <f>37.48302844</f>
        <v>37.483028439999998</v>
      </c>
      <c r="H2">
        <f>2.303350882</f>
        <v>2.3033508820000002</v>
      </c>
      <c r="I2">
        <f>39.78637933</f>
        <v>39.786379330000003</v>
      </c>
      <c r="J2">
        <f>153.64985</f>
        <v>153.64984999999999</v>
      </c>
      <c r="K2">
        <f>7.2638762</f>
        <v>7.2638762000000003</v>
      </c>
      <c r="L2">
        <f>8399.0308</f>
        <v>8399.0308000000005</v>
      </c>
    </row>
    <row r="3" spans="1:12" x14ac:dyDescent="0.25">
      <c r="A3">
        <f>0.61</f>
        <v>0.61</v>
      </c>
      <c r="B3">
        <f>41.54779241</f>
        <v>41.54779241</v>
      </c>
      <c r="C3">
        <f>39.4783075</f>
        <v>39.4783075</v>
      </c>
      <c r="D3">
        <f>16.40017013</f>
        <v>16.400170129999999</v>
      </c>
      <c r="E3">
        <f>55.87847762</f>
        <v>55.878477619999998</v>
      </c>
      <c r="F3">
        <f>40.18906401</f>
        <v>40.189064010000003</v>
      </c>
      <c r="G3">
        <f>38.18725701</f>
        <v>38.187257010000003</v>
      </c>
      <c r="H3">
        <f>2.307700479</f>
        <v>2.3077004790000002</v>
      </c>
      <c r="I3">
        <f>40.49495749</f>
        <v>40.494957489999997</v>
      </c>
      <c r="J3">
        <f>151.87138</f>
        <v>151.87137999999999</v>
      </c>
      <c r="K3">
        <f>7.4297454</f>
        <v>7.4297453999999998</v>
      </c>
      <c r="L3">
        <f>8165.7179</f>
        <v>8165.7178999999996</v>
      </c>
    </row>
    <row r="4" spans="1:12" x14ac:dyDescent="0.25">
      <c r="A4">
        <f>0.62</f>
        <v>0.62</v>
      </c>
      <c r="B4">
        <f>42.22890376</f>
        <v>42.228903760000001</v>
      </c>
      <c r="C4">
        <f>40.20638897</f>
        <v>40.206388969999999</v>
      </c>
      <c r="D4">
        <f>16.23830773</f>
        <v>16.238307729999999</v>
      </c>
      <c r="E4">
        <f>56.4446967</f>
        <v>56.444696700000001</v>
      </c>
      <c r="F4">
        <f>40.84790112</f>
        <v>40.847901120000003</v>
      </c>
      <c r="G4">
        <f>38.89152819</f>
        <v>38.891528190000002</v>
      </c>
      <c r="H4">
        <f>2.312228576</f>
        <v>2.3122285759999999</v>
      </c>
      <c r="I4">
        <f>41.20375677</f>
        <v>41.203756769999998</v>
      </c>
      <c r="J4">
        <f>149.94839</f>
        <v>149.94838999999999</v>
      </c>
      <c r="K4">
        <f>7.6035337</f>
        <v>7.6035336999999998</v>
      </c>
      <c r="L4">
        <f>7932.2866</f>
        <v>7932.2866000000004</v>
      </c>
    </row>
    <row r="5" spans="1:12" x14ac:dyDescent="0.25">
      <c r="A5">
        <f>0.63</f>
        <v>0.63</v>
      </c>
      <c r="B5">
        <f>42.91001511</f>
        <v>42.910015110000003</v>
      </c>
      <c r="C5">
        <f>40.93451859</f>
        <v>40.934518590000003</v>
      </c>
      <c r="D5">
        <f>16.07628386</f>
        <v>16.07628386</v>
      </c>
      <c r="E5">
        <f>57.01080245</f>
        <v>57.01080245</v>
      </c>
      <c r="F5">
        <f>41.50673824</f>
        <v>41.506738239999997</v>
      </c>
      <c r="G5">
        <f>39.59584595</f>
        <v>39.595845949999998</v>
      </c>
      <c r="H5">
        <f>2.316947564</f>
        <v>2.3169475639999999</v>
      </c>
      <c r="I5">
        <f>41.91279351</f>
        <v>41.91279351</v>
      </c>
      <c r="J5">
        <f>147.88058</f>
        <v>147.88058000000001</v>
      </c>
      <c r="K5">
        <f>7.7858379</f>
        <v>7.7858378999999998</v>
      </c>
      <c r="L5">
        <f>7698.7262</f>
        <v>7698.7262000000001</v>
      </c>
    </row>
    <row r="6" spans="1:12" x14ac:dyDescent="0.25">
      <c r="A6">
        <f>0.64</f>
        <v>0.64</v>
      </c>
      <c r="B6">
        <f>43.59112646</f>
        <v>43.591126459999998</v>
      </c>
      <c r="C6">
        <f>41.66270096</f>
        <v>41.662700960000002</v>
      </c>
      <c r="D6">
        <f>15.91408296</f>
        <v>15.91408296</v>
      </c>
      <c r="E6">
        <f>57.57678392</f>
        <v>57.576783919999997</v>
      </c>
      <c r="F6">
        <f>42.16557535</f>
        <v>42.165575349999997</v>
      </c>
      <c r="G6">
        <f>40.30021473</f>
        <v>40.30021473</v>
      </c>
      <c r="H6">
        <f>2.321871059</f>
        <v>2.3218710589999998</v>
      </c>
      <c r="I6">
        <f>42.62208579</f>
        <v>42.62208579</v>
      </c>
      <c r="J6">
        <f>145.66758</f>
        <v>145.66757999999999</v>
      </c>
      <c r="K6">
        <f>7.9773186</f>
        <v>7.9773186000000003</v>
      </c>
      <c r="L6">
        <f>7465.0242</f>
        <v>7465.0241999999998</v>
      </c>
    </row>
    <row r="7" spans="1:12" x14ac:dyDescent="0.25">
      <c r="A7">
        <f>0.65</f>
        <v>0.65</v>
      </c>
      <c r="B7">
        <f>44.27223782</f>
        <v>44.272237820000001</v>
      </c>
      <c r="C7">
        <f>42.39094131</f>
        <v>42.390941310000002</v>
      </c>
      <c r="D7">
        <f>15.7516874</f>
        <v>15.7516874</v>
      </c>
      <c r="E7">
        <f>58.14262871</f>
        <v>58.142628709999997</v>
      </c>
      <c r="F7">
        <f>42.82441247</f>
        <v>42.824412469999999</v>
      </c>
      <c r="G7">
        <f>41.0046396</f>
        <v>41.004639599999997</v>
      </c>
      <c r="H7">
        <f>2.327014065</f>
        <v>2.3270140650000002</v>
      </c>
      <c r="I7">
        <f>43.33165366</f>
        <v>43.331653660000001</v>
      </c>
      <c r="J7">
        <f>143.309</f>
        <v>143.309</v>
      </c>
      <c r="K7">
        <f>8.1787092</f>
        <v>8.1787092000000001</v>
      </c>
      <c r="L7">
        <f>7231.1667</f>
        <v>7231.1666999999998</v>
      </c>
    </row>
    <row r="8" spans="1:12" x14ac:dyDescent="0.25">
      <c r="A8">
        <f>0.66</f>
        <v>0.66</v>
      </c>
      <c r="B8">
        <f>44.95334917</f>
        <v>44.953349170000003</v>
      </c>
      <c r="C8">
        <f>43.11924559</f>
        <v>43.119245589999998</v>
      </c>
      <c r="D8">
        <f>15.58907709</f>
        <v>15.58907709</v>
      </c>
      <c r="E8">
        <f>58.70832268</f>
        <v>58.708322680000002</v>
      </c>
      <c r="F8">
        <f>43.48324958</f>
        <v>43.483249579999999</v>
      </c>
      <c r="G8">
        <f>41.7091263</f>
        <v>41.709126300000001</v>
      </c>
      <c r="H8">
        <f>2.332393167</f>
        <v>2.3323931670000002</v>
      </c>
      <c r="I8">
        <f>44.04151947</f>
        <v>44.041519469999997</v>
      </c>
      <c r="J8">
        <f>140.80436</f>
        <v>140.80436</v>
      </c>
      <c r="K8">
        <f>8.3908263</f>
        <v>8.3908263000000005</v>
      </c>
      <c r="L8">
        <f>6997.1379</f>
        <v>6997.1378999999997</v>
      </c>
    </row>
    <row r="9" spans="1:12" x14ac:dyDescent="0.25">
      <c r="A9">
        <f>0.67</f>
        <v>0.67</v>
      </c>
      <c r="B9">
        <f>45.63446052</f>
        <v>45.634460519999998</v>
      </c>
      <c r="C9">
        <f>43.8476206</f>
        <v>43.847620599999999</v>
      </c>
      <c r="D9">
        <f>15.42622904</f>
        <v>15.426229040000001</v>
      </c>
      <c r="E9">
        <f>59.27384964</f>
        <v>59.273849640000002</v>
      </c>
      <c r="F9">
        <f>44.1420867</f>
        <v>44.1420867</v>
      </c>
      <c r="G9">
        <f>42.41368141</f>
        <v>42.413681410000002</v>
      </c>
      <c r="H9">
        <f>2.338026757</f>
        <v>2.3380267570000002</v>
      </c>
      <c r="I9">
        <f>44.75170817</f>
        <v>44.751708170000001</v>
      </c>
      <c r="J9">
        <f>138.15314</f>
        <v>138.15314000000001</v>
      </c>
      <c r="K9">
        <f>8.6145827</f>
        <v>8.6145826999999997</v>
      </c>
      <c r="L9">
        <f>6762.9198</f>
        <v>6762.9197999999997</v>
      </c>
    </row>
    <row r="10" spans="1:12" x14ac:dyDescent="0.25">
      <c r="A10">
        <f>0.68</f>
        <v>0.68</v>
      </c>
      <c r="B10">
        <f>46.31557187</f>
        <v>46.315571869999999</v>
      </c>
      <c r="C10">
        <f>44.57607414</f>
        <v>44.576074140000003</v>
      </c>
      <c r="D10">
        <f>15.26311685</f>
        <v>15.263116849999999</v>
      </c>
      <c r="E10">
        <f>59.83919099</f>
        <v>59.839190989999999</v>
      </c>
      <c r="F10">
        <f>44.80092381</f>
        <v>44.80092381</v>
      </c>
      <c r="G10">
        <f>43.1183125</f>
        <v>43.118312500000002</v>
      </c>
      <c r="H10">
        <f>2.343935303</f>
        <v>2.3439353029999999</v>
      </c>
      <c r="I10">
        <f>45.4622478</f>
        <v>45.4622478</v>
      </c>
      <c r="J10">
        <f>135.35474</f>
        <v>135.35473999999999</v>
      </c>
      <c r="K10">
        <f>8.8510028</f>
        <v>8.8510027999999998</v>
      </c>
      <c r="L10">
        <f>6528.4914</f>
        <v>6528.4913999999999</v>
      </c>
    </row>
    <row r="11" spans="1:12" x14ac:dyDescent="0.25">
      <c r="A11">
        <f>0.69</f>
        <v>0.69</v>
      </c>
      <c r="B11">
        <f>46.99668322</f>
        <v>46.996683220000001</v>
      </c>
      <c r="C11">
        <f>45.30461524</f>
        <v>45.304615239999997</v>
      </c>
      <c r="D11">
        <f>15.09970999</f>
        <v>15.099709989999999</v>
      </c>
      <c r="E11">
        <f>60.40432523</f>
        <v>60.404325229999998</v>
      </c>
      <c r="F11">
        <f>45.45976093</f>
        <v>45.459760930000002</v>
      </c>
      <c r="G11">
        <f>43.82302828</f>
        <v>43.823028280000003</v>
      </c>
      <c r="H11">
        <f>2.350141674</f>
        <v>2.3501416740000001</v>
      </c>
      <c r="I11">
        <f>46.17316996</f>
        <v>46.173169960000003</v>
      </c>
      <c r="J11">
        <f>132.40846</f>
        <v>132.40845999999999</v>
      </c>
      <c r="K11">
        <f>9.1012407</f>
        <v>9.1012407</v>
      </c>
      <c r="L11">
        <f>6293.8287</f>
        <v>6293.8287</v>
      </c>
    </row>
    <row r="12" spans="1:12" x14ac:dyDescent="0.25">
      <c r="A12">
        <f>0.7</f>
        <v>0.7</v>
      </c>
      <c r="B12">
        <f>47.67779457</f>
        <v>47.677794570000003</v>
      </c>
      <c r="C12">
        <f>46.0332544</f>
        <v>46.033254399999997</v>
      </c>
      <c r="D12">
        <f>14.93597295</f>
        <v>14.93597295</v>
      </c>
      <c r="E12">
        <f>60.96922735</f>
        <v>60.969227349999997</v>
      </c>
      <c r="F12">
        <f>46.11859804</f>
        <v>46.118598040000002</v>
      </c>
      <c r="G12">
        <f>44.52783891</f>
        <v>44.52783891</v>
      </c>
      <c r="H12">
        <f>2.35667153</f>
        <v>2.3566715299999998</v>
      </c>
      <c r="I12">
        <f>46.88451044</f>
        <v>46.88451044</v>
      </c>
      <c r="J12">
        <f>129.31349</f>
        <v>129.31349</v>
      </c>
      <c r="K12">
        <f>9.3666033</f>
        <v>9.3666032999999995</v>
      </c>
      <c r="L12">
        <f>6058.904</f>
        <v>6058.9040000000005</v>
      </c>
    </row>
    <row r="13" spans="1:12" x14ac:dyDescent="0.25">
      <c r="A13">
        <f>0.71</f>
        <v>0.71</v>
      </c>
      <c r="B13">
        <f>48.35890592</f>
        <v>48.358905919999998</v>
      </c>
      <c r="C13">
        <f>46.76200385</f>
        <v>46.762003849999999</v>
      </c>
      <c r="D13">
        <f>14.77186425</f>
        <v>14.77186425</v>
      </c>
      <c r="E13">
        <f>61.5338681</f>
        <v>61.533868099999999</v>
      </c>
      <c r="F13">
        <f>46.77743516</f>
        <v>46.777435160000003</v>
      </c>
      <c r="G13">
        <f>45.23275623</f>
        <v>45.23275623</v>
      </c>
      <c r="H13">
        <f>2.3635538</f>
        <v>2.3635538</v>
      </c>
      <c r="I13">
        <f>47.59631003</f>
        <v>47.596310029999998</v>
      </c>
      <c r="J13">
        <f>126.06889</f>
        <v>126.06889</v>
      </c>
      <c r="K13">
        <f>9.6485773</f>
        <v>9.6485772999999995</v>
      </c>
      <c r="L13">
        <f>5823.6845</f>
        <v>5823.6845000000003</v>
      </c>
    </row>
    <row r="14" spans="1:12" x14ac:dyDescent="0.25">
      <c r="A14">
        <f>0.72</f>
        <v>0.72</v>
      </c>
      <c r="B14">
        <f>49.04001727</f>
        <v>49.04001727</v>
      </c>
      <c r="C14">
        <f>47.49087804</f>
        <v>47.490878039999998</v>
      </c>
      <c r="D14">
        <f>14.60733497</f>
        <v>14.60733497</v>
      </c>
      <c r="E14">
        <f>62.09821301</f>
        <v>62.098213010000002</v>
      </c>
      <c r="F14">
        <f>47.43627227</f>
        <v>47.436272270000003</v>
      </c>
      <c r="G14">
        <f>45.9377942</f>
        <v>45.937794199999999</v>
      </c>
      <c r="H14">
        <f>2.370821269</f>
        <v>2.3708212689999999</v>
      </c>
      <c r="I14">
        <f>48.30861547</f>
        <v>48.308615469999999</v>
      </c>
      <c r="J14">
        <f>122.67353</f>
        <v>122.67353</v>
      </c>
      <c r="K14">
        <f>9.9488641</f>
        <v>9.9488640999999998</v>
      </c>
      <c r="L14">
        <f>5588.1319</f>
        <v>5588.1319000000003</v>
      </c>
    </row>
    <row r="15" spans="1:12" x14ac:dyDescent="0.25">
      <c r="A15">
        <f>0.73</f>
        <v>0.73</v>
      </c>
      <c r="B15">
        <f>49.72112862</f>
        <v>49.721128620000002</v>
      </c>
      <c r="C15">
        <f>48.21989406</f>
        <v>48.219894060000001</v>
      </c>
      <c r="D15">
        <f>14.44232712</f>
        <v>14.44232712</v>
      </c>
      <c r="E15">
        <f>62.66222118</f>
        <v>62.662221180000003</v>
      </c>
      <c r="F15">
        <f>48.09510939</f>
        <v>48.095109389999998</v>
      </c>
      <c r="G15">
        <f>46.64296937</f>
        <v>46.642969370000003</v>
      </c>
      <c r="H15">
        <f>2.378511305</f>
        <v>2.378511305</v>
      </c>
      <c r="I15">
        <f>49.02148068</f>
        <v>49.021480680000003</v>
      </c>
      <c r="J15">
        <f>119.12612</f>
        <v>119.12612</v>
      </c>
      <c r="K15">
        <f>10.269422</f>
        <v>10.269422</v>
      </c>
      <c r="L15">
        <f>5352.2007</f>
        <v>5352.2007000000003</v>
      </c>
    </row>
    <row r="16" spans="1:12" x14ac:dyDescent="0.25">
      <c r="A16">
        <f>0.74</f>
        <v>0.74</v>
      </c>
      <c r="B16">
        <f>50.40223997</f>
        <v>50.402239969999997</v>
      </c>
      <c r="C16">
        <f>48.94907239</f>
        <v>48.949072389999998</v>
      </c>
      <c r="D16">
        <f>14.27677127</f>
        <v>14.276771269999999</v>
      </c>
      <c r="E16">
        <f>63.22584365</f>
        <v>63.225843650000002</v>
      </c>
      <c r="F16">
        <f>48.7539465</f>
        <v>48.753946499999998</v>
      </c>
      <c r="G16">
        <f>47.34830154</f>
        <v>47.348301540000001</v>
      </c>
      <c r="H16">
        <f>2.386666783</f>
        <v>2.3866667829999999</v>
      </c>
      <c r="I16">
        <f>49.73496832</f>
        <v>49.73496832</v>
      </c>
      <c r="J16">
        <f>115.42506</f>
        <v>115.42506</v>
      </c>
      <c r="K16">
        <f>10.612522</f>
        <v>10.612522</v>
      </c>
      <c r="L16">
        <f>5115.8366</f>
        <v>5115.8365999999996</v>
      </c>
    </row>
    <row r="17" spans="1:12" x14ac:dyDescent="0.25">
      <c r="A17">
        <f>0.75</f>
        <v>0.75</v>
      </c>
      <c r="B17">
        <f>51.08335133</f>
        <v>51.083351329999999</v>
      </c>
      <c r="C17">
        <f>49.6784377</f>
        <v>49.678437700000003</v>
      </c>
      <c r="D17">
        <f>14.11058361</f>
        <v>14.110583610000001</v>
      </c>
      <c r="E17">
        <f>63.78902131</f>
        <v>63.789021310000003</v>
      </c>
      <c r="F17">
        <f>49.41278362</f>
        <v>49.412783619999999</v>
      </c>
      <c r="G17">
        <f>48.05381458</f>
        <v>48.053814580000001</v>
      </c>
      <c r="H17">
        <f>2.395337262</f>
        <v>2.395337262</v>
      </c>
      <c r="I17">
        <f>50.44915184</f>
        <v>50.449151839999999</v>
      </c>
      <c r="J17">
        <f>111.56847</f>
        <v>111.56847</v>
      </c>
      <c r="K17">
        <f>10.980817</f>
        <v>10.980817</v>
      </c>
      <c r="L17">
        <f>4878.9739</f>
        <v>4878.9739</v>
      </c>
    </row>
    <row r="18" spans="1:12" x14ac:dyDescent="0.25">
      <c r="A18">
        <f>0.76</f>
        <v>0.76</v>
      </c>
      <c r="B18">
        <f>51.76446268</f>
        <v>51.764462680000001</v>
      </c>
      <c r="C18">
        <f>50.40802011</f>
        <v>50.408020110000002</v>
      </c>
      <c r="D18">
        <f>13.94366188</f>
        <v>13.943661880000001</v>
      </c>
      <c r="E18">
        <f>64.35168199</f>
        <v>64.351681990000003</v>
      </c>
      <c r="F18">
        <f>50.07162073</f>
        <v>50.071620729999999</v>
      </c>
      <c r="G18">
        <f>48.75953761</f>
        <v>48.759537610000002</v>
      </c>
      <c r="H18">
        <f>2.40458051</f>
        <v>2.4045805100000002</v>
      </c>
      <c r="I18">
        <f>51.16411812</f>
        <v>51.164118119999998</v>
      </c>
      <c r="J18">
        <f>107.55404</f>
        <v>107.55404</v>
      </c>
      <c r="K18">
        <f>11.377433</f>
        <v>11.377433</v>
      </c>
      <c r="L18">
        <f>4641.5326</f>
        <v>4641.5325999999995</v>
      </c>
    </row>
    <row r="19" spans="1:12" x14ac:dyDescent="0.25">
      <c r="A19">
        <f>0.77</f>
        <v>0.77</v>
      </c>
      <c r="B19">
        <f>52.44557403</f>
        <v>52.445574030000003</v>
      </c>
      <c r="C19">
        <f>51.13785673</f>
        <v>51.137856730000003</v>
      </c>
      <c r="D19">
        <f>13.7758799</f>
        <v>13.7758799</v>
      </c>
      <c r="E19">
        <f>64.91373664</f>
        <v>64.913736639999996</v>
      </c>
      <c r="F19">
        <f>50.73045785</f>
        <v>50.730457850000001</v>
      </c>
      <c r="G19">
        <f>49.46550655</f>
        <v>49.465506550000001</v>
      </c>
      <c r="H19">
        <f>2.414464523</f>
        <v>2.4144645229999999</v>
      </c>
      <c r="I19">
        <f>51.87997107</f>
        <v>51.879971070000003</v>
      </c>
      <c r="J19">
        <f>103.37892</f>
        <v>103.37891999999999</v>
      </c>
      <c r="K19">
        <f>11.806094</f>
        <v>11.806094</v>
      </c>
      <c r="L19">
        <f>4403.414</f>
        <v>4403.4139999999998</v>
      </c>
    </row>
    <row r="20" spans="1:12" x14ac:dyDescent="0.25">
      <c r="A20">
        <f>0.78</f>
        <v>0.78</v>
      </c>
      <c r="B20">
        <f>53.12668538</f>
        <v>53.126685379999998</v>
      </c>
      <c r="C20">
        <f>51.86799397</f>
        <v>51.867993970000001</v>
      </c>
      <c r="D20">
        <f>13.60707988</f>
        <v>13.607079880000001</v>
      </c>
      <c r="E20">
        <f>65.47507385</f>
        <v>65.475073850000001</v>
      </c>
      <c r="F20">
        <f>51.38929496</f>
        <v>51.389294960000001</v>
      </c>
      <c r="G20">
        <f>50.17176627</f>
        <v>50.171766269999999</v>
      </c>
      <c r="H20">
        <f>2.425070252</f>
        <v>2.4250702519999998</v>
      </c>
      <c r="I20">
        <f>52.59683652</f>
        <v>52.596836519999997</v>
      </c>
      <c r="J20">
        <f>99.039553</f>
        <v>99.039552999999998</v>
      </c>
      <c r="K20">
        <f>12.271285</f>
        <v>12.271285000000001</v>
      </c>
      <c r="L20">
        <f>4164.495</f>
        <v>4164.4949999999999</v>
      </c>
    </row>
    <row r="21" spans="1:12" x14ac:dyDescent="0.25">
      <c r="A21">
        <f>0.79</f>
        <v>0.79</v>
      </c>
      <c r="B21">
        <f>53.80779673</f>
        <v>53.80779673</v>
      </c>
      <c r="C21">
        <f>52.59849069</f>
        <v>52.598490689999998</v>
      </c>
      <c r="D21">
        <f>13.43706154</f>
        <v>13.43706154</v>
      </c>
      <c r="E21">
        <f>66.03555223</f>
        <v>66.035552229999993</v>
      </c>
      <c r="F21">
        <f>52.04813208</f>
        <v>52.048132080000002</v>
      </c>
      <c r="G21">
        <f>50.87837371</f>
        <v>50.878373709999998</v>
      </c>
      <c r="H21">
        <f>2.436495359</f>
        <v>2.4364953589999998</v>
      </c>
      <c r="I21">
        <f>53.31486907</f>
        <v>53.31486907</v>
      </c>
      <c r="J21">
        <f>94.53145</f>
        <v>94.531450000000007</v>
      </c>
      <c r="K21">
        <f>12.778482</f>
        <v>12.778482</v>
      </c>
      <c r="L21">
        <f>3924.619</f>
        <v>3924.6190000000001</v>
      </c>
    </row>
    <row r="22" spans="1:12" x14ac:dyDescent="0.25">
      <c r="A22">
        <f>0.8</f>
        <v>0.8</v>
      </c>
      <c r="B22">
        <f>54.48890808</f>
        <v>54.488908080000002</v>
      </c>
      <c r="C22">
        <f>53.32942283</f>
        <v>53.329422829999999</v>
      </c>
      <c r="D22">
        <f>13.26556624</f>
        <v>13.26556624</v>
      </c>
      <c r="E22">
        <f>66.59498908</f>
        <v>66.594989080000005</v>
      </c>
      <c r="F22">
        <f>52.70696919</f>
        <v>52.706969190000002</v>
      </c>
      <c r="G22">
        <f>51.58540234</f>
        <v>51.585402340000002</v>
      </c>
      <c r="H22">
        <f>2.448859564</f>
        <v>2.4488595640000002</v>
      </c>
      <c r="I22">
        <f>54.0342619</f>
        <v>54.034261899999997</v>
      </c>
      <c r="J22">
        <f>89.848807</f>
        <v>89.848806999999994</v>
      </c>
      <c r="K22">
        <f>13.334483</f>
        <v>13.334483000000001</v>
      </c>
      <c r="L22">
        <f>3683.5842</f>
        <v>3683.5841999999998</v>
      </c>
    </row>
    <row r="23" spans="1:12" x14ac:dyDescent="0.25">
      <c r="A23">
        <f>0.81</f>
        <v>0.81</v>
      </c>
      <c r="B23">
        <f>55.17001943</f>
        <v>55.170019430000004</v>
      </c>
      <c r="C23">
        <f>54.06088958</f>
        <v>54.060889580000001</v>
      </c>
      <c r="D23">
        <f>13.09225617</f>
        <v>13.092256170000001</v>
      </c>
      <c r="E23">
        <f>67.15314575</f>
        <v>67.153145749999993</v>
      </c>
      <c r="F23">
        <f>53.36580631</f>
        <v>53.365806310000004</v>
      </c>
      <c r="G23">
        <f>52.29294809</f>
        <v>52.292948090000003</v>
      </c>
      <c r="H23">
        <f>2.462312224</f>
        <v>2.4623122240000002</v>
      </c>
      <c r="I23">
        <f>54.75526031</f>
        <v>54.755260309999997</v>
      </c>
      <c r="J23">
        <f>84.985203</f>
        <v>84.985202999999998</v>
      </c>
      <c r="K23">
        <f>13.947877</f>
        <v>13.947877</v>
      </c>
      <c r="L23">
        <f>3441.1735</f>
        <v>3441.1734999999999</v>
      </c>
    </row>
    <row r="24" spans="1:12" x14ac:dyDescent="0.25">
      <c r="A24">
        <f>0.82</f>
        <v>0.82</v>
      </c>
      <c r="B24">
        <f>55.85113078</f>
        <v>55.851130779999998</v>
      </c>
      <c r="C24">
        <f>54.79302754</f>
        <v>54.793027539999997</v>
      </c>
      <c r="D24">
        <f>12.91666598</f>
        <v>12.916665979999999</v>
      </c>
      <c r="E24">
        <f>67.70969352</f>
        <v>67.709693520000002</v>
      </c>
      <c r="F24">
        <f>54.02464342</f>
        <v>54.024643419999997</v>
      </c>
      <c r="G24">
        <f>53.0011431</f>
        <v>53.0011431</v>
      </c>
      <c r="H24">
        <f>2.477045303</f>
        <v>2.4770453030000001</v>
      </c>
      <c r="I24">
        <f>55.4781884</f>
        <v>55.478188400000001</v>
      </c>
      <c r="J24">
        <f>79.928087</f>
        <v>79.928087000000005</v>
      </c>
      <c r="K24">
        <f>14.629828</f>
        <v>14.629828</v>
      </c>
      <c r="L24">
        <f>3196.9353</f>
        <v>3196.9353000000001</v>
      </c>
    </row>
    <row r="25" spans="1:12" x14ac:dyDescent="0.25">
      <c r="A25">
        <f>0.83</f>
        <v>0.83</v>
      </c>
      <c r="B25">
        <f>56.53224213</f>
        <v>56.53224213</v>
      </c>
      <c r="C25">
        <f>55.52602372</f>
        <v>55.526023719999998</v>
      </c>
      <c r="D25">
        <f>12.7381574</f>
        <v>12.7381574</v>
      </c>
      <c r="E25">
        <f>68.26418112</f>
        <v>68.264181120000003</v>
      </c>
      <c r="F25">
        <f>54.68348054</f>
        <v>54.683480539999998</v>
      </c>
      <c r="G25">
        <f>53.71016827</f>
        <v>53.710168269999997</v>
      </c>
      <c r="H25">
        <f>2.493310772</f>
        <v>2.4933107720000001</v>
      </c>
      <c r="I25">
        <f>56.20347904</f>
        <v>56.203479039999998</v>
      </c>
      <c r="J25">
        <f>74.664328</f>
        <v>74.664327999999998</v>
      </c>
      <c r="K25">
        <f>15.395203</f>
        <v>15.395203</v>
      </c>
      <c r="L25">
        <f>2950.4166</f>
        <v>2950.4166</v>
      </c>
    </row>
    <row r="26" spans="1:12" x14ac:dyDescent="0.25">
      <c r="A26">
        <f>0.84</f>
        <v>0.84</v>
      </c>
      <c r="B26">
        <f>57.21335348</f>
        <v>57.213353480000002</v>
      </c>
      <c r="C26">
        <f>56.26014897</f>
        <v>56.260148970000003</v>
      </c>
      <c r="D26">
        <f>12.55580653</f>
        <v>12.55580653</v>
      </c>
      <c r="E26">
        <f>68.8159555</f>
        <v>68.815955500000001</v>
      </c>
      <c r="F26">
        <f>55.34231765</f>
        <v>55.342317649999998</v>
      </c>
      <c r="G26">
        <f>54.42028558</f>
        <v>54.420285579999998</v>
      </c>
      <c r="H26">
        <f>2.511454122</f>
        <v>2.511454122</v>
      </c>
      <c r="I26">
        <f>56.9317397</f>
        <v>56.931739700000001</v>
      </c>
      <c r="J26">
        <f>69.173444</f>
        <v>69.173444000000003</v>
      </c>
      <c r="K26">
        <f>16.26462</f>
        <v>16.264620000000001</v>
      </c>
      <c r="L26">
        <f>2700.8993</f>
        <v>2700.8993</v>
      </c>
    </row>
    <row r="27" spans="1:12" x14ac:dyDescent="0.25">
      <c r="A27">
        <f>0.85</f>
        <v>0.85</v>
      </c>
      <c r="B27">
        <f>57.89446484</f>
        <v>57.894464839999998</v>
      </c>
      <c r="C27">
        <f>56.99581308</f>
        <v>56.995813079999998</v>
      </c>
      <c r="D27">
        <f>12.36821451</f>
        <v>12.36821451</v>
      </c>
      <c r="E27">
        <f>69.3640276</f>
        <v>69.3640276</v>
      </c>
      <c r="F27">
        <f>56.00115477</f>
        <v>56.001154769999999</v>
      </c>
      <c r="G27">
        <f>55.13189143</f>
        <v>55.131891430000003</v>
      </c>
      <c r="H27">
        <f>2.531972431</f>
        <v>2.5319724309999998</v>
      </c>
      <c r="I27">
        <f>57.66386386</f>
        <v>57.663863859999999</v>
      </c>
      <c r="J27">
        <f>63.424562</f>
        <v>63.424562000000002</v>
      </c>
      <c r="K27">
        <f>17.268114</f>
        <v>17.268114000000001</v>
      </c>
      <c r="L27">
        <f>2447.2978</f>
        <v>2447.2977999999998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>
        <f>0.6</f>
        <v>0.6</v>
      </c>
      <c r="B2">
        <f>41.41893351</f>
        <v>41.418933510000002</v>
      </c>
      <c r="C2">
        <f>39.25782296</f>
        <v>39.257822959999999</v>
      </c>
      <c r="D2">
        <f>15.44764943</f>
        <v>15.44764943</v>
      </c>
      <c r="E2">
        <f>54.70547239</f>
        <v>54.705472389999997</v>
      </c>
      <c r="F2">
        <f>40.06441915</f>
        <v>40.064419149999999</v>
      </c>
      <c r="G2">
        <f>37.97398293</f>
        <v>37.973982929999998</v>
      </c>
      <c r="H2">
        <f>1.953442169</f>
        <v>1.9534421689999999</v>
      </c>
      <c r="I2">
        <f>39.9274251</f>
        <v>39.927425100000001</v>
      </c>
      <c r="J2">
        <f>153.29335</f>
        <v>153.29335</v>
      </c>
      <c r="K2">
        <f>7.2087374</f>
        <v>7.2087374000000004</v>
      </c>
      <c r="L2">
        <f>8379.5428</f>
        <v>8379.5427999999993</v>
      </c>
    </row>
    <row r="3" spans="1:12" x14ac:dyDescent="0.25">
      <c r="A3">
        <f>0.61</f>
        <v>0.61</v>
      </c>
      <c r="B3">
        <f>42.10924907</f>
        <v>42.109249069999997</v>
      </c>
      <c r="C3">
        <f>39.99570248</f>
        <v>39.995702479999999</v>
      </c>
      <c r="D3">
        <f>15.28373271</f>
        <v>15.283732710000001</v>
      </c>
      <c r="E3">
        <f>55.27943519</f>
        <v>55.279435190000001</v>
      </c>
      <c r="F3">
        <f>40.73215947</f>
        <v>40.732159469999999</v>
      </c>
      <c r="G3">
        <f>38.68773174</f>
        <v>38.687731739999997</v>
      </c>
      <c r="H3">
        <f>1.9566922</f>
        <v>1.9566922</v>
      </c>
      <c r="I3">
        <f>40.64442394</f>
        <v>40.644423940000003</v>
      </c>
      <c r="J3">
        <f>151.50776</f>
        <v>151.50775999999999</v>
      </c>
      <c r="K3">
        <f>7.3720829</f>
        <v>7.3720828999999997</v>
      </c>
      <c r="L3">
        <f>8146.167</f>
        <v>8146.1670000000004</v>
      </c>
    </row>
    <row r="4" spans="1:12" x14ac:dyDescent="0.25">
      <c r="A4">
        <f>0.62</f>
        <v>0.62</v>
      </c>
      <c r="B4">
        <f>42.79956462</f>
        <v>42.799564619999998</v>
      </c>
      <c r="C4">
        <f>40.73362701</f>
        <v>40.733627009999999</v>
      </c>
      <c r="D4">
        <f>15.11966486</f>
        <v>15.11966486</v>
      </c>
      <c r="E4">
        <f>55.85329188</f>
        <v>55.85329188</v>
      </c>
      <c r="F4">
        <f>41.39989979</f>
        <v>41.399899789999999</v>
      </c>
      <c r="G4">
        <f>39.40152409</f>
        <v>39.401524090000002</v>
      </c>
      <c r="H4">
        <f>1.960072374</f>
        <v>1.9600723739999999</v>
      </c>
      <c r="I4">
        <f>41.36159646</f>
        <v>41.361596460000001</v>
      </c>
      <c r="J4">
        <f>149.57755</f>
        <v>149.57755</v>
      </c>
      <c r="K4">
        <f>7.5431681</f>
        <v>7.5431680999999999</v>
      </c>
      <c r="L4">
        <f>7912.6688</f>
        <v>7912.6688000000004</v>
      </c>
    </row>
    <row r="5" spans="1:12" x14ac:dyDescent="0.25">
      <c r="A5">
        <f>0.63</f>
        <v>0.63</v>
      </c>
      <c r="B5">
        <f>43.48988018</f>
        <v>43.48988018</v>
      </c>
      <c r="C5">
        <f>41.47160075</f>
        <v>41.47160075</v>
      </c>
      <c r="D5">
        <f>14.95543174</f>
        <v>14.95543174</v>
      </c>
      <c r="E5">
        <f>56.42703249</f>
        <v>56.427032490000002</v>
      </c>
      <c r="F5">
        <f>42.06764011</f>
        <v>42.067640109999999</v>
      </c>
      <c r="G5">
        <f>40.11536403</f>
        <v>40.115364030000002</v>
      </c>
      <c r="H5">
        <f>1.963591729</f>
        <v>1.963591729</v>
      </c>
      <c r="I5">
        <f>42.07895576</f>
        <v>42.078955759999999</v>
      </c>
      <c r="J5">
        <f>147.50238</f>
        <v>147.50237999999999</v>
      </c>
      <c r="K5">
        <f>7.7225725</f>
        <v>7.7225725000000001</v>
      </c>
      <c r="L5">
        <f>7679.0368</f>
        <v>7679.0367999999999</v>
      </c>
    </row>
    <row r="6" spans="1:12" x14ac:dyDescent="0.25">
      <c r="A6">
        <f>0.64</f>
        <v>0.64</v>
      </c>
      <c r="B6">
        <f>44.18019574</f>
        <v>44.180195740000002</v>
      </c>
      <c r="C6">
        <f>42.20962842</f>
        <v>42.209628420000001</v>
      </c>
      <c r="D6">
        <f>14.79101736</f>
        <v>14.79101736</v>
      </c>
      <c r="E6">
        <f>57.00064577</f>
        <v>57.000645769999998</v>
      </c>
      <c r="F6">
        <f>42.73538043</f>
        <v>42.735380429999999</v>
      </c>
      <c r="G6">
        <f>40.82925614</f>
        <v>40.829256139999998</v>
      </c>
      <c r="H6">
        <f>1.967260197</f>
        <v>1.9672601970000001</v>
      </c>
      <c r="I6">
        <f>42.79651634</f>
        <v>42.796516339999997</v>
      </c>
      <c r="J6">
        <f>145.28189</f>
        <v>145.28189</v>
      </c>
      <c r="K6">
        <f>7.9109366</f>
        <v>7.9109366000000003</v>
      </c>
      <c r="L6">
        <f>7445.2583</f>
        <v>7445.2583000000004</v>
      </c>
    </row>
    <row r="7" spans="1:12" x14ac:dyDescent="0.25">
      <c r="A7">
        <f>0.65</f>
        <v>0.65</v>
      </c>
      <c r="B7">
        <f>44.8705113</f>
        <v>44.870511299999997</v>
      </c>
      <c r="C7">
        <f>42.94771538</f>
        <v>42.947715379999998</v>
      </c>
      <c r="D7">
        <f>14.6264036</f>
        <v>14.6264036</v>
      </c>
      <c r="E7">
        <f>57.57411898</f>
        <v>57.574118980000001</v>
      </c>
      <c r="F7">
        <f>43.40312074</f>
        <v>43.403120739999999</v>
      </c>
      <c r="G7">
        <f>41.5432056</f>
        <v>41.5432056</v>
      </c>
      <c r="H7">
        <f>1.971088728</f>
        <v>1.971088728</v>
      </c>
      <c r="I7">
        <f>43.51429433</f>
        <v>43.514294329999998</v>
      </c>
      <c r="J7">
        <f>142.91565</f>
        <v>142.91565</v>
      </c>
      <c r="K7">
        <f>8.1089713</f>
        <v>8.1089713000000003</v>
      </c>
      <c r="L7">
        <f>7211.3188</f>
        <v>7211.3188</v>
      </c>
    </row>
    <row r="8" spans="1:12" x14ac:dyDescent="0.25">
      <c r="A8">
        <f>0.66</f>
        <v>0.66</v>
      </c>
      <c r="B8">
        <f>45.56082686</f>
        <v>45.560826859999999</v>
      </c>
      <c r="C8">
        <f>43.68586774</f>
        <v>43.685867739999999</v>
      </c>
      <c r="D8">
        <f>14.46156981</f>
        <v>14.46156981</v>
      </c>
      <c r="E8">
        <f>58.14743755</f>
        <v>58.147437549999999</v>
      </c>
      <c r="F8">
        <f>44.07086106</f>
        <v>44.070861059999999</v>
      </c>
      <c r="G8">
        <f>42.25721833</f>
        <v>42.257218330000001</v>
      </c>
      <c r="H8">
        <f>1.975089421</f>
        <v>1.9750894210000001</v>
      </c>
      <c r="I8">
        <f>44.23230775</f>
        <v>44.232307749999997</v>
      </c>
      <c r="J8">
        <f>140.40318</f>
        <v>140.40317999999999</v>
      </c>
      <c r="K8">
        <f>8.3174678</f>
        <v>8.3174677999999993</v>
      </c>
      <c r="L8">
        <f>6977.2019</f>
        <v>6977.2019</v>
      </c>
    </row>
    <row r="9" spans="1:12" x14ac:dyDescent="0.25">
      <c r="A9">
        <f>0.67</f>
        <v>0.67</v>
      </c>
      <c r="B9">
        <f>46.25114242</f>
        <v>46.251142420000001</v>
      </c>
      <c r="C9">
        <f>44.42409248</f>
        <v>44.424092479999999</v>
      </c>
      <c r="D9">
        <f>14.29649236</f>
        <v>14.29649236</v>
      </c>
      <c r="E9">
        <f>58.72058484</f>
        <v>58.720584840000001</v>
      </c>
      <c r="F9">
        <f>44.73860138</f>
        <v>44.738601379999999</v>
      </c>
      <c r="G9">
        <f>42.97130106</f>
        <v>42.971301060000002</v>
      </c>
      <c r="H9">
        <f>1.979275698</f>
        <v>1.9792756979999999</v>
      </c>
      <c r="I9">
        <f>44.95057676</f>
        <v>44.950576759999997</v>
      </c>
      <c r="J9">
        <f>137.74395</f>
        <v>137.74395000000001</v>
      </c>
      <c r="K9">
        <f>8.5373098</f>
        <v>8.5373097999999992</v>
      </c>
      <c r="L9">
        <f>6742.8887</f>
        <v>6742.8887000000004</v>
      </c>
    </row>
    <row r="10" spans="1:12" x14ac:dyDescent="0.25">
      <c r="A10">
        <f>0.68</f>
        <v>0.68</v>
      </c>
      <c r="B10">
        <f>46.94145797</f>
        <v>46.941457970000002</v>
      </c>
      <c r="C10">
        <f>45.16239764</f>
        <v>45.162397640000002</v>
      </c>
      <c r="D10">
        <f>14.13114405</f>
        <v>14.13114405</v>
      </c>
      <c r="E10">
        <f>59.29354169</f>
        <v>59.293541689999998</v>
      </c>
      <c r="F10">
        <f>45.4063417</f>
        <v>45.406341699999999</v>
      </c>
      <c r="G10">
        <f>43.68546159</f>
        <v>43.685461590000003</v>
      </c>
      <c r="H10">
        <f>1.983662502</f>
        <v>1.983662502</v>
      </c>
      <c r="I10">
        <f>45.66912409</f>
        <v>45.669124089999997</v>
      </c>
      <c r="J10">
        <f>134.93731</f>
        <v>134.93731</v>
      </c>
      <c r="K10">
        <f>8.7694883</f>
        <v>8.7694883000000008</v>
      </c>
      <c r="L10">
        <f>6508.3574</f>
        <v>6508.3573999999999</v>
      </c>
    </row>
    <row r="11" spans="1:12" x14ac:dyDescent="0.25">
      <c r="A11">
        <f>0.69</f>
        <v>0.69</v>
      </c>
      <c r="B11">
        <f>47.63177353</f>
        <v>47.631773529999997</v>
      </c>
      <c r="C11">
        <f>45.90079249</f>
        <v>45.900792490000001</v>
      </c>
      <c r="D11">
        <f>13.96549344</f>
        <v>13.965493439999999</v>
      </c>
      <c r="E11">
        <f>59.86628593</f>
        <v>59.866285929999997</v>
      </c>
      <c r="F11">
        <f>46.07408202</f>
        <v>46.074082019999999</v>
      </c>
      <c r="G11">
        <f>44.39970888</f>
        <v>44.399708879999999</v>
      </c>
      <c r="H11">
        <f>1.988266526</f>
        <v>1.9882665260000001</v>
      </c>
      <c r="I11">
        <f>46.3879754</f>
        <v>46.387975400000002</v>
      </c>
      <c r="J11">
        <f>131.98254</f>
        <v>131.98254</v>
      </c>
      <c r="K11">
        <f>9.0151195</f>
        <v>9.0151195000000008</v>
      </c>
      <c r="L11">
        <f>6273.5832</f>
        <v>6273.5832</v>
      </c>
    </row>
    <row r="12" spans="1:12" x14ac:dyDescent="0.25">
      <c r="A12">
        <f>0.7</f>
        <v>0.7</v>
      </c>
      <c r="B12">
        <f>48.32208909</f>
        <v>48.322089089999999</v>
      </c>
      <c r="C12">
        <f>46.63928783</f>
        <v>46.639287830000001</v>
      </c>
      <c r="D12">
        <f>13.79950395</f>
        <v>13.79950395</v>
      </c>
      <c r="E12">
        <f>60.43879178</f>
        <v>60.438791780000003</v>
      </c>
      <c r="F12">
        <f>46.74182234</f>
        <v>46.741822339999999</v>
      </c>
      <c r="G12">
        <f>45.11405336</f>
        <v>45.11405336</v>
      </c>
      <c r="H12">
        <f>1.993106512</f>
        <v>1.993106512</v>
      </c>
      <c r="I12">
        <f>47.10715988</f>
        <v>47.107159879999998</v>
      </c>
      <c r="J12">
        <f>128.8788</f>
        <v>128.87880000000001</v>
      </c>
      <c r="K12">
        <f>9.275466</f>
        <v>9.2754659999999998</v>
      </c>
      <c r="L12">
        <f>6038.5369</f>
        <v>6038.5369000000001</v>
      </c>
    </row>
    <row r="13" spans="1:12" x14ac:dyDescent="0.25">
      <c r="A13">
        <f>0.71</f>
        <v>0.71</v>
      </c>
      <c r="B13">
        <f>49.01240465</f>
        <v>49.012404650000001</v>
      </c>
      <c r="C13">
        <f>47.37789629</f>
        <v>47.377896290000002</v>
      </c>
      <c r="D13">
        <f>13.63313277</f>
        <v>13.63313277</v>
      </c>
      <c r="E13">
        <f>61.01102905</f>
        <v>61.011029049999998</v>
      </c>
      <c r="F13">
        <f>47.40956266</f>
        <v>47.409562659999999</v>
      </c>
      <c r="G13">
        <f>45.82850727</f>
        <v>45.828507270000003</v>
      </c>
      <c r="H13">
        <f>1.998203591</f>
        <v>1.998203591</v>
      </c>
      <c r="I13">
        <f>47.82671086</f>
        <v>47.826710859999999</v>
      </c>
      <c r="J13">
        <f>125.62511</f>
        <v>125.62511000000001</v>
      </c>
      <c r="K13">
        <f>9.5519636</f>
        <v>9.5519636000000006</v>
      </c>
      <c r="L13">
        <f>5803.1844</f>
        <v>5803.1844000000001</v>
      </c>
    </row>
    <row r="14" spans="1:12" x14ac:dyDescent="0.25">
      <c r="A14">
        <f>0.72</f>
        <v>0.72</v>
      </c>
      <c r="B14">
        <f>49.70272021</f>
        <v>49.702720210000003</v>
      </c>
      <c r="C14">
        <f>48.11663273</f>
        <v>48.116632729999999</v>
      </c>
      <c r="D14">
        <f>13.46632941</f>
        <v>13.46632941</v>
      </c>
      <c r="E14">
        <f>61.58296214</f>
        <v>61.582962139999999</v>
      </c>
      <c r="F14">
        <f>48.07730298</f>
        <v>48.077302979999999</v>
      </c>
      <c r="G14">
        <f>46.54308497</f>
        <v>46.543084970000002</v>
      </c>
      <c r="H14">
        <f>2.003581718</f>
        <v>2.003581718</v>
      </c>
      <c r="I14">
        <f>48.54666669</f>
        <v>48.546666690000002</v>
      </c>
      <c r="J14">
        <f>122.2203</f>
        <v>122.22029999999999</v>
      </c>
      <c r="K14">
        <f>9.846254</f>
        <v>9.8462540000000001</v>
      </c>
      <c r="L14">
        <f>5567.4857</f>
        <v>5567.4857000000002</v>
      </c>
    </row>
    <row r="15" spans="1:12" x14ac:dyDescent="0.25">
      <c r="A15">
        <f>0.73</f>
        <v>0.73</v>
      </c>
      <c r="B15">
        <f>50.39303577</f>
        <v>50.393035769999997</v>
      </c>
      <c r="C15">
        <f>48.85551482</f>
        <v>48.855514820000003</v>
      </c>
      <c r="D15">
        <f>13.29903392</f>
        <v>13.299033919999999</v>
      </c>
      <c r="E15">
        <f>62.15454874</f>
        <v>62.154548740000003</v>
      </c>
      <c r="F15">
        <f>48.7450433</f>
        <v>48.745043299999999</v>
      </c>
      <c r="G15">
        <f>47.25780357</f>
        <v>47.25780357</v>
      </c>
      <c r="H15">
        <f>2.009268212</f>
        <v>2.0092682119999998</v>
      </c>
      <c r="I15">
        <f>49.26707178</f>
        <v>49.267071780000002</v>
      </c>
      <c r="J15">
        <f>118.66299</f>
        <v>118.66298999999999</v>
      </c>
      <c r="K15">
        <f>10.160226</f>
        <v>10.160226</v>
      </c>
      <c r="L15">
        <f>5331.3933</f>
        <v>5331.3932999999997</v>
      </c>
    </row>
    <row r="16" spans="1:12" x14ac:dyDescent="0.25">
      <c r="A16">
        <f>0.74</f>
        <v>0.74</v>
      </c>
      <c r="B16">
        <f>51.08335133</f>
        <v>51.083351329999999</v>
      </c>
      <c r="C16">
        <f>49.59456371</f>
        <v>49.594563710000003</v>
      </c>
      <c r="D16">
        <f>13.13117449</f>
        <v>13.131174489999999</v>
      </c>
      <c r="E16">
        <f>62.7257382</f>
        <v>62.725738200000002</v>
      </c>
      <c r="F16">
        <f>49.41278362</f>
        <v>49.412783619999999</v>
      </c>
      <c r="G16">
        <f>47.97268349</f>
        <v>47.972683490000001</v>
      </c>
      <c r="H16">
        <f>2.015294434</f>
        <v>2.0152944339999999</v>
      </c>
      <c r="I16">
        <f>49.98797793</f>
        <v>49.98797793</v>
      </c>
      <c r="J16">
        <f>114.95156</f>
        <v>114.95156</v>
      </c>
      <c r="K16">
        <f>10.496069</f>
        <v>10.496069</v>
      </c>
      <c r="L16">
        <f>5094.85</f>
        <v>5094.8500000000004</v>
      </c>
    </row>
    <row r="17" spans="1:12" x14ac:dyDescent="0.25">
      <c r="A17">
        <f>0.75</f>
        <v>0.75</v>
      </c>
      <c r="B17">
        <f>51.77366688</f>
        <v>51.77366688</v>
      </c>
      <c r="C17">
        <f>50.33380492</f>
        <v>50.333804919999999</v>
      </c>
      <c r="D17">
        <f>12.9626643</f>
        <v>12.9626643</v>
      </c>
      <c r="E17">
        <f>63.29646922</f>
        <v>63.296469219999999</v>
      </c>
      <c r="F17">
        <f>50.08052394</f>
        <v>50.080523939999999</v>
      </c>
      <c r="G17">
        <f>48.68774947</f>
        <v>48.68774947</v>
      </c>
      <c r="H17">
        <f>2.02169665</f>
        <v>2.02169665</v>
      </c>
      <c r="I17">
        <f>50.70944612</f>
        <v>50.709446120000003</v>
      </c>
      <c r="J17">
        <f>111.08399</f>
        <v>111.08399</v>
      </c>
      <c r="K17">
        <f>10.856337</f>
        <v>10.856337</v>
      </c>
      <c r="L17">
        <f>4857.7872</f>
        <v>4857.7871999999998</v>
      </c>
    </row>
    <row r="18" spans="1:12" x14ac:dyDescent="0.25">
      <c r="A18">
        <f>0.76</f>
        <v>0.76</v>
      </c>
      <c r="B18">
        <f>52.46398244</f>
        <v>52.463982440000002</v>
      </c>
      <c r="C18">
        <f>51.07326966</f>
        <v>51.073269660000001</v>
      </c>
      <c r="D18">
        <f>12.79339726</f>
        <v>12.793397260000001</v>
      </c>
      <c r="E18">
        <f>63.86666693</f>
        <v>63.866666930000001</v>
      </c>
      <c r="F18">
        <f>50.74826426</f>
        <v>50.748264259999999</v>
      </c>
      <c r="G18">
        <f>49.40303166</f>
        <v>49.403031660000003</v>
      </c>
      <c r="H18">
        <f>2.028517171</f>
        <v>2.0285171709999998</v>
      </c>
      <c r="I18">
        <f>51.43154883</f>
        <v>51.431548829999997</v>
      </c>
      <c r="J18">
        <f>107.05788</f>
        <v>107.05788</v>
      </c>
      <c r="K18">
        <f>11.244043</f>
        <v>11.244043</v>
      </c>
      <c r="L18">
        <f>4620.1209</f>
        <v>4620.1208999999999</v>
      </c>
    </row>
    <row r="19" spans="1:12" x14ac:dyDescent="0.25">
      <c r="A19">
        <f>0.77</f>
        <v>0.77</v>
      </c>
      <c r="B19">
        <f>53.154298</f>
        <v>53.154297999999997</v>
      </c>
      <c r="C19">
        <f>51.81299647</f>
        <v>51.812996470000002</v>
      </c>
      <c r="D19">
        <f>12.62324227</f>
        <v>12.62324227</v>
      </c>
      <c r="E19">
        <f>64.43623873</f>
        <v>64.436238729999999</v>
      </c>
      <c r="F19">
        <f>51.41600457</f>
        <v>51.416004569999998</v>
      </c>
      <c r="G19">
        <f>50.11856733</f>
        <v>50.118567329999998</v>
      </c>
      <c r="H19">
        <f>2.035805843</f>
        <v>2.0358058429999999</v>
      </c>
      <c r="I19">
        <f>52.15437317</f>
        <v>52.15437317</v>
      </c>
      <c r="J19">
        <f>102.87024</f>
        <v>102.87024</v>
      </c>
      <c r="K19">
        <f>11.662768</f>
        <v>11.662768</v>
      </c>
      <c r="L19">
        <f>4381.7471</f>
        <v>4381.7470999999996</v>
      </c>
    </row>
    <row r="20" spans="1:12" x14ac:dyDescent="0.25">
      <c r="A20">
        <f>0.78</f>
        <v>0.78</v>
      </c>
      <c r="B20">
        <f>53.84461356</f>
        <v>53.844613559999999</v>
      </c>
      <c r="C20">
        <f>52.55303357</f>
        <v>52.553033569999997</v>
      </c>
      <c r="D20">
        <f>12.45203505</f>
        <v>12.452035049999999</v>
      </c>
      <c r="E20">
        <f>65.00506862</f>
        <v>65.005068620000003</v>
      </c>
      <c r="F20">
        <f>52.08374489</f>
        <v>52.083744889999998</v>
      </c>
      <c r="G20">
        <f>50.83440316</f>
        <v>50.834403160000001</v>
      </c>
      <c r="H20">
        <f>2.043622074</f>
        <v>2.043622074</v>
      </c>
      <c r="I20">
        <f>52.87802524</f>
        <v>52.878025239999999</v>
      </c>
      <c r="J20">
        <f>98.517326</f>
        <v>98.517325999999997</v>
      </c>
      <c r="K20">
        <f>12.11683</f>
        <v>12.11683</v>
      </c>
      <c r="L20">
        <f>4142.536</f>
        <v>4142.5360000000001</v>
      </c>
    </row>
    <row r="21" spans="1:12" x14ac:dyDescent="0.25">
      <c r="A21">
        <f>0.79</f>
        <v>0.79</v>
      </c>
      <c r="B21">
        <f>54.53492912</f>
        <v>54.534929120000001</v>
      </c>
      <c r="C21">
        <f>53.29344232</f>
        <v>53.293442319999997</v>
      </c>
      <c r="D21">
        <f>12.27956665</f>
        <v>12.27956665</v>
      </c>
      <c r="E21">
        <f>65.57300897</f>
        <v>65.573008970000004</v>
      </c>
      <c r="F21">
        <f>52.75148521</f>
        <v>52.751485209999998</v>
      </c>
      <c r="G21">
        <f>51.55059848</f>
        <v>51.550598479999998</v>
      </c>
      <c r="H21">
        <f>2.052037641</f>
        <v>2.0520376410000001</v>
      </c>
      <c r="I21">
        <f>53.60263613</f>
        <v>53.60263613</v>
      </c>
      <c r="J21">
        <f>93.994392</f>
        <v>93.994392000000005</v>
      </c>
      <c r="K21">
        <f>12.611499</f>
        <v>12.611499</v>
      </c>
      <c r="L21">
        <f>3902.3222</f>
        <v>3902.3222000000001</v>
      </c>
    </row>
    <row r="22" spans="1:12" x14ac:dyDescent="0.25">
      <c r="A22">
        <f>0.8</f>
        <v>0.8</v>
      </c>
      <c r="B22">
        <f>55.22524468</f>
        <v>55.225244680000003</v>
      </c>
      <c r="C22">
        <f>54.03430126</f>
        <v>54.034301259999999</v>
      </c>
      <c r="D22">
        <f>12.10556934</f>
        <v>12.105569340000001</v>
      </c>
      <c r="E22">
        <f>66.1398706</f>
        <v>66.139870599999995</v>
      </c>
      <c r="F22">
        <f>53.41922553</f>
        <v>53.419225529999999</v>
      </c>
      <c r="G22">
        <f>52.26722928</f>
        <v>52.267229280000002</v>
      </c>
      <c r="H22">
        <f>2.061140536</f>
        <v>2.0611405359999999</v>
      </c>
      <c r="I22">
        <f>54.32836982</f>
        <v>54.328369819999999</v>
      </c>
      <c r="J22">
        <f>89.296523</f>
        <v>89.296522999999993</v>
      </c>
      <c r="K22">
        <f>13.153307</f>
        <v>13.153307</v>
      </c>
      <c r="L22">
        <f>3660.9419</f>
        <v>3660.9418999999998</v>
      </c>
    </row>
    <row r="23" spans="1:12" x14ac:dyDescent="0.25">
      <c r="A23">
        <f>0.81</f>
        <v>0.81</v>
      </c>
      <c r="B23">
        <f>55.91556023</f>
        <v>55.915560229999997</v>
      </c>
      <c r="C23">
        <f>54.77571675</f>
        <v>54.775716750000001</v>
      </c>
      <c r="D23">
        <f>11.92968037</f>
        <v>11.92968037</v>
      </c>
      <c r="E23">
        <f>66.70539711</f>
        <v>66.705397110000007</v>
      </c>
      <c r="F23">
        <f>54.08696585</f>
        <v>54.086965849999999</v>
      </c>
      <c r="G23">
        <f>52.98439842</f>
        <v>52.984398419999998</v>
      </c>
      <c r="H23">
        <f>2.071041422</f>
        <v>2.071041422</v>
      </c>
      <c r="I23">
        <f>55.05543984</f>
        <v>55.055439839999998</v>
      </c>
      <c r="J23">
        <f>84.413311</f>
        <v>84.413310999999993</v>
      </c>
      <c r="K23">
        <f>13.750556</f>
        <v>13.750556</v>
      </c>
      <c r="L23">
        <f>3418.0168</f>
        <v>3418.0167999999999</v>
      </c>
    </row>
    <row r="24" spans="1:12" x14ac:dyDescent="0.25">
      <c r="A24">
        <f>0.82</f>
        <v>0.82</v>
      </c>
      <c r="B24">
        <f>56.60587579</f>
        <v>56.605875789999999</v>
      </c>
      <c r="C24">
        <f>55.51783022</f>
        <v>55.51783022</v>
      </c>
      <c r="D24">
        <f>11.75141745</f>
        <v>11.75141745</v>
      </c>
      <c r="E24">
        <f>67.26924767</f>
        <v>67.269247669999999</v>
      </c>
      <c r="F24">
        <f>54.75470617</f>
        <v>54.754706169999999</v>
      </c>
      <c r="G24">
        <f>53.70224272</f>
        <v>53.702242720000001</v>
      </c>
      <c r="H24">
        <f>2.081881984</f>
        <v>2.0818819839999998</v>
      </c>
      <c r="I24">
        <f>55.7841247</f>
        <v>55.7841247</v>
      </c>
      <c r="J24">
        <f>79.334948</f>
        <v>79.334947999999997</v>
      </c>
      <c r="K24">
        <f>14.413988</f>
        <v>14.413988</v>
      </c>
      <c r="L24">
        <f>3173.2111</f>
        <v>3173.2111</v>
      </c>
    </row>
    <row r="25" spans="1:12" x14ac:dyDescent="0.25">
      <c r="A25">
        <f>0.83</f>
        <v>0.83</v>
      </c>
      <c r="B25">
        <f>57.29619135</f>
        <v>57.296191350000001</v>
      </c>
      <c r="C25">
        <f>56.26084026</f>
        <v>56.260840260000002</v>
      </c>
      <c r="D25">
        <f>11.57010224</f>
        <v>11.570102240000001</v>
      </c>
      <c r="E25">
        <f>67.8309425</f>
        <v>67.830942500000006</v>
      </c>
      <c r="F25">
        <f>55.42244649</f>
        <v>55.422446489999999</v>
      </c>
      <c r="G25">
        <f>54.42095426</f>
        <v>54.420954260000002</v>
      </c>
      <c r="H25">
        <f>2.093849615</f>
        <v>2.0938496149999999</v>
      </c>
      <c r="I25">
        <f>56.51480388</f>
        <v>56.514803880000002</v>
      </c>
      <c r="J25">
        <f>74.046195</f>
        <v>74.046194999999997</v>
      </c>
      <c r="K25">
        <f>15.157983</f>
        <v>15.157983</v>
      </c>
      <c r="L25">
        <f>2925.9906</f>
        <v>2925.9906000000001</v>
      </c>
    </row>
    <row r="26" spans="1:12" x14ac:dyDescent="0.25">
      <c r="A26">
        <f>0.84</f>
        <v>0.84</v>
      </c>
      <c r="B26">
        <f>57.98650691</f>
        <v>57.986506910000003</v>
      </c>
      <c r="C26">
        <f>57.00503517</f>
        <v>57.005035169999999</v>
      </c>
      <c r="D26">
        <f>11.38475022</f>
        <v>11.384750220000001</v>
      </c>
      <c r="E26">
        <f>68.38978539</f>
        <v>68.38978539</v>
      </c>
      <c r="F26">
        <f>56.09018681</f>
        <v>56.090186809999999</v>
      </c>
      <c r="G26">
        <f>55.14081193</f>
        <v>55.140811929999998</v>
      </c>
      <c r="H26">
        <f>2.107202526</f>
        <v>2.107202526</v>
      </c>
      <c r="I26">
        <f>57.24801446</f>
        <v>57.24801446</v>
      </c>
      <c r="J26">
        <f>68.524993</f>
        <v>68.524992999999995</v>
      </c>
      <c r="K26">
        <f>16.002547</f>
        <v>16.002547</v>
      </c>
      <c r="L26">
        <f>2675.5803</f>
        <v>2675.5803000000001</v>
      </c>
    </row>
    <row r="27" spans="1:12" x14ac:dyDescent="0.25">
      <c r="A27">
        <f>0.85</f>
        <v>0.85</v>
      </c>
      <c r="B27">
        <f>58.67682247</f>
        <v>58.676822469999998</v>
      </c>
      <c r="C27">
        <f>57.75085495</f>
        <v>57.750854949999997</v>
      </c>
      <c r="D27">
        <f>11.19385801</f>
        <v>11.19385801</v>
      </c>
      <c r="E27">
        <f>68.94471296</f>
        <v>68.944712960000004</v>
      </c>
      <c r="F27">
        <f>56.75792713</f>
        <v>56.757927129999999</v>
      </c>
      <c r="G27">
        <f>55.86224132</f>
        <v>55.862241320000003</v>
      </c>
      <c r="H27">
        <f>2.122315086</f>
        <v>2.122315086</v>
      </c>
      <c r="I27">
        <f>57.98455641</f>
        <v>57.984556410000003</v>
      </c>
      <c r="J27">
        <f>62.737817</f>
        <v>62.737817</v>
      </c>
      <c r="K27">
        <f>16.976988</f>
        <v>16.976987999999999</v>
      </c>
      <c r="L27">
        <f>2420.7991</f>
        <v>2420.7991000000002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41.97118595</f>
        <v>41.971185949999999</v>
      </c>
      <c r="C2">
        <f>39.76538676</f>
        <v>39.765386759999998</v>
      </c>
      <c r="D2">
        <f>14.33350351</f>
        <v>14.33350351</v>
      </c>
      <c r="E2">
        <f>54.09889027</f>
        <v>54.098890269999998</v>
      </c>
      <c r="F2">
        <f>40.5986114</f>
        <v>40.598611400000003</v>
      </c>
      <c r="G2">
        <f>38.46494798</f>
        <v>38.464947979999998</v>
      </c>
      <c r="H2">
        <f>1.612470538</f>
        <v>1.612470538</v>
      </c>
      <c r="I2">
        <f>40.07741851</f>
        <v>40.077418510000001</v>
      </c>
      <c r="J2">
        <f>152.93149</f>
        <v>152.93149</v>
      </c>
      <c r="K2">
        <f>7.1558837</f>
        <v>7.1558837000000004</v>
      </c>
      <c r="L2">
        <f>8359.7624</f>
        <v>8359.7623999999996</v>
      </c>
    </row>
    <row r="3" spans="1:12" x14ac:dyDescent="0.25">
      <c r="A3">
        <f>0.61</f>
        <v>0.61</v>
      </c>
      <c r="B3">
        <f>42.67070572</f>
        <v>42.670705720000001</v>
      </c>
      <c r="C3">
        <f>40.51310858</f>
        <v>40.513108580000001</v>
      </c>
      <c r="D3">
        <f>14.16738423</f>
        <v>14.16738423</v>
      </c>
      <c r="E3">
        <f>54.68049281</f>
        <v>54.680492809999997</v>
      </c>
      <c r="F3">
        <f>41.27525493</f>
        <v>41.275254930000003</v>
      </c>
      <c r="G3">
        <f>39.18821721</f>
        <v>39.188217209999998</v>
      </c>
      <c r="H3">
        <f>1.614808323</f>
        <v>1.6148083230000001</v>
      </c>
      <c r="I3">
        <f>40.80302554</f>
        <v>40.80302554</v>
      </c>
      <c r="J3">
        <f>151.13862</f>
        <v>151.13862</v>
      </c>
      <c r="K3">
        <f>7.3168293</f>
        <v>7.3168293000000002</v>
      </c>
      <c r="L3">
        <f>8126.3197</f>
        <v>8126.3197</v>
      </c>
    </row>
    <row r="4" spans="1:12" x14ac:dyDescent="0.25">
      <c r="A4">
        <f>0.62</f>
        <v>0.62</v>
      </c>
      <c r="B4">
        <f>43.37022549</f>
        <v>43.370225490000003</v>
      </c>
      <c r="C4">
        <f>41.26087639</f>
        <v>41.26087639</v>
      </c>
      <c r="D4">
        <f>14.00111031</f>
        <v>14.00111031</v>
      </c>
      <c r="E4">
        <f>55.2619867</f>
        <v>55.261986700000001</v>
      </c>
      <c r="F4">
        <f>41.95189845</f>
        <v>41.951898450000002</v>
      </c>
      <c r="G4">
        <f>39.91153094</f>
        <v>39.911530939999999</v>
      </c>
      <c r="H4">
        <f>1.617236117</f>
        <v>1.617236117</v>
      </c>
      <c r="I4">
        <f>41.52876705</f>
        <v>41.528767049999999</v>
      </c>
      <c r="J4">
        <f>149.20101</f>
        <v>149.20101</v>
      </c>
      <c r="K4">
        <f>7.4853456</f>
        <v>7.4853455999999996</v>
      </c>
      <c r="L4">
        <f>7892.7502</f>
        <v>7892.7502000000004</v>
      </c>
    </row>
    <row r="5" spans="1:12" x14ac:dyDescent="0.25">
      <c r="A5">
        <f>0.63</f>
        <v>0.63</v>
      </c>
      <c r="B5">
        <f>44.06974525</f>
        <v>44.069745249999997</v>
      </c>
      <c r="C5">
        <f>42.00869448</f>
        <v>42.008694480000003</v>
      </c>
      <c r="D5">
        <f>13.83466724</f>
        <v>13.83466724</v>
      </c>
      <c r="E5">
        <f>55.84336172</f>
        <v>55.843361719999997</v>
      </c>
      <c r="F5">
        <f>42.62854197</f>
        <v>42.628541970000001</v>
      </c>
      <c r="G5">
        <f>40.6348933</f>
        <v>40.634893300000002</v>
      </c>
      <c r="H5">
        <f>1.619760176</f>
        <v>1.619760176</v>
      </c>
      <c r="I5">
        <f>42.25465348</f>
        <v>42.254653480000002</v>
      </c>
      <c r="J5">
        <f>147.11831</f>
        <v>147.11831000000001</v>
      </c>
      <c r="K5">
        <f>7.6619954</f>
        <v>7.6619954000000003</v>
      </c>
      <c r="L5">
        <f>7659.0422</f>
        <v>7659.0421999999999</v>
      </c>
    </row>
    <row r="6" spans="1:12" x14ac:dyDescent="0.25">
      <c r="A6">
        <f>0.64</f>
        <v>0.64</v>
      </c>
      <c r="B6">
        <f>44.76926502</f>
        <v>44.769265019999999</v>
      </c>
      <c r="C6">
        <f>42.75656772</f>
        <v>42.75656772</v>
      </c>
      <c r="D6">
        <f>13.6680386</f>
        <v>13.668038599999999</v>
      </c>
      <c r="E6">
        <f>56.42460632</f>
        <v>56.424606320000002</v>
      </c>
      <c r="F6">
        <f>43.3051855</f>
        <v>43.3051855</v>
      </c>
      <c r="G6">
        <f>41.358309</f>
        <v>41.358308999999998</v>
      </c>
      <c r="H6">
        <f>1.622387376</f>
        <v>1.622387376</v>
      </c>
      <c r="I6">
        <f>42.98069637</f>
        <v>42.980696369999997</v>
      </c>
      <c r="J6">
        <f>144.89014</f>
        <v>144.89014</v>
      </c>
      <c r="K6">
        <f>7.847401</f>
        <v>7.8474009999999996</v>
      </c>
      <c r="L6">
        <f>7425.1823</f>
        <v>7425.1823000000004</v>
      </c>
    </row>
    <row r="7" spans="1:12" x14ac:dyDescent="0.25">
      <c r="A7">
        <f>0.65</f>
        <v>0.65</v>
      </c>
      <c r="B7">
        <f>45.46878478</f>
        <v>45.46878478</v>
      </c>
      <c r="C7">
        <f>43.50450159</f>
        <v>43.504501589999997</v>
      </c>
      <c r="D7">
        <f>13.50120578</f>
        <v>13.501205779999999</v>
      </c>
      <c r="E7">
        <f>57.00570737</f>
        <v>57.005707370000003</v>
      </c>
      <c r="F7">
        <f>43.98182902</f>
        <v>43.981829019999999</v>
      </c>
      <c r="G7">
        <f>42.08178335</f>
        <v>42.081783350000002</v>
      </c>
      <c r="H7">
        <f>1.625125296</f>
        <v>1.625125296</v>
      </c>
      <c r="I7">
        <f>43.70690865</f>
        <v>43.706908650000003</v>
      </c>
      <c r="J7">
        <f>142.51604</f>
        <v>142.51604</v>
      </c>
      <c r="K7">
        <f>8.042252</f>
        <v>8.0422519999999995</v>
      </c>
      <c r="L7">
        <f>7191.1555</f>
        <v>7191.1554999999998</v>
      </c>
    </row>
    <row r="8" spans="1:12" x14ac:dyDescent="0.25">
      <c r="A8">
        <f>0.66</f>
        <v>0.66</v>
      </c>
      <c r="B8">
        <f>46.16830455</f>
        <v>46.168304550000002</v>
      </c>
      <c r="C8">
        <f>44.25250237</f>
        <v>44.252502370000002</v>
      </c>
      <c r="D8">
        <f>13.33414753</f>
        <v>13.334147529999999</v>
      </c>
      <c r="E8">
        <f>57.5866499</f>
        <v>57.586649899999998</v>
      </c>
      <c r="F8">
        <f>44.65847254</f>
        <v>44.658472539999998</v>
      </c>
      <c r="G8">
        <f>42.80532242</f>
        <v>42.805322420000003</v>
      </c>
      <c r="H8">
        <f>1.627982315</f>
        <v>1.6279823149999999</v>
      </c>
      <c r="I8">
        <f>44.43330474</f>
        <v>44.433304739999997</v>
      </c>
      <c r="J8">
        <f>139.99554</f>
        <v>139.99554000000001</v>
      </c>
      <c r="K8">
        <f>8.247316</f>
        <v>8.2473159999999996</v>
      </c>
      <c r="L8">
        <f>6956.9445</f>
        <v>6956.9444999999996</v>
      </c>
    </row>
    <row r="9" spans="1:12" x14ac:dyDescent="0.25">
      <c r="A9">
        <f>0.67</f>
        <v>0.67</v>
      </c>
      <c r="B9">
        <f>46.86782431</f>
        <v>46.867824310000003</v>
      </c>
      <c r="C9">
        <f>45.00057723</f>
        <v>45.000577229999998</v>
      </c>
      <c r="D9">
        <f>13.16683954</f>
        <v>13.16683954</v>
      </c>
      <c r="E9">
        <f>58.16741677</f>
        <v>58.167416770000003</v>
      </c>
      <c r="F9">
        <f>45.33511607</f>
        <v>45.335116069999998</v>
      </c>
      <c r="G9">
        <f>43.52893316</f>
        <v>43.528933160000001</v>
      </c>
      <c r="H9">
        <f>1.63096773</f>
        <v>1.6309677300000001</v>
      </c>
      <c r="I9">
        <f>45.15990089</f>
        <v>45.159900890000003</v>
      </c>
      <c r="J9">
        <f>137.32805</f>
        <v>137.32804999999999</v>
      </c>
      <c r="K9">
        <f>8.4634496</f>
        <v>8.4634496000000006</v>
      </c>
      <c r="L9">
        <f>6722.5298</f>
        <v>6722.5298000000003</v>
      </c>
    </row>
    <row r="10" spans="1:12" x14ac:dyDescent="0.25">
      <c r="A10">
        <f>0.68</f>
        <v>0.68</v>
      </c>
      <c r="B10">
        <f>47.56734408</f>
        <v>47.567344079999998</v>
      </c>
      <c r="C10">
        <f>45.74873443</f>
        <v>45.748734429999999</v>
      </c>
      <c r="D10">
        <f>12.99925383</f>
        <v>12.999253830000001</v>
      </c>
      <c r="E10">
        <f>58.74798826</f>
        <v>58.74798826</v>
      </c>
      <c r="F10">
        <f>46.01175959</f>
        <v>46.011759589999997</v>
      </c>
      <c r="G10">
        <f>44.25262354</f>
        <v>44.252623540000002</v>
      </c>
      <c r="H10">
        <f>1.634091889</f>
        <v>1.634091889</v>
      </c>
      <c r="I10">
        <f>45.88671543</f>
        <v>45.886715430000002</v>
      </c>
      <c r="J10">
        <f>134.51293</f>
        <v>134.51293000000001</v>
      </c>
      <c r="K10">
        <f>8.6916129</f>
        <v>8.6916129000000009</v>
      </c>
      <c r="L10">
        <f>6487.8887</f>
        <v>6487.8887000000004</v>
      </c>
    </row>
    <row r="11" spans="1:12" x14ac:dyDescent="0.25">
      <c r="A11">
        <f>0.69</f>
        <v>0.69</v>
      </c>
      <c r="B11">
        <f>48.26686385</f>
        <v>48.26686385</v>
      </c>
      <c r="C11">
        <f>46.49698353</f>
        <v>46.496983530000001</v>
      </c>
      <c r="D11">
        <f>12.83135799</f>
        <v>12.831357990000001</v>
      </c>
      <c r="E11">
        <f>59.32834151</f>
        <v>59.328341510000001</v>
      </c>
      <c r="F11">
        <f>46.68840312</f>
        <v>46.688403119999997</v>
      </c>
      <c r="G11">
        <f>44.9764028</f>
        <v>44.976402800000002</v>
      </c>
      <c r="H11">
        <f>1.637366363</f>
        <v>1.6373663629999999</v>
      </c>
      <c r="I11">
        <f>46.61376917</f>
        <v>46.613769169999998</v>
      </c>
      <c r="J11">
        <f>131.54941</f>
        <v>131.54940999999999</v>
      </c>
      <c r="K11">
        <f>8.9328866</f>
        <v>8.9328865999999998</v>
      </c>
      <c r="L11">
        <f>6252.9952</f>
        <v>6252.9952000000003</v>
      </c>
    </row>
    <row r="12" spans="1:12" x14ac:dyDescent="0.25">
      <c r="A12">
        <f>0.7</f>
        <v>0.7</v>
      </c>
      <c r="B12">
        <f>48.96638361</f>
        <v>48.966383610000001</v>
      </c>
      <c r="C12">
        <f>47.24533562</f>
        <v>47.245335619999999</v>
      </c>
      <c r="D12">
        <f>12.66311433</f>
        <v>12.663114330000001</v>
      </c>
      <c r="E12">
        <f>59.90844995</f>
        <v>59.908449949999998</v>
      </c>
      <c r="F12">
        <f>47.36504664</f>
        <v>47.365046640000003</v>
      </c>
      <c r="G12">
        <f>45.70028171</f>
        <v>45.700281709999999</v>
      </c>
      <c r="H12">
        <f>1.640804138</f>
        <v>1.640804138</v>
      </c>
      <c r="I12">
        <f>47.34108584</f>
        <v>47.341085839999998</v>
      </c>
      <c r="J12">
        <f>128.43662</f>
        <v>128.43662</v>
      </c>
      <c r="K12">
        <f>9.1884925</f>
        <v>9.1884925000000006</v>
      </c>
      <c r="L12">
        <f>6017.8187</f>
        <v>6017.8186999999998</v>
      </c>
    </row>
    <row r="13" spans="1:12" x14ac:dyDescent="0.25">
      <c r="A13">
        <f>0.71</f>
        <v>0.71</v>
      </c>
      <c r="B13">
        <f>49.66590338</f>
        <v>49.665903380000003</v>
      </c>
      <c r="C13">
        <f>47.99380373</f>
        <v>47.993803730000003</v>
      </c>
      <c r="D13">
        <f>12.49447866</f>
        <v>12.49447866</v>
      </c>
      <c r="E13">
        <f>60.48828239</f>
        <v>60.488282390000002</v>
      </c>
      <c r="F13">
        <f>48.04169016</f>
        <v>48.041690160000002</v>
      </c>
      <c r="G13">
        <f>46.42427283</f>
        <v>46.42427283</v>
      </c>
      <c r="H13">
        <f>1.644419867</f>
        <v>1.6444198670000001</v>
      </c>
      <c r="I13">
        <f>48.06869269</f>
        <v>48.068692689999999</v>
      </c>
      <c r="J13">
        <f>125.17353</f>
        <v>125.17353</v>
      </c>
      <c r="K13">
        <f>9.4598192</f>
        <v>9.4598192000000001</v>
      </c>
      <c r="L13">
        <f>5782.3238</f>
        <v>5782.3238000000001</v>
      </c>
    </row>
    <row r="14" spans="1:12" x14ac:dyDescent="0.25">
      <c r="A14">
        <f>0.72</f>
        <v>0.72</v>
      </c>
      <c r="B14">
        <f>50.36542314</f>
        <v>50.365423139999997</v>
      </c>
      <c r="C14">
        <f>48.7424032</f>
        <v>48.742403199999998</v>
      </c>
      <c r="D14">
        <f>12.32539886</f>
        <v>12.32539886</v>
      </c>
      <c r="E14">
        <f>61.06780206</f>
        <v>61.067802059999998</v>
      </c>
      <c r="F14">
        <f>48.71833369</f>
        <v>48.718333690000001</v>
      </c>
      <c r="G14">
        <f>47.14839101</f>
        <v>47.148391009999997</v>
      </c>
      <c r="H14">
        <f>1.648230167</f>
        <v>1.6482301669999999</v>
      </c>
      <c r="I14">
        <f>48.79662118</f>
        <v>48.796621180000002</v>
      </c>
      <c r="J14">
        <f>121.75891</f>
        <v>121.75891</v>
      </c>
      <c r="K14">
        <f>9.7484534</f>
        <v>9.7484534000000007</v>
      </c>
      <c r="L14">
        <f>5546.4684</f>
        <v>5546.4683999999997</v>
      </c>
    </row>
    <row r="15" spans="1:12" x14ac:dyDescent="0.25">
      <c r="A15">
        <f>0.73</f>
        <v>0.73</v>
      </c>
      <c r="B15">
        <f>51.06494291</f>
        <v>51.064942909999999</v>
      </c>
      <c r="C15">
        <f>49.49115226</f>
        <v>49.49115226</v>
      </c>
      <c r="D15">
        <f>12.15581295</f>
        <v>12.15581295</v>
      </c>
      <c r="E15">
        <f>61.64696521</f>
        <v>61.646965209999998</v>
      </c>
      <c r="F15">
        <f>49.39497721</f>
        <v>49.39497721</v>
      </c>
      <c r="G15">
        <f>47.8726539</f>
        <v>47.872653900000003</v>
      </c>
      <c r="H15">
        <f>1.652253995</f>
        <v>1.6522539949999999</v>
      </c>
      <c r="I15">
        <f>49.52490789</f>
        <v>49.524907890000001</v>
      </c>
      <c r="J15">
        <f>118.19135</f>
        <v>118.19135</v>
      </c>
      <c r="K15">
        <f>10.05622</f>
        <v>10.05622</v>
      </c>
      <c r="L15">
        <f>5310.2026</f>
        <v>5310.2025999999996</v>
      </c>
    </row>
    <row r="16" spans="1:12" x14ac:dyDescent="0.25">
      <c r="A16">
        <f>0.74</f>
        <v>0.74</v>
      </c>
      <c r="B16">
        <f>51.76446268</f>
        <v>51.764462680000001</v>
      </c>
      <c r="C16">
        <f>50.24007277</f>
        <v>50.240072769999998</v>
      </c>
      <c r="D16">
        <f>11.9856466</f>
        <v>11.985646600000001</v>
      </c>
      <c r="E16">
        <f>62.22571937</f>
        <v>62.22571937</v>
      </c>
      <c r="F16">
        <f>50.07162073</f>
        <v>50.071620729999999</v>
      </c>
      <c r="G16">
        <f>48.59708262</f>
        <v>48.597082620000002</v>
      </c>
      <c r="H16">
        <f>1.656513126</f>
        <v>1.6565131259999999</v>
      </c>
      <c r="I16">
        <f>50.25359575</f>
        <v>50.253595750000002</v>
      </c>
      <c r="J16">
        <f>114.4691</f>
        <v>114.4691</v>
      </c>
      <c r="K16">
        <f>10.385232</f>
        <v>10.385232</v>
      </c>
      <c r="L16">
        <f>5073.4667</f>
        <v>5073.4666999999999</v>
      </c>
    </row>
    <row r="17" spans="1:12" x14ac:dyDescent="0.25">
      <c r="A17">
        <f>0.75</f>
        <v>0.75</v>
      </c>
      <c r="B17">
        <f>52.46398244</f>
        <v>52.463982440000002</v>
      </c>
      <c r="C17">
        <f>50.98919118</f>
        <v>50.989191179999999</v>
      </c>
      <c r="D17">
        <f>11.81480984</f>
        <v>11.814809840000001</v>
      </c>
      <c r="E17">
        <f>62.80400102</f>
        <v>62.804001020000001</v>
      </c>
      <c r="F17">
        <f>50.74826426</f>
        <v>50.748264259999999</v>
      </c>
      <c r="G17">
        <f>49.32170277</f>
        <v>49.321702770000002</v>
      </c>
      <c r="H17">
        <f>1.661032762</f>
        <v>1.6610327620000001</v>
      </c>
      <c r="I17">
        <f>50.98273553</f>
        <v>50.982735529999999</v>
      </c>
      <c r="J17">
        <f>110.59009</f>
        <v>110.59009</v>
      </c>
      <c r="K17">
        <f>10.737956</f>
        <v>10.737956000000001</v>
      </c>
      <c r="L17">
        <f>4836.1883</f>
        <v>4836.1882999999998</v>
      </c>
    </row>
    <row r="18" spans="1:12" x14ac:dyDescent="0.25">
      <c r="A18">
        <f>0.76</f>
        <v>0.76</v>
      </c>
      <c r="B18">
        <f>53.16350221</f>
        <v>53.163502209999997</v>
      </c>
      <c r="C18">
        <f>51.73853981</f>
        <v>51.738539809999999</v>
      </c>
      <c r="D18">
        <f>11.64319257</f>
        <v>11.64319257</v>
      </c>
      <c r="E18">
        <f>63.38173238</f>
        <v>63.381732380000003</v>
      </c>
      <c r="F18">
        <f>51.42490778</f>
        <v>51.424907779999998</v>
      </c>
      <c r="G18">
        <f>50.04654561</f>
        <v>50.046545610000003</v>
      </c>
      <c r="H18">
        <f>1.665842327</f>
        <v>1.665842327</v>
      </c>
      <c r="I18">
        <f>51.71238794</f>
        <v>51.712387939999999</v>
      </c>
      <c r="J18">
        <f>106.55176</f>
        <v>106.55176</v>
      </c>
      <c r="K18">
        <f>11.117296</f>
        <v>11.117296</v>
      </c>
      <c r="L18">
        <f>4598.279</f>
        <v>4598.2790000000005</v>
      </c>
    </row>
    <row r="19" spans="1:12" x14ac:dyDescent="0.25">
      <c r="A19">
        <f>0.77</f>
        <v>0.77</v>
      </c>
      <c r="B19">
        <f>53.86302197</f>
        <v>53.863021969999998</v>
      </c>
      <c r="C19">
        <f>52.48815869</f>
        <v>52.488158689999999</v>
      </c>
      <c r="D19">
        <f>11.47065845</f>
        <v>11.47065845</v>
      </c>
      <c r="E19">
        <f>63.95881715</f>
        <v>63.958817150000002</v>
      </c>
      <c r="F19">
        <f>52.1015513</f>
        <v>52.101551299999997</v>
      </c>
      <c r="G19">
        <f>50.77164988</f>
        <v>50.771649879999998</v>
      </c>
      <c r="H19">
        <f>1.670976521</f>
        <v>1.670976521</v>
      </c>
      <c r="I19">
        <f>52.4426264</f>
        <v>52.442626400000002</v>
      </c>
      <c r="J19">
        <f>102.35098</f>
        <v>102.35098000000001</v>
      </c>
      <c r="K19">
        <f>11.52671</f>
        <v>11.52671</v>
      </c>
      <c r="L19">
        <f>4359.6292</f>
        <v>4359.6292000000003</v>
      </c>
    </row>
    <row r="20" spans="1:12" x14ac:dyDescent="0.25">
      <c r="A20">
        <f>0.78</f>
        <v>0.78</v>
      </c>
      <c r="B20">
        <f>54.56254174</f>
        <v>54.56254174</v>
      </c>
      <c r="C20">
        <f>53.23809804</f>
        <v>53.238098039999997</v>
      </c>
      <c r="D20">
        <f>11.29703636</f>
        <v>11.29703636</v>
      </c>
      <c r="E20">
        <f>64.53513441</f>
        <v>64.535134409999998</v>
      </c>
      <c r="F20">
        <f>52.77819483</f>
        <v>52.778194829999997</v>
      </c>
      <c r="G20">
        <f>51.49706412</f>
        <v>51.497064119999997</v>
      </c>
      <c r="H20">
        <f>1.676476755</f>
        <v>1.6764767549999999</v>
      </c>
      <c r="I20">
        <f>53.17354088</f>
        <v>53.173540879999997</v>
      </c>
      <c r="J20">
        <f>97.983791</f>
        <v>97.983790999999997</v>
      </c>
      <c r="K20">
        <f>11.970358</f>
        <v>11.970357999999999</v>
      </c>
      <c r="L20">
        <f>4120.1014</f>
        <v>4120.1013999999996</v>
      </c>
    </row>
    <row r="21" spans="1:12" x14ac:dyDescent="0.25">
      <c r="A21">
        <f>0.79</f>
        <v>0.79</v>
      </c>
      <c r="B21">
        <f>55.26206151</f>
        <v>55.262061510000002</v>
      </c>
      <c r="C21">
        <f>53.98842108</f>
        <v>53.988421080000002</v>
      </c>
      <c r="D21">
        <f>11.12211073</f>
        <v>11.122110729999999</v>
      </c>
      <c r="E21">
        <f>65.11053181</f>
        <v>65.110531809999998</v>
      </c>
      <c r="F21">
        <f>53.45483835</f>
        <v>53.454838350000003</v>
      </c>
      <c r="G21">
        <f>52.22284951</f>
        <v>52.222849510000003</v>
      </c>
      <c r="H21">
        <f>1.682393046</f>
        <v>1.6823930460000001</v>
      </c>
      <c r="I21">
        <f>53.90524256</f>
        <v>53.905242559999998</v>
      </c>
      <c r="J21">
        <f>93.446418</f>
        <v>93.446417999999994</v>
      </c>
      <c r="K21">
        <f>12.453319</f>
        <v>12.453319</v>
      </c>
      <c r="L21">
        <f>3879.5722</f>
        <v>3879.5722000000001</v>
      </c>
    </row>
    <row r="22" spans="1:12" x14ac:dyDescent="0.25">
      <c r="A22">
        <f>0.8</f>
        <v>0.8</v>
      </c>
      <c r="B22">
        <f>55.96158127</f>
        <v>55.961581270000003</v>
      </c>
      <c r="C22">
        <f>54.73921222</f>
        <v>54.739212219999999</v>
      </c>
      <c r="D22">
        <f>10.94559348</f>
        <v>10.945593479999999</v>
      </c>
      <c r="E22">
        <f>65.6848057</f>
        <v>65.684805699999998</v>
      </c>
      <c r="F22">
        <f>54.13148187</f>
        <v>54.131481870000002</v>
      </c>
      <c r="G22">
        <f>52.94908769</f>
        <v>52.949087689999999</v>
      </c>
      <c r="H22">
        <f>1.688787216</f>
        <v>1.6887872159999999</v>
      </c>
      <c r="I22">
        <f>54.63787491</f>
        <v>54.637874910000001</v>
      </c>
      <c r="J22">
        <f>88.729975</f>
        <v>88.729974999999996</v>
      </c>
      <c r="K22">
        <f>12.981918</f>
        <v>12.981918</v>
      </c>
      <c r="L22">
        <f>3637.7148</f>
        <v>3637.7148000000002</v>
      </c>
    </row>
    <row r="23" spans="1:12" x14ac:dyDescent="0.25">
      <c r="A23">
        <f>0.81</f>
        <v>0.81</v>
      </c>
      <c r="B23">
        <f>56.66110104</f>
        <v>56.661101039999998</v>
      </c>
      <c r="C23">
        <f>55.49058094</f>
        <v>55.490580940000001</v>
      </c>
      <c r="D23">
        <f>10.76711092</f>
        <v>10.76711092</v>
      </c>
      <c r="E23">
        <f>66.25769185</f>
        <v>66.25769185</v>
      </c>
      <c r="F23">
        <f>54.8081254</f>
        <v>54.808125400000002</v>
      </c>
      <c r="G23">
        <f>53.67588456</f>
        <v>53.67588456</v>
      </c>
      <c r="H23">
        <f>1.695736623</f>
        <v>1.6957366229999999</v>
      </c>
      <c r="I23">
        <f>55.37162118</f>
        <v>55.371621179999998</v>
      </c>
      <c r="J23">
        <f>83.827009</f>
        <v>83.827009000000004</v>
      </c>
      <c r="K23">
        <f>13.564153</f>
        <v>13.564152999999999</v>
      </c>
      <c r="L23">
        <f>3394.2765</f>
        <v>3394.2764999999999</v>
      </c>
    </row>
    <row r="24" spans="1:12" x14ac:dyDescent="0.25">
      <c r="A24">
        <f>0.82</f>
        <v>0.82</v>
      </c>
      <c r="B24">
        <f>57.3606208</f>
        <v>57.3606208</v>
      </c>
      <c r="C24">
        <f>56.24267709</f>
        <v>56.242677090000001</v>
      </c>
      <c r="D24">
        <f>10.58615153</f>
        <v>10.58615153</v>
      </c>
      <c r="E24">
        <f>66.82882862</f>
        <v>66.828828619999996</v>
      </c>
      <c r="F24">
        <f>55.48476892</f>
        <v>55.48476892</v>
      </c>
      <c r="G24">
        <f>54.40338507</f>
        <v>54.403385069999999</v>
      </c>
      <c r="H24">
        <f>1.703341075</f>
        <v>1.703341075</v>
      </c>
      <c r="I24">
        <f>56.10672615</f>
        <v>56.10672615</v>
      </c>
      <c r="J24">
        <f>78.725823</f>
        <v>78.725823000000005</v>
      </c>
      <c r="K24">
        <f>14.210429</f>
        <v>14.210429</v>
      </c>
      <c r="L24">
        <f>3148.8475</f>
        <v>3148.8474999999999</v>
      </c>
    </row>
    <row r="25" spans="1:12" x14ac:dyDescent="0.25">
      <c r="A25">
        <f>0.83</f>
        <v>0.83</v>
      </c>
      <c r="B25">
        <f>58.06014057</f>
        <v>58.060140570000002</v>
      </c>
      <c r="C25">
        <f>56.99571118</f>
        <v>56.995711180000001</v>
      </c>
      <c r="D25">
        <f>10.40199563</f>
        <v>10.40199563</v>
      </c>
      <c r="E25">
        <f>67.3977068</f>
        <v>67.397706799999995</v>
      </c>
      <c r="F25">
        <f>56.16141244</f>
        <v>56.161412439999999</v>
      </c>
      <c r="G25">
        <f>55.13179285</f>
        <v>55.131792849999997</v>
      </c>
      <c r="H25">
        <f>1.711733025</f>
        <v>1.711733025</v>
      </c>
      <c r="I25">
        <f>56.84352588</f>
        <v>56.843525880000001</v>
      </c>
      <c r="J25">
        <f>73.410028</f>
        <v>73.410027999999997</v>
      </c>
      <c r="K25">
        <f>14.9347</f>
        <v>14.934699999999999</v>
      </c>
      <c r="L25">
        <f>2900.852</f>
        <v>2900.8519999999999</v>
      </c>
    </row>
    <row r="26" spans="1:12" x14ac:dyDescent="0.25">
      <c r="A26">
        <f>0.84</f>
        <v>0.84</v>
      </c>
      <c r="B26">
        <f>58.75966034</f>
        <v>58.759660340000003</v>
      </c>
      <c r="C26">
        <f>57.74999101</f>
        <v>57.749991010000002</v>
      </c>
      <c r="D26">
        <f>10.21359116</f>
        <v>10.21359116</v>
      </c>
      <c r="E26">
        <f>67.96358217</f>
        <v>67.963582169999995</v>
      </c>
      <c r="F26">
        <f>56.83805597</f>
        <v>56.838055969999999</v>
      </c>
      <c r="G26">
        <f>55.86140564</f>
        <v>55.861405640000001</v>
      </c>
      <c r="H26">
        <f>1.721096136</f>
        <v>1.7210961360000001</v>
      </c>
      <c r="I26">
        <f>57.58250177</f>
        <v>57.58250177</v>
      </c>
      <c r="J26">
        <f>67.855733</f>
        <v>67.855733000000001</v>
      </c>
      <c r="K26">
        <f>15.756463</f>
        <v>15.756463</v>
      </c>
      <c r="L26">
        <f>2649.4488</f>
        <v>2649.4488000000001</v>
      </c>
    </row>
    <row r="27" spans="1:12" x14ac:dyDescent="0.25">
      <c r="A27">
        <f>0.85</f>
        <v>0.85</v>
      </c>
      <c r="B27">
        <f>59.4591801</f>
        <v>59.459180099999998</v>
      </c>
      <c r="C27">
        <f>58.50599079</f>
        <v>58.505990789999998</v>
      </c>
      <c r="D27">
        <f>10.01931642</f>
        <v>10.019316419999999</v>
      </c>
      <c r="E27">
        <f>68.52530721</f>
        <v>68.525307209999994</v>
      </c>
      <c r="F27">
        <f>57.51469949</f>
        <v>57.514699489999998</v>
      </c>
      <c r="G27">
        <f>56.59268212</f>
        <v>56.592682119999999</v>
      </c>
      <c r="H27">
        <f>1.731699</f>
        <v>1.7316990000000001</v>
      </c>
      <c r="I27">
        <f>58.32438112</f>
        <v>58.324381119999998</v>
      </c>
      <c r="J27">
        <f>62.026296</f>
        <v>62.026296000000002</v>
      </c>
      <c r="K27">
        <f>16.704475</f>
        <v>16.704474999999999</v>
      </c>
      <c r="L27">
        <f>2393.3444</f>
        <v>2393.3444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I29" sqref="I29"/>
    </sheetView>
  </sheetViews>
  <sheetFormatPr defaultRowHeight="15" x14ac:dyDescent="0.25"/>
  <cols>
    <col min="1" max="1" width="18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42.5234384</f>
        <v>42.523438400000003</v>
      </c>
      <c r="C2">
        <f>40.27296178</f>
        <v>40.272961780000003</v>
      </c>
      <c r="D2">
        <f>13.21944853</f>
        <v>13.219448529999999</v>
      </c>
      <c r="E2">
        <f>53.49241031</f>
        <v>53.492410309999997</v>
      </c>
      <c r="F2">
        <f>41.13280366</f>
        <v>41.13280366</v>
      </c>
      <c r="G2">
        <f>38.95592388</f>
        <v>38.95592388</v>
      </c>
      <c r="H2">
        <f>1.280076165</f>
        <v>1.2800761650000001</v>
      </c>
      <c r="I2">
        <f>40.23600005</f>
        <v>40.236000050000001</v>
      </c>
      <c r="J2">
        <f>152.56389</f>
        <v>152.56388999999999</v>
      </c>
      <c r="K2">
        <f>7.1051783</f>
        <v>7.1051783000000004</v>
      </c>
      <c r="L2">
        <f>8339.6684</f>
        <v>8339.6684000000005</v>
      </c>
    </row>
    <row r="3" spans="1:12" x14ac:dyDescent="0.25">
      <c r="A3">
        <f>0.61</f>
        <v>0.61</v>
      </c>
      <c r="B3">
        <f>43.23216237</f>
        <v>43.232162369999998</v>
      </c>
      <c r="C3">
        <f>41.03052611</f>
        <v>41.030526109999997</v>
      </c>
      <c r="D3">
        <f>13.05112608</f>
        <v>13.05112608</v>
      </c>
      <c r="E3">
        <f>54.08165219</f>
        <v>54.08165219</v>
      </c>
      <c r="F3">
        <f>41.81835039</f>
        <v>41.818350389999999</v>
      </c>
      <c r="G3">
        <f>39.68871375</f>
        <v>39.688713749999998</v>
      </c>
      <c r="H3">
        <f>1.281681203</f>
        <v>1.281681203</v>
      </c>
      <c r="I3">
        <f>40.97039495</f>
        <v>40.970394949999999</v>
      </c>
      <c r="J3">
        <f>150.76358</f>
        <v>150.76357999999999</v>
      </c>
      <c r="K3">
        <f>7.2638393</f>
        <v>7.2638392999999999</v>
      </c>
      <c r="L3">
        <f>8106.1546</f>
        <v>8106.1545999999998</v>
      </c>
    </row>
    <row r="4" spans="1:12" x14ac:dyDescent="0.25">
      <c r="A4">
        <f>0.62</f>
        <v>0.62</v>
      </c>
      <c r="B4">
        <f>43.94088635</f>
        <v>43.94088635</v>
      </c>
      <c r="C4">
        <f>41.78813742</f>
        <v>41.788137419999998</v>
      </c>
      <c r="D4">
        <f>12.88264543</f>
        <v>12.88264543</v>
      </c>
      <c r="E4">
        <f>54.67078285</f>
        <v>54.670782850000002</v>
      </c>
      <c r="F4">
        <f>42.50389712</f>
        <v>42.503897119999998</v>
      </c>
      <c r="G4">
        <f>40.42154907</f>
        <v>40.421549069999998</v>
      </c>
      <c r="H4">
        <f>1.283343988</f>
        <v>1.2833439879999999</v>
      </c>
      <c r="I4">
        <f>41.70489306</f>
        <v>41.704893060000003</v>
      </c>
      <c r="J4">
        <f>148.81839</f>
        <v>148.81838999999999</v>
      </c>
      <c r="K4">
        <f>7.4299114</f>
        <v>7.4299113999999999</v>
      </c>
      <c r="L4">
        <f>7872.5093</f>
        <v>7872.5092999999997</v>
      </c>
    </row>
    <row r="5" spans="1:12" x14ac:dyDescent="0.25">
      <c r="A5">
        <f>0.63</f>
        <v>0.63</v>
      </c>
      <c r="B5">
        <f>44.64961032</f>
        <v>44.649610320000001</v>
      </c>
      <c r="C5">
        <f>42.54580013</f>
        <v>42.545800130000003</v>
      </c>
      <c r="D5">
        <f>12.71399167</f>
        <v>12.71399167</v>
      </c>
      <c r="E5">
        <f>55.2597918</f>
        <v>55.259791800000002</v>
      </c>
      <c r="F5">
        <f>43.18944384</f>
        <v>43.189443840000003</v>
      </c>
      <c r="G5">
        <f>41.1544341</f>
        <v>41.154434100000003</v>
      </c>
      <c r="H5">
        <f>1.285068539</f>
        <v>1.2850685390000001</v>
      </c>
      <c r="I5">
        <f>42.43950264</f>
        <v>42.439502640000001</v>
      </c>
      <c r="J5">
        <f>146.72796</f>
        <v>146.72796</v>
      </c>
      <c r="K5">
        <f>7.6039419</f>
        <v>7.6039418999999997</v>
      </c>
      <c r="L5">
        <f>7638.7202</f>
        <v>7638.7201999999997</v>
      </c>
    </row>
    <row r="6" spans="1:12" x14ac:dyDescent="0.25">
      <c r="A6">
        <f>0.64</f>
        <v>0.64</v>
      </c>
      <c r="B6">
        <f>45.35833429</f>
        <v>45.358334290000002</v>
      </c>
      <c r="C6">
        <f>43.30351921</f>
        <v>43.303519209999997</v>
      </c>
      <c r="D6">
        <f>12.54514794</f>
        <v>12.54514794</v>
      </c>
      <c r="E6">
        <f>55.84866715</f>
        <v>55.848667149999997</v>
      </c>
      <c r="F6">
        <f>43.87499057</f>
        <v>43.874990570000001</v>
      </c>
      <c r="G6">
        <f>41.88737366</f>
        <v>41.887373660000002</v>
      </c>
      <c r="H6">
        <f>1.286859274</f>
        <v>1.286859274</v>
      </c>
      <c r="I6">
        <f>43.17423294</f>
        <v>43.174232940000003</v>
      </c>
      <c r="J6">
        <f>144.49189</f>
        <v>144.49189000000001</v>
      </c>
      <c r="K6">
        <f>7.7865357</f>
        <v>7.7865356999999999</v>
      </c>
      <c r="L6">
        <f>7404.7736</f>
        <v>7404.7736000000004</v>
      </c>
    </row>
    <row r="7" spans="1:12" x14ac:dyDescent="0.25">
      <c r="A7">
        <f>0.65</f>
        <v>0.65</v>
      </c>
      <c r="B7">
        <f>46.06705827</f>
        <v>46.067058269999997</v>
      </c>
      <c r="C7">
        <f>44.06130031</f>
        <v>44.06130031</v>
      </c>
      <c r="D7">
        <f>12.3760951</f>
        <v>12.376095100000001</v>
      </c>
      <c r="E7">
        <f>56.43739541</f>
        <v>56.437395410000001</v>
      </c>
      <c r="F7">
        <f>44.5605373</f>
        <v>44.5605373</v>
      </c>
      <c r="G7">
        <f>42.62037321</f>
        <v>42.620373209999997</v>
      </c>
      <c r="H7">
        <f>1.288721063</f>
        <v>1.2887210630000001</v>
      </c>
      <c r="I7">
        <f>43.90909427</f>
        <v>43.909094269999997</v>
      </c>
      <c r="J7">
        <f>142.10973</f>
        <v>142.10973000000001</v>
      </c>
      <c r="K7">
        <f>7.978363</f>
        <v>7.9783629999999999</v>
      </c>
      <c r="L7">
        <f>7170.6535</f>
        <v>7170.6535000000003</v>
      </c>
    </row>
    <row r="8" spans="1:12" x14ac:dyDescent="0.25">
      <c r="A8">
        <f>0.66</f>
        <v>0.66</v>
      </c>
      <c r="B8">
        <f>46.77578224</f>
        <v>46.775782239999998</v>
      </c>
      <c r="C8">
        <f>44.81914987</f>
        <v>44.819149869999997</v>
      </c>
      <c r="D8">
        <f>12.20681132</f>
        <v>12.20681132</v>
      </c>
      <c r="E8">
        <f>57.02596119</f>
        <v>57.025961189999997</v>
      </c>
      <c r="F8">
        <f>45.24608403</f>
        <v>45.246084029999999</v>
      </c>
      <c r="G8">
        <f>43.35343897</f>
        <v>43.353438969999999</v>
      </c>
      <c r="H8">
        <f>1.290659292</f>
        <v>1.290659292</v>
      </c>
      <c r="I8">
        <f>44.64409827</f>
        <v>44.644098270000001</v>
      </c>
      <c r="J8">
        <f>139.58096</f>
        <v>139.58096</v>
      </c>
      <c r="K8">
        <f>8.1801689</f>
        <v>8.1801689</v>
      </c>
      <c r="L8">
        <f>6936.3422</f>
        <v>6936.3422</v>
      </c>
    </row>
    <row r="9" spans="1:12" x14ac:dyDescent="0.25">
      <c r="A9">
        <f>0.67</f>
        <v>0.67</v>
      </c>
      <c r="B9">
        <f>47.48450621</f>
        <v>47.484506209999999</v>
      </c>
      <c r="C9">
        <f>45.57707525</f>
        <v>45.57707525</v>
      </c>
      <c r="D9">
        <f>12.03727158</f>
        <v>12.037271580000001</v>
      </c>
      <c r="E9">
        <f>57.61434683</f>
        <v>57.614346830000002</v>
      </c>
      <c r="F9">
        <f>45.93163075</f>
        <v>45.931630749999997</v>
      </c>
      <c r="G9">
        <f>44.08657809</f>
        <v>44.086578090000003</v>
      </c>
      <c r="H9">
        <f>1.292679936</f>
        <v>1.2926799360000001</v>
      </c>
      <c r="I9">
        <f>45.37925803</f>
        <v>45.379258030000003</v>
      </c>
      <c r="J9">
        <f>136.90498</f>
        <v>136.90497999999999</v>
      </c>
      <c r="K9">
        <f>8.3927851</f>
        <v>8.3927850999999993</v>
      </c>
      <c r="L9">
        <f>6701.8191</f>
        <v>6701.8190999999997</v>
      </c>
    </row>
    <row r="10" spans="1:12" x14ac:dyDescent="0.25">
      <c r="A10">
        <f>0.68</f>
        <v>0.68</v>
      </c>
      <c r="B10">
        <f>48.19323019</f>
        <v>48.193230190000001</v>
      </c>
      <c r="C10">
        <f>46.33508496</f>
        <v>46.335084960000003</v>
      </c>
      <c r="D10">
        <f>11.86744706</f>
        <v>11.86744706</v>
      </c>
      <c r="E10">
        <f>58.20253202</f>
        <v>58.20253202</v>
      </c>
      <c r="F10">
        <f>46.61717748</f>
        <v>46.617177480000002</v>
      </c>
      <c r="G10">
        <f>44.81979878</f>
        <v>44.819798779999999</v>
      </c>
      <c r="H10">
        <f>1.294789652</f>
        <v>1.294789652</v>
      </c>
      <c r="I10">
        <f>46.11458843</f>
        <v>46.114588429999998</v>
      </c>
      <c r="J10">
        <f>134.0811</f>
        <v>134.08109999999999</v>
      </c>
      <c r="K10">
        <f>8.6171427</f>
        <v>8.6171427000000005</v>
      </c>
      <c r="L10">
        <f>6467.0606</f>
        <v>6467.0605999999998</v>
      </c>
    </row>
    <row r="11" spans="1:12" x14ac:dyDescent="0.25">
      <c r="A11">
        <f>0.69</f>
        <v>0.69</v>
      </c>
      <c r="B11">
        <f>48.90195416</f>
        <v>48.901954160000003</v>
      </c>
      <c r="C11">
        <f>47.09318883</f>
        <v>47.093188830000003</v>
      </c>
      <c r="D11">
        <f>11.69730439</f>
        <v>11.697304389999999</v>
      </c>
      <c r="E11">
        <f>58.79049321</f>
        <v>58.790493210000001</v>
      </c>
      <c r="F11">
        <f>47.30272421</f>
        <v>47.302724210000001</v>
      </c>
      <c r="G11">
        <f>45.55311053</f>
        <v>45.553110529999998</v>
      </c>
      <c r="H11">
        <f>1.296995882</f>
        <v>1.296995882</v>
      </c>
      <c r="I11">
        <f>46.85010641</f>
        <v>46.850106410000002</v>
      </c>
      <c r="J11">
        <f>131.10855</f>
        <v>131.10855000000001</v>
      </c>
      <c r="K11">
        <f>8.8542895</f>
        <v>8.8542895000000001</v>
      </c>
      <c r="L11">
        <f>6232.0394</f>
        <v>6232.0393999999997</v>
      </c>
    </row>
    <row r="12" spans="1:12" x14ac:dyDescent="0.25">
      <c r="A12">
        <f>0.7</f>
        <v>0.7</v>
      </c>
      <c r="B12">
        <f>49.61067813</f>
        <v>49.610678129999997</v>
      </c>
      <c r="C12">
        <f>47.85139828</f>
        <v>47.851398279999998</v>
      </c>
      <c r="D12">
        <f>11.52680469</f>
        <v>11.526804690000001</v>
      </c>
      <c r="E12">
        <f>59.37820297</f>
        <v>59.378202969999997</v>
      </c>
      <c r="F12">
        <f>47.98827094</f>
        <v>47.98827094</v>
      </c>
      <c r="G12">
        <f>46.28652443</f>
        <v>46.28652443</v>
      </c>
      <c r="H12">
        <f>1.299306984</f>
        <v>1.299306984</v>
      </c>
      <c r="I12">
        <f>47.58583142</f>
        <v>47.585831419999998</v>
      </c>
      <c r="J12">
        <f>127.98639</f>
        <v>127.98639</v>
      </c>
      <c r="K12">
        <f>9.1054095</f>
        <v>9.1054095000000004</v>
      </c>
      <c r="L12">
        <f>5996.7236</f>
        <v>5996.7236000000003</v>
      </c>
    </row>
    <row r="13" spans="1:12" x14ac:dyDescent="0.25">
      <c r="A13">
        <f>0.71</f>
        <v>0.71</v>
      </c>
      <c r="B13">
        <f>50.31940211</f>
        <v>50.319402109999999</v>
      </c>
      <c r="C13">
        <f>48.60972675</f>
        <v>48.60972675</v>
      </c>
      <c r="D13">
        <f>11.35590236</f>
        <v>11.35590236</v>
      </c>
      <c r="E13">
        <f>59.96562911</f>
        <v>59.965629110000002</v>
      </c>
      <c r="F13">
        <f>48.67381766</f>
        <v>48.673817659999997</v>
      </c>
      <c r="G13">
        <f>47.02005345</f>
        <v>47.020053449999999</v>
      </c>
      <c r="H13">
        <f>1.301732392</f>
        <v>1.3017323919999999</v>
      </c>
      <c r="I13">
        <f>48.32178584</f>
        <v>48.321785839999997</v>
      </c>
      <c r="J13">
        <f>124.71356</f>
        <v>124.71356</v>
      </c>
      <c r="K13">
        <f>9.3718474</f>
        <v>9.3718474000000001</v>
      </c>
      <c r="L13">
        <f>5761.0758</f>
        <v>5761.0757999999996</v>
      </c>
    </row>
    <row r="14" spans="1:12" x14ac:dyDescent="0.25">
      <c r="A14">
        <f>0.72</f>
        <v>0.72</v>
      </c>
      <c r="B14">
        <f>51.02812608</f>
        <v>51.02812608</v>
      </c>
      <c r="C14">
        <f>49.36819006</f>
        <v>49.368190060000003</v>
      </c>
      <c r="D14">
        <f>11.18454356</f>
        <v>11.18454356</v>
      </c>
      <c r="E14">
        <f>60.55273363</f>
        <v>60.552733629999999</v>
      </c>
      <c r="F14">
        <f>49.35936439</f>
        <v>49.359364390000003</v>
      </c>
      <c r="G14">
        <f>47.7537129</f>
        <v>47.753712899999996</v>
      </c>
      <c r="H14">
        <f>1.304282809</f>
        <v>1.304282809</v>
      </c>
      <c r="I14">
        <f>49.05799571</f>
        <v>49.05799571</v>
      </c>
      <c r="J14">
        <f>121.28877</f>
        <v>121.28877</v>
      </c>
      <c r="K14">
        <f>9.6551392</f>
        <v>9.6551392000000007</v>
      </c>
      <c r="L14">
        <f>5525.0521</f>
        <v>5525.0520999999999</v>
      </c>
    </row>
    <row r="15" spans="1:12" x14ac:dyDescent="0.25">
      <c r="A15">
        <f>0.73</f>
        <v>0.73</v>
      </c>
      <c r="B15">
        <f>51.73685005</f>
        <v>51.736850050000001</v>
      </c>
      <c r="C15">
        <f>50.12680706</f>
        <v>50.126807059999997</v>
      </c>
      <c r="D15">
        <f>11.0126642</f>
        <v>11.0126642</v>
      </c>
      <c r="E15">
        <f>61.13947126</f>
        <v>61.139471260000001</v>
      </c>
      <c r="F15">
        <f>50.04491112</f>
        <v>50.044911120000002</v>
      </c>
      <c r="G15">
        <f>48.48752101</f>
        <v>48.487521010000002</v>
      </c>
      <c r="H15">
        <f>1.306970455</f>
        <v>1.3069704550000001</v>
      </c>
      <c r="I15">
        <f>49.79449146</f>
        <v>49.794491460000003</v>
      </c>
      <c r="J15">
        <f>117.71053</f>
        <v>117.71053000000001</v>
      </c>
      <c r="K15">
        <f>9.9570504</f>
        <v>9.9570504</v>
      </c>
      <c r="L15">
        <f>5288.6</f>
        <v>5288.6</v>
      </c>
    </row>
    <row r="16" spans="1:12" x14ac:dyDescent="0.25">
      <c r="A16">
        <f>0.74</f>
        <v>0.74</v>
      </c>
      <c r="B16">
        <f>52.44557403</f>
        <v>52.445574030000003</v>
      </c>
      <c r="C16">
        <f>50.88560034</f>
        <v>50.885600340000003</v>
      </c>
      <c r="D16">
        <f>10.84018731</f>
        <v>10.840187309999999</v>
      </c>
      <c r="E16">
        <f>61.72578765</f>
        <v>61.725787650000001</v>
      </c>
      <c r="F16">
        <f>50.73045785</f>
        <v>50.730457850000001</v>
      </c>
      <c r="G16">
        <f>49.22149964</f>
        <v>49.221499639999998</v>
      </c>
      <c r="H16">
        <f>1.309809373</f>
        <v>1.309809373</v>
      </c>
      <c r="I16">
        <f>50.53130901</f>
        <v>50.531309010000001</v>
      </c>
      <c r="J16">
        <f>113.97701</f>
        <v>113.97701000000001</v>
      </c>
      <c r="K16">
        <f>10.279625</f>
        <v>10.279624999999999</v>
      </c>
      <c r="L16">
        <f>5051.6567</f>
        <v>5051.6566999999995</v>
      </c>
    </row>
    <row r="17" spans="1:12" x14ac:dyDescent="0.25">
      <c r="A17">
        <f>0.75</f>
        <v>0.75</v>
      </c>
      <c r="B17">
        <f>53.154298</f>
        <v>53.154297999999997</v>
      </c>
      <c r="C17">
        <f>51.6445973</f>
        <v>51.644597300000001</v>
      </c>
      <c r="D17">
        <f>10.6670196</f>
        <v>10.6670196</v>
      </c>
      <c r="E17">
        <f>62.3116169</f>
        <v>62.311616899999997</v>
      </c>
      <c r="F17">
        <f>51.41600457</f>
        <v>51.416004569999998</v>
      </c>
      <c r="G17">
        <f>49.95567529</f>
        <v>49.955675290000002</v>
      </c>
      <c r="H17">
        <f>1.312815833</f>
        <v>1.3128158329999999</v>
      </c>
      <c r="I17">
        <f>51.26849112</f>
        <v>51.26849112</v>
      </c>
      <c r="J17">
        <f>110.08603</f>
        <v>110.08602999999999</v>
      </c>
      <c r="K17">
        <f>10.625247</f>
        <v>10.625247</v>
      </c>
      <c r="L17">
        <f>4814.1458</f>
        <v>4814.1458000000002</v>
      </c>
    </row>
    <row r="18" spans="1:12" x14ac:dyDescent="0.25">
      <c r="A18">
        <f>0.76</f>
        <v>0.76</v>
      </c>
      <c r="B18">
        <f>53.86302197</f>
        <v>53.863021969999998</v>
      </c>
      <c r="C18">
        <f>52.4038315</f>
        <v>52.403831500000003</v>
      </c>
      <c r="D18">
        <f>10.49304671</f>
        <v>10.49304671</v>
      </c>
      <c r="E18">
        <f>62.89687821</f>
        <v>62.896878209999997</v>
      </c>
      <c r="F18">
        <f>52.1015513</f>
        <v>52.101551299999997</v>
      </c>
      <c r="G18">
        <f>50.69008041</f>
        <v>50.69008041</v>
      </c>
      <c r="H18">
        <f>1.316008847</f>
        <v>1.316008847</v>
      </c>
      <c r="I18">
        <f>52.00608926</f>
        <v>52.006089260000003</v>
      </c>
      <c r="J18">
        <f>106.03491</f>
        <v>106.03491</v>
      </c>
      <c r="K18">
        <f>10.996724</f>
        <v>10.996724</v>
      </c>
      <c r="L18">
        <f>4575.9739</f>
        <v>4575.9739</v>
      </c>
    </row>
    <row r="19" spans="1:12" x14ac:dyDescent="0.25">
      <c r="A19">
        <f>0.77</f>
        <v>0.77</v>
      </c>
      <c r="B19">
        <f>54.57174595</f>
        <v>54.57174595</v>
      </c>
      <c r="C19">
        <f>53.16334453</f>
        <v>53.163344530000003</v>
      </c>
      <c r="D19">
        <f>10.31812681</f>
        <v>10.318126810000001</v>
      </c>
      <c r="E19">
        <f>63.48147134</f>
        <v>63.481471339999999</v>
      </c>
      <c r="F19">
        <f>52.78709803</f>
        <v>52.787098030000003</v>
      </c>
      <c r="G19">
        <f>51.42475526</f>
        <v>51.424755259999998</v>
      </c>
      <c r="H19">
        <f>1.319410864</f>
        <v>1.319410864</v>
      </c>
      <c r="I19">
        <f>52.74416612</f>
        <v>52.744166120000003</v>
      </c>
      <c r="J19">
        <f>101.82031</f>
        <v>101.82031000000001</v>
      </c>
      <c r="K19">
        <f>11.397396</f>
        <v>11.397396000000001</v>
      </c>
      <c r="L19">
        <f>4337.0252</f>
        <v>4337.0252</v>
      </c>
    </row>
    <row r="20" spans="1:12" x14ac:dyDescent="0.25">
      <c r="A20">
        <f>0.78</f>
        <v>0.78</v>
      </c>
      <c r="B20">
        <f>55.28046992</f>
        <v>55.280469920000002</v>
      </c>
      <c r="C20">
        <f>53.92318798</f>
        <v>53.923187980000002</v>
      </c>
      <c r="D20">
        <f>10.14208395</f>
        <v>10.14208395</v>
      </c>
      <c r="E20">
        <f>64.06527193</f>
        <v>64.065271929999994</v>
      </c>
      <c r="F20">
        <f>53.47264476</f>
        <v>53.472644760000001</v>
      </c>
      <c r="G20">
        <f>52.15974971</f>
        <v>52.15974971</v>
      </c>
      <c r="H20">
        <f>1.323048661</f>
        <v>1.3230486610000001</v>
      </c>
      <c r="I20">
        <f>53.48279837</f>
        <v>53.482798369999998</v>
      </c>
      <c r="J20">
        <f>97.439337</f>
        <v>97.439336999999995</v>
      </c>
      <c r="K20">
        <f>11.83128</f>
        <v>11.83128</v>
      </c>
      <c r="L20">
        <f>4097.2078</f>
        <v>4097.2078000000001</v>
      </c>
    </row>
    <row r="21" spans="1:12" x14ac:dyDescent="0.25">
      <c r="A21">
        <f>0.79</f>
        <v>0.79</v>
      </c>
      <c r="B21">
        <f>55.98919389</f>
        <v>55.989193890000003</v>
      </c>
      <c r="C21">
        <f>54.68342998</f>
        <v>54.68342998</v>
      </c>
      <c r="D21">
        <f>9.964685509</f>
        <v>9.9646855090000006</v>
      </c>
      <c r="E21">
        <f>64.64811549</f>
        <v>64.648115489999995</v>
      </c>
      <c r="F21">
        <f>54.15819149</f>
        <v>54.15819149</v>
      </c>
      <c r="G21">
        <f>52.89512969</f>
        <v>52.895129689999997</v>
      </c>
      <c r="H21">
        <f>1.326954858</f>
        <v>1.3269548579999999</v>
      </c>
      <c r="I21">
        <f>54.22208455</f>
        <v>54.222084549999998</v>
      </c>
      <c r="J21">
        <f>92.884209</f>
        <v>92.884208999999998</v>
      </c>
      <c r="K21">
        <f>12.303303</f>
        <v>12.303303</v>
      </c>
      <c r="L21">
        <f>3856.2312</f>
        <v>3856.2312000000002</v>
      </c>
    </row>
    <row r="22" spans="1:12" x14ac:dyDescent="0.25">
      <c r="A22">
        <f>0.8</f>
        <v>0.8</v>
      </c>
      <c r="B22">
        <f>56.69791787</f>
        <v>56.697917869999998</v>
      </c>
      <c r="C22">
        <f>55.44415693</f>
        <v>55.444156929999998</v>
      </c>
      <c r="D22">
        <f>9.785636511</f>
        <v>9.7856365109999999</v>
      </c>
      <c r="E22">
        <f>65.22979344</f>
        <v>65.229793439999995</v>
      </c>
      <c r="F22">
        <f>54.84373821</f>
        <v>54.843738209999998</v>
      </c>
      <c r="G22">
        <f>53.63097875</f>
        <v>53.630978749999997</v>
      </c>
      <c r="H22">
        <f>1.331169528</f>
        <v>1.331169528</v>
      </c>
      <c r="I22">
        <f>54.96214827</f>
        <v>54.96214827</v>
      </c>
      <c r="J22">
        <f>88.149193</f>
        <v>88.149192999999997</v>
      </c>
      <c r="K22">
        <f>12.819569</f>
        <v>12.819569</v>
      </c>
      <c r="L22">
        <f>3613.9041</f>
        <v>3613.9041000000002</v>
      </c>
    </row>
    <row r="23" spans="1:12" x14ac:dyDescent="0.25">
      <c r="A23">
        <f>0.81</f>
        <v>0.81</v>
      </c>
      <c r="B23">
        <f>57.40664184</f>
        <v>57.406641839999999</v>
      </c>
      <c r="C23">
        <f>56.20548461</f>
        <v>56.205484609999999</v>
      </c>
      <c r="D23">
        <f>9.604541307</f>
        <v>9.6045413069999999</v>
      </c>
      <c r="E23">
        <f>65.81002592</f>
        <v>65.810025920000001</v>
      </c>
      <c r="F23">
        <f>55.52928494</f>
        <v>55.529284939999997</v>
      </c>
      <c r="G23">
        <f>54.3674089</f>
        <v>54.367408900000001</v>
      </c>
      <c r="H23">
        <f>1.335743195</f>
        <v>1.335743195</v>
      </c>
      <c r="I23">
        <f>55.70315209</f>
        <v>55.703152090000003</v>
      </c>
      <c r="J23">
        <f>83.225084</f>
        <v>83.225083999999995</v>
      </c>
      <c r="K23">
        <f>13.387833</f>
        <v>13.387833000000001</v>
      </c>
      <c r="L23">
        <f>3369.9037</f>
        <v>3369.9036999999998</v>
      </c>
    </row>
    <row r="24" spans="1:12" x14ac:dyDescent="0.25">
      <c r="A24">
        <f>0.82</f>
        <v>0.82</v>
      </c>
      <c r="B24">
        <f>58.11536581</f>
        <v>58.11536581</v>
      </c>
      <c r="C24">
        <f>56.96757136</f>
        <v>56.967571360000001</v>
      </c>
      <c r="D24">
        <f>9.420858683</f>
        <v>9.4208586830000005</v>
      </c>
      <c r="E24">
        <f>66.38843004</f>
        <v>66.388430040000003</v>
      </c>
      <c r="F24">
        <f>56.21483167</f>
        <v>56.214831670000002</v>
      </c>
      <c r="G24">
        <f>55.10457329</f>
        <v>55.104573289999998</v>
      </c>
      <c r="H24">
        <f>1.340741171</f>
        <v>1.3407411709999999</v>
      </c>
      <c r="I24">
        <f>56.44531446</f>
        <v>56.445314459999999</v>
      </c>
      <c r="J24">
        <f>78.099317</f>
        <v>78.099316999999999</v>
      </c>
      <c r="K24">
        <f>14.018197</f>
        <v>14.018197000000001</v>
      </c>
      <c r="L24">
        <f>3123.7887</f>
        <v>3123.7887000000001</v>
      </c>
    </row>
    <row r="25" spans="1:12" x14ac:dyDescent="0.25">
      <c r="A25">
        <f>0.83</f>
        <v>0.83</v>
      </c>
      <c r="B25">
        <f>58.82408979</f>
        <v>58.824089790000002</v>
      </c>
      <c r="C25">
        <f>57.73064089</f>
        <v>57.730640889999997</v>
      </c>
      <c r="D25">
        <f>9.233824078</f>
        <v>9.2338240779999996</v>
      </c>
      <c r="E25">
        <f>66.96446497</f>
        <v>66.964464969999995</v>
      </c>
      <c r="F25">
        <f>56.9003784</f>
        <v>56.900378400000001</v>
      </c>
      <c r="G25">
        <f>55.84268832</f>
        <v>55.842688320000001</v>
      </c>
      <c r="H25">
        <f>1.346250881</f>
        <v>1.346250881</v>
      </c>
      <c r="I25">
        <f>57.18893921</f>
        <v>57.188939210000001</v>
      </c>
      <c r="J25">
        <f>72.754175</f>
        <v>72.754175000000004</v>
      </c>
      <c r="K25">
        <f>14.724254</f>
        <v>14.724254</v>
      </c>
      <c r="L25">
        <f>2874.9355</f>
        <v>2874.9355</v>
      </c>
    </row>
    <row r="26" spans="1:12" x14ac:dyDescent="0.25">
      <c r="A26">
        <f>0.84</f>
        <v>0.84</v>
      </c>
      <c r="B26">
        <f>59.53281376</f>
        <v>59.532813760000003</v>
      </c>
      <c r="C26">
        <f>58.4950229</f>
        <v>58.495022900000002</v>
      </c>
      <c r="D26">
        <f>9.042308871</f>
        <v>9.0423088709999995</v>
      </c>
      <c r="E26">
        <f>67.53733177</f>
        <v>67.537331769999994</v>
      </c>
      <c r="F26">
        <f>57.58592512</f>
        <v>57.585925119999999</v>
      </c>
      <c r="G26">
        <f>56.58207291</f>
        <v>56.582072910000001</v>
      </c>
      <c r="H26">
        <f>1.352393842</f>
        <v>1.3523938419999999</v>
      </c>
      <c r="I26">
        <f>57.93446675</f>
        <v>57.934466749999999</v>
      </c>
      <c r="J26">
        <f>67.163636</f>
        <v>67.163635999999997</v>
      </c>
      <c r="K26">
        <f>15.525093</f>
        <v>15.525093</v>
      </c>
      <c r="L26">
        <f>2622.4257</f>
        <v>2622.4256999999998</v>
      </c>
    </row>
    <row r="27" spans="1:12" x14ac:dyDescent="0.25">
      <c r="A27">
        <f>0.85</f>
        <v>0.85</v>
      </c>
      <c r="B27">
        <f>60.24153773</f>
        <v>60.241537729999997</v>
      </c>
      <c r="C27">
        <f>59.26123067</f>
        <v>59.261230670000003</v>
      </c>
      <c r="D27">
        <f>8.844556575</f>
        <v>8.8445565750000004</v>
      </c>
      <c r="E27">
        <f>68.10578725</f>
        <v>68.105787250000006</v>
      </c>
      <c r="F27">
        <f>58.27147185</f>
        <v>58.271471849999998</v>
      </c>
      <c r="G27">
        <f>57.32322356</f>
        <v>57.323223560000002</v>
      </c>
      <c r="H27">
        <f>1.359349946</f>
        <v>1.359349946</v>
      </c>
      <c r="I27">
        <f>58.6825735</f>
        <v>58.682573499999997</v>
      </c>
      <c r="J27">
        <f>61.287362</f>
        <v>61.287362000000002</v>
      </c>
      <c r="K27">
        <f>16.449093</f>
        <v>16.449093000000001</v>
      </c>
      <c r="L27">
        <f>2364.8319</f>
        <v>2364.8319000000001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K30" sqref="K30"/>
    </sheetView>
  </sheetViews>
  <sheetFormatPr defaultRowHeight="15" x14ac:dyDescent="0.25"/>
  <sheetData>
    <row r="1" spans="1:12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25">
      <c r="A2">
        <f>0.6</f>
        <v>0.6</v>
      </c>
      <c r="B2">
        <f>43.07569085</f>
        <v>43.075690850000001</v>
      </c>
      <c r="C2">
        <f>40.78054834</f>
        <v>40.780548340000003</v>
      </c>
      <c r="D2">
        <f>12.10548571</f>
        <v>12.10548571</v>
      </c>
      <c r="E2">
        <f>52.88603405</f>
        <v>52.886034049999999</v>
      </c>
      <c r="F2">
        <f>41.66699592</f>
        <v>41.666995919999998</v>
      </c>
      <c r="G2">
        <f>39.44691095</f>
        <v>39.446910950000003</v>
      </c>
      <c r="H2">
        <f>0.9559186848</f>
        <v>0.95591868479999997</v>
      </c>
      <c r="I2">
        <f>40.40282963</f>
        <v>40.402829629999999</v>
      </c>
      <c r="J2">
        <f>152.19013</f>
        <v>152.19013000000001</v>
      </c>
      <c r="K2">
        <f>7.0564952</f>
        <v>7.0564951999999996</v>
      </c>
      <c r="L2">
        <f>8319.2374</f>
        <v>8319.2374</v>
      </c>
    </row>
    <row r="3" spans="1:12" x14ac:dyDescent="0.25">
      <c r="A3">
        <f>0.61</f>
        <v>0.61</v>
      </c>
      <c r="B3">
        <f>43.79361903</f>
        <v>43.793619030000002</v>
      </c>
      <c r="C3">
        <f>41.54795539</f>
        <v>41.547955389999998</v>
      </c>
      <c r="D3">
        <f>11.93495946</f>
        <v>11.93495946</v>
      </c>
      <c r="E3">
        <f>53.48291485</f>
        <v>53.48291485</v>
      </c>
      <c r="F3">
        <f>42.36144585</f>
        <v>42.361445850000003</v>
      </c>
      <c r="G3">
        <f>40.18922166</f>
        <v>40.189221660000001</v>
      </c>
      <c r="H3">
        <f>0.9569631116</f>
        <v>0.95696311160000003</v>
      </c>
      <c r="I3">
        <f>41.14618477</f>
        <v>41.146184769999998</v>
      </c>
      <c r="J3">
        <f>150.38218</f>
        <v>150.38218000000001</v>
      </c>
      <c r="K3">
        <f>7.2129792</f>
        <v>7.2129792000000004</v>
      </c>
      <c r="L3">
        <f>8085.6479</f>
        <v>8085.6478999999999</v>
      </c>
    </row>
    <row r="4" spans="1:12" x14ac:dyDescent="0.25">
      <c r="A4">
        <f>0.62</f>
        <v>0.62</v>
      </c>
      <c r="B4">
        <f>44.51154721</f>
        <v>44.511547210000003</v>
      </c>
      <c r="C4">
        <f>42.31541046</f>
        <v>42.315410460000003</v>
      </c>
      <c r="D4">
        <f>11.76427135</f>
        <v>11.76427135</v>
      </c>
      <c r="E4">
        <f>54.07968181</f>
        <v>54.079681809999997</v>
      </c>
      <c r="F4">
        <f>43.05589578</f>
        <v>43.05589578</v>
      </c>
      <c r="G4">
        <f>40.93157881</f>
        <v>40.931578809999998</v>
      </c>
      <c r="H4">
        <f>0.9580405665</f>
        <v>0.95804056650000002</v>
      </c>
      <c r="I4">
        <f>41.88961937</f>
        <v>41.889619369999998</v>
      </c>
      <c r="J4">
        <f>148.42921</f>
        <v>148.42921000000001</v>
      </c>
      <c r="K4">
        <f>7.3767232</f>
        <v>7.3767231999999998</v>
      </c>
      <c r="L4">
        <f>7851.9218</f>
        <v>7851.9218000000001</v>
      </c>
    </row>
    <row r="5" spans="1:12" x14ac:dyDescent="0.25">
      <c r="A5">
        <f>0.63</f>
        <v>0.63</v>
      </c>
      <c r="B5">
        <f>45.22947539</f>
        <v>45.229475389999998</v>
      </c>
      <c r="C5">
        <f>43.08291805</f>
        <v>43.082918050000004</v>
      </c>
      <c r="D5">
        <f>11.59340609</f>
        <v>11.59340609</v>
      </c>
      <c r="E5">
        <f>54.67632414</f>
        <v>54.676324139999998</v>
      </c>
      <c r="F5">
        <f>43.75034571</f>
        <v>43.750345709999998</v>
      </c>
      <c r="G5">
        <f>41.67398677</f>
        <v>41.673986769999999</v>
      </c>
      <c r="H5">
        <f>0.959153353</f>
        <v>0.95915335300000004</v>
      </c>
      <c r="I5">
        <f>42.63314012</f>
        <v>42.63314012</v>
      </c>
      <c r="J5">
        <f>146.33085</f>
        <v>146.33085</v>
      </c>
      <c r="K5">
        <f>7.5482603</f>
        <v>7.5482602999999999</v>
      </c>
      <c r="L5">
        <f>7618.0463</f>
        <v>7618.0463</v>
      </c>
    </row>
    <row r="6" spans="1:12" x14ac:dyDescent="0.25">
      <c r="A6">
        <f>0.64</f>
        <v>0.64</v>
      </c>
      <c r="B6">
        <f>45.94740357</f>
        <v>45.947403569999999</v>
      </c>
      <c r="C6">
        <f>43.85048328</f>
        <v>43.850483279999999</v>
      </c>
      <c r="D6">
        <f>11.42234636</f>
        <v>11.422346360000001</v>
      </c>
      <c r="E6">
        <f>55.27282964</f>
        <v>55.272829639999998</v>
      </c>
      <c r="F6">
        <f>44.44479564</f>
        <v>44.444795640000002</v>
      </c>
      <c r="G6">
        <f>42.41645048</f>
        <v>42.416450480000002</v>
      </c>
      <c r="H6">
        <f>0.960304004</f>
        <v>0.96030400400000004</v>
      </c>
      <c r="I6">
        <f>43.37675448</f>
        <v>43.376754480000002</v>
      </c>
      <c r="J6">
        <f>144.08667</f>
        <v>144.08667</v>
      </c>
      <c r="K6">
        <f>7.728179</f>
        <v>7.7281789999999999</v>
      </c>
      <c r="L6">
        <f>7384.007</f>
        <v>7384.0069999999996</v>
      </c>
    </row>
    <row r="7" spans="1:12" x14ac:dyDescent="0.25">
      <c r="A7">
        <f>0.65</f>
        <v>0.65</v>
      </c>
      <c r="B7">
        <f>46.66533175</f>
        <v>46.66533175</v>
      </c>
      <c r="C7">
        <f>44.61811194</f>
        <v>44.618111939999999</v>
      </c>
      <c r="D7">
        <f>11.25107249</f>
        <v>11.25107249</v>
      </c>
      <c r="E7">
        <f>55.86918443</f>
        <v>55.869184429999997</v>
      </c>
      <c r="F7">
        <f>45.13924557</f>
        <v>45.13924557</v>
      </c>
      <c r="G7">
        <f>43.15897555</f>
        <v>43.158975550000001</v>
      </c>
      <c r="H7">
        <f>0.9614953128</f>
        <v>0.9614953128</v>
      </c>
      <c r="I7">
        <f>44.12047086</f>
        <v>44.120470859999998</v>
      </c>
      <c r="J7">
        <f>141.6962</f>
        <v>141.6962</v>
      </c>
      <c r="K7">
        <f>7.9171313</f>
        <v>7.9171313000000003</v>
      </c>
      <c r="L7">
        <f>7149.7875</f>
        <v>7149.7875000000004</v>
      </c>
    </row>
    <row r="8" spans="1:12" x14ac:dyDescent="0.25">
      <c r="A8">
        <f>0.66</f>
        <v>0.66</v>
      </c>
      <c r="B8">
        <f>47.38325993</f>
        <v>47.383259930000001</v>
      </c>
      <c r="C8">
        <f>45.38581065</f>
        <v>45.385810650000003</v>
      </c>
      <c r="D8">
        <f>11.07956202</f>
        <v>11.079562019999999</v>
      </c>
      <c r="E8">
        <f>56.46537267</f>
        <v>56.465372670000001</v>
      </c>
      <c r="F8">
        <f>45.83369551</f>
        <v>45.833695509999998</v>
      </c>
      <c r="G8">
        <f>43.90156837</f>
        <v>43.90156837</v>
      </c>
      <c r="H8">
        <f>0.9627303695</f>
        <v>0.96273036950000002</v>
      </c>
      <c r="I8">
        <f>44.86429874</f>
        <v>44.864298740000002</v>
      </c>
      <c r="J8">
        <f>139.15891</f>
        <v>139.15890999999999</v>
      </c>
      <c r="K8">
        <f>8.1158414</f>
        <v>8.1158414000000008</v>
      </c>
      <c r="L8">
        <f>6915.369</f>
        <v>6915.3689999999997</v>
      </c>
    </row>
    <row r="9" spans="1:12" x14ac:dyDescent="0.25">
      <c r="A9">
        <f>0.67</f>
        <v>0.67</v>
      </c>
      <c r="B9">
        <f>48.10118811</f>
        <v>48.101188110000002</v>
      </c>
      <c r="C9">
        <f>46.15358699</f>
        <v>46.153586990000001</v>
      </c>
      <c r="D9">
        <f>10.9077892</f>
        <v>10.9077892</v>
      </c>
      <c r="E9">
        <f>57.06137619</f>
        <v>57.061376189999997</v>
      </c>
      <c r="F9">
        <f>46.52814544</f>
        <v>46.528145440000003</v>
      </c>
      <c r="G9">
        <f>44.64423629</f>
        <v>44.644236290000002</v>
      </c>
      <c r="H9">
        <f>0.9640126044</f>
        <v>0.96401260440000003</v>
      </c>
      <c r="I9">
        <f>45.6082489</f>
        <v>45.6082489</v>
      </c>
      <c r="J9">
        <f>136.47417</f>
        <v>136.47416999999999</v>
      </c>
      <c r="K9">
        <f>8.3251174</f>
        <v>8.3251173999999999</v>
      </c>
      <c r="L9">
        <f>6680.73</f>
        <v>6680.73</v>
      </c>
    </row>
    <row r="10" spans="1:12" x14ac:dyDescent="0.25">
      <c r="A10">
        <f>0.68</f>
        <v>0.68</v>
      </c>
      <c r="B10">
        <f>48.81911629</f>
        <v>48.819116289999997</v>
      </c>
      <c r="C10">
        <f>46.9214497</f>
        <v>46.921449699999997</v>
      </c>
      <c r="D10">
        <f>10.73572437</f>
        <v>10.73572437</v>
      </c>
      <c r="E10">
        <f>57.65717407</f>
        <v>57.657174070000003</v>
      </c>
      <c r="F10">
        <f>47.22259537</f>
        <v>47.222595370000001</v>
      </c>
      <c r="G10">
        <f>45.38698775</f>
        <v>45.386987750000003</v>
      </c>
      <c r="H10">
        <f>0.9653458393</f>
        <v>0.96534583929999995</v>
      </c>
      <c r="I10">
        <f>46.35233359</f>
        <v>46.352333590000001</v>
      </c>
      <c r="J10">
        <f>133.64126</f>
        <v>133.64125999999999</v>
      </c>
      <c r="K10">
        <f>8.5458638</f>
        <v>8.5458637999999993</v>
      </c>
      <c r="L10">
        <f>6445.8458</f>
        <v>6445.8458000000001</v>
      </c>
    </row>
    <row r="11" spans="1:12" x14ac:dyDescent="0.25">
      <c r="A11">
        <f>0.69</f>
        <v>0.69</v>
      </c>
      <c r="B11">
        <f>49.53704447</f>
        <v>49.537044469999998</v>
      </c>
      <c r="C11">
        <f>47.68940889</f>
        <v>47.689408890000003</v>
      </c>
      <c r="D11">
        <f>10.56333312</f>
        <v>10.563333119999999</v>
      </c>
      <c r="E11">
        <f>58.25274201</f>
        <v>58.252742009999999</v>
      </c>
      <c r="F11">
        <f>47.9170453</f>
        <v>47.917045299999998</v>
      </c>
      <c r="G11">
        <f>46.12983254</f>
        <v>46.129832540000002</v>
      </c>
      <c r="H11">
        <f>0.9667343499</f>
        <v>0.96673434989999996</v>
      </c>
      <c r="I11">
        <f>47.09656689</f>
        <v>47.096566889999998</v>
      </c>
      <c r="J11">
        <f>130.65935</f>
        <v>130.65934999999999</v>
      </c>
      <c r="K11">
        <f>8.7790975</f>
        <v>8.7790975000000007</v>
      </c>
      <c r="L11">
        <f>6210.6877</f>
        <v>6210.6877000000004</v>
      </c>
    </row>
    <row r="12" spans="1:12" x14ac:dyDescent="0.25">
      <c r="A12">
        <f>0.7</f>
        <v>0.7</v>
      </c>
      <c r="B12">
        <f>50.25497265</f>
        <v>50.254972649999999</v>
      </c>
      <c r="C12">
        <f>48.45747635</f>
        <v>48.45747635</v>
      </c>
      <c r="D12">
        <f>10.39057536</f>
        <v>10.39057536</v>
      </c>
      <c r="E12">
        <f>58.84805172</f>
        <v>58.848051720000001</v>
      </c>
      <c r="F12">
        <f>48.61149523</f>
        <v>48.611495230000003</v>
      </c>
      <c r="G12">
        <f>46.87278206</f>
        <v>46.872782059999999</v>
      </c>
      <c r="H12">
        <f>0.9681829407</f>
        <v>0.96818294069999999</v>
      </c>
      <c r="I12">
        <f>47.840965</f>
        <v>47.840964999999997</v>
      </c>
      <c r="J12">
        <f>127.5275</f>
        <v>127.5275</v>
      </c>
      <c r="K12">
        <f>9.0259674</f>
        <v>9.0259674000000008</v>
      </c>
      <c r="L12">
        <f>5975.2223</f>
        <v>5975.2223000000004</v>
      </c>
    </row>
    <row r="13" spans="1:12" x14ac:dyDescent="0.25">
      <c r="A13">
        <f>0.71</f>
        <v>0.71</v>
      </c>
      <c r="B13">
        <f>50.97290084</f>
        <v>50.972900840000001</v>
      </c>
      <c r="C13">
        <f>49.22566593</f>
        <v>49.225665929999998</v>
      </c>
      <c r="D13">
        <f>10.21740403</f>
        <v>10.217404030000001</v>
      </c>
      <c r="E13">
        <f>59.44306995</f>
        <v>59.443069950000002</v>
      </c>
      <c r="F13">
        <f>49.30594517</f>
        <v>49.305945170000001</v>
      </c>
      <c r="G13">
        <f>47.6158497</f>
        <v>47.615849699999998</v>
      </c>
      <c r="H13">
        <f>0.9696970374</f>
        <v>0.96969703740000002</v>
      </c>
      <c r="I13">
        <f>48.58554674</f>
        <v>48.585546739999998</v>
      </c>
      <c r="J13">
        <f>124.24456</f>
        <v>124.24456000000001</v>
      </c>
      <c r="K13">
        <f>9.2877776</f>
        <v>9.2877776000000001</v>
      </c>
      <c r="L13">
        <f>5739.4105</f>
        <v>5739.4105</v>
      </c>
    </row>
    <row r="14" spans="1:12" x14ac:dyDescent="0.25">
      <c r="A14">
        <f>0.72</f>
        <v>0.72</v>
      </c>
      <c r="B14">
        <f>51.69082902</f>
        <v>51.690829020000002</v>
      </c>
      <c r="C14">
        <f>49.99399396</f>
        <v>49.993993959999997</v>
      </c>
      <c r="D14">
        <f>10.04376346</f>
        <v>10.043763459999999</v>
      </c>
      <c r="E14">
        <f>60.03775742</f>
        <v>60.037757419999998</v>
      </c>
      <c r="F14">
        <f>50.0003951</f>
        <v>50.000395099999999</v>
      </c>
      <c r="G14">
        <f>48.35905127</f>
        <v>48.359051270000002</v>
      </c>
      <c r="H14">
        <f>0.9712828011</f>
        <v>0.97128280109999998</v>
      </c>
      <c r="I14">
        <f>49.33033407</f>
        <v>49.330334069999999</v>
      </c>
      <c r="J14">
        <f>120.80919</f>
        <v>120.80919</v>
      </c>
      <c r="K14">
        <f>9.5660169</f>
        <v>9.5660168999999993</v>
      </c>
      <c r="L14">
        <f>5503.2059</f>
        <v>5503.2058999999999</v>
      </c>
    </row>
    <row r="15" spans="1:12" x14ac:dyDescent="0.25">
      <c r="A15">
        <f>0.73</f>
        <v>0.73</v>
      </c>
      <c r="B15">
        <f>52.4087572</f>
        <v>52.408757199999997</v>
      </c>
      <c r="C15">
        <f>50.76247992</f>
        <v>50.762479919999997</v>
      </c>
      <c r="D15">
        <f>9.86958735</f>
        <v>9.8695873499999998</v>
      </c>
      <c r="E15">
        <f>60.63206727</f>
        <v>60.63206727</v>
      </c>
      <c r="F15">
        <f>50.69484503</f>
        <v>50.694845030000003</v>
      </c>
      <c r="G15">
        <f>49.1024056</f>
        <v>49.102405599999997</v>
      </c>
      <c r="H15">
        <f>0.9729472704</f>
        <v>0.97294727039999995</v>
      </c>
      <c r="I15">
        <f>50.07535287</f>
        <v>50.075352870000003</v>
      </c>
      <c r="J15">
        <f>117.21982</f>
        <v>117.21982</v>
      </c>
      <c r="K15">
        <f>9.8623962</f>
        <v>9.8623961999999992</v>
      </c>
      <c r="L15">
        <f>5266.5532</f>
        <v>5266.5532000000003</v>
      </c>
    </row>
    <row r="16" spans="1:12" x14ac:dyDescent="0.25">
      <c r="A16">
        <f>0.74</f>
        <v>0.74</v>
      </c>
      <c r="B16">
        <f>53.12668538</f>
        <v>53.126685379999998</v>
      </c>
      <c r="C16">
        <f>51.5311472</f>
        <v>51.531147199999999</v>
      </c>
      <c r="D16">
        <f>9.694795968</f>
        <v>9.6947959679999993</v>
      </c>
      <c r="E16">
        <f>61.22594317</f>
        <v>61.225943170000001</v>
      </c>
      <c r="F16">
        <f>51.38929496</f>
        <v>51.389294960000001</v>
      </c>
      <c r="G16">
        <f>49.84593532</f>
        <v>49.845935320000002</v>
      </c>
      <c r="H16">
        <f>0.9746985435</f>
        <v>0.97469854349999996</v>
      </c>
      <c r="I16">
        <f>50.82063386</f>
        <v>50.820633860000001</v>
      </c>
      <c r="J16">
        <f>113.47454</f>
        <v>113.47454</v>
      </c>
      <c r="K16">
        <f>10.178895</f>
        <v>10.178895000000001</v>
      </c>
      <c r="L16">
        <f>5029.3862</f>
        <v>5029.3861999999999</v>
      </c>
    </row>
    <row r="17" spans="1:12" x14ac:dyDescent="0.25">
      <c r="A17">
        <f>0.75</f>
        <v>0.75</v>
      </c>
      <c r="B17">
        <f>53.84461356</f>
        <v>53.844613559999999</v>
      </c>
      <c r="C17">
        <f>52.30002421</f>
        <v>52.300024209999997</v>
      </c>
      <c r="D17">
        <f>9.519292512</f>
        <v>9.5192925119999998</v>
      </c>
      <c r="E17">
        <f>61.81931672</f>
        <v>61.819316720000003</v>
      </c>
      <c r="F17">
        <f>52.08374489</f>
        <v>52.083744889999998</v>
      </c>
      <c r="G17">
        <f>50.58966791</f>
        <v>50.589667910000003</v>
      </c>
      <c r="H17">
        <f>0.9765460109</f>
        <v>0.97654601090000004</v>
      </c>
      <c r="I17">
        <f>51.56621392</f>
        <v>51.566213920000003</v>
      </c>
      <c r="J17">
        <f>109.57103</f>
        <v>109.57102999999999</v>
      </c>
      <c r="K17">
        <f>10.517823</f>
        <v>10.517823</v>
      </c>
      <c r="L17">
        <f>4791.6241</f>
        <v>4791.6241</v>
      </c>
    </row>
    <row r="18" spans="1:12" x14ac:dyDescent="0.25">
      <c r="A18">
        <f>0.76</f>
        <v>0.76</v>
      </c>
      <c r="B18">
        <f>54.56254174</f>
        <v>54.56254174</v>
      </c>
      <c r="C18">
        <f>53.06914577</f>
        <v>53.069145769999999</v>
      </c>
      <c r="D18">
        <f>9.342958147</f>
        <v>9.3429581469999992</v>
      </c>
      <c r="E18">
        <f>62.41210392</f>
        <v>62.41210392</v>
      </c>
      <c r="F18">
        <f>52.77819483</f>
        <v>52.778194829999997</v>
      </c>
      <c r="G18">
        <f>51.33363706</f>
        <v>51.333637060000001</v>
      </c>
      <c r="H18">
        <f>0.9785006616</f>
        <v>0.97850066160000004</v>
      </c>
      <c r="I18">
        <f>52.31213772</f>
        <v>52.312137720000003</v>
      </c>
      <c r="J18">
        <f>105.50645</f>
        <v>105.50645</v>
      </c>
      <c r="K18">
        <f>10.881898</f>
        <v>10.881898</v>
      </c>
      <c r="L18">
        <f>4553.1682</f>
        <v>4553.1682000000001</v>
      </c>
    </row>
    <row r="19" spans="1:12" x14ac:dyDescent="0.25">
      <c r="A19">
        <f>0.77</f>
        <v>0.77</v>
      </c>
      <c r="B19">
        <f>55.28046992</f>
        <v>55.280469920000002</v>
      </c>
      <c r="C19">
        <f>53.83855448</f>
        <v>53.838554479999999</v>
      </c>
      <c r="D19">
        <f>9.165647577</f>
        <v>9.1656475769999997</v>
      </c>
      <c r="E19">
        <f>63.00420206</f>
        <v>63.004202059999997</v>
      </c>
      <c r="F19">
        <f>53.47264476</f>
        <v>53.472644760000001</v>
      </c>
      <c r="G19">
        <f>52.07788396</f>
        <v>52.077883960000001</v>
      </c>
      <c r="H19">
        <f>0.9805754622</f>
        <v>0.98057546220000003</v>
      </c>
      <c r="I19">
        <f>53.05845943</f>
        <v>53.058459429999999</v>
      </c>
      <c r="J19">
        <f>101.27862</f>
        <v>101.27862</v>
      </c>
      <c r="K19">
        <f>11.274349</f>
        <v>11.274349000000001</v>
      </c>
      <c r="L19">
        <f>4313.9523</f>
        <v>4313.9522999999999</v>
      </c>
    </row>
    <row r="20" spans="1:12" x14ac:dyDescent="0.25">
      <c r="A20">
        <f>0.78</f>
        <v>0.78</v>
      </c>
      <c r="B20">
        <f>55.9983981</f>
        <v>55.998398100000003</v>
      </c>
      <c r="C20">
        <f>54.60830616</f>
        <v>54.608306159999998</v>
      </c>
      <c r="D20">
        <f>8.987170156</f>
        <v>8.9871701559999995</v>
      </c>
      <c r="E20">
        <f>63.59547631</f>
        <v>63.595476310000002</v>
      </c>
      <c r="F20">
        <f>54.16709469</f>
        <v>54.167094689999999</v>
      </c>
      <c r="G20">
        <f>52.82246262</f>
        <v>52.822462620000003</v>
      </c>
      <c r="H20">
        <f>0.9827860237</f>
        <v>0.98278602370000001</v>
      </c>
      <c r="I20">
        <f>53.80524864</f>
        <v>53.805248640000002</v>
      </c>
      <c r="J20">
        <f>96.880539</f>
        <v>96.880538999999999</v>
      </c>
      <c r="K20">
        <f>11.699082</f>
        <v>11.699082000000001</v>
      </c>
      <c r="L20">
        <f>4073.711</f>
        <v>4073.7109999999998</v>
      </c>
    </row>
    <row r="21" spans="1:12" x14ac:dyDescent="0.25">
      <c r="A21">
        <f>0.79</f>
        <v>0.79</v>
      </c>
      <c r="B21">
        <f>56.71632628</f>
        <v>56.716326279999997</v>
      </c>
      <c r="C21">
        <f>55.37847009</f>
        <v>55.37847009</v>
      </c>
      <c r="D21">
        <f>8.807289228</f>
        <v>8.8072892280000001</v>
      </c>
      <c r="E21">
        <f>64.18575932</f>
        <v>64.185759320000003</v>
      </c>
      <c r="F21">
        <f>54.86154462</f>
        <v>54.861544619999997</v>
      </c>
      <c r="G21">
        <f>53.56744005</f>
        <v>53.567440050000002</v>
      </c>
      <c r="H21">
        <f>0.9851512292</f>
        <v>0.98515122919999998</v>
      </c>
      <c r="I21">
        <f>54.55259128</f>
        <v>54.552591280000001</v>
      </c>
      <c r="J21">
        <f>92.307779</f>
        <v>92.307778999999996</v>
      </c>
      <c r="K21">
        <f>12.160857</f>
        <v>12.160857</v>
      </c>
      <c r="L21">
        <f>3832.2999</f>
        <v>3832.2999</v>
      </c>
    </row>
    <row r="22" spans="1:12" x14ac:dyDescent="0.25">
      <c r="A22">
        <f>0.8</f>
        <v>0.8</v>
      </c>
      <c r="B22">
        <f>57.43425446</f>
        <v>57.434254459999998</v>
      </c>
      <c r="C22">
        <f>56.14913755</f>
        <v>56.149137549999999</v>
      </c>
      <c r="D22">
        <f>8.625692818</f>
        <v>8.6256928179999992</v>
      </c>
      <c r="E22">
        <f>64.77483037</f>
        <v>64.774830370000004</v>
      </c>
      <c r="F22">
        <f>55.55599455</f>
        <v>55.555994550000001</v>
      </c>
      <c r="G22">
        <f>54.31290454</f>
        <v>54.312904539999998</v>
      </c>
      <c r="H22">
        <f>0.9876944622</f>
        <v>0.98769446220000001</v>
      </c>
      <c r="I22">
        <f>55.300599</f>
        <v>55.300598999999998</v>
      </c>
      <c r="J22">
        <f>87.55294</f>
        <v>87.552940000000007</v>
      </c>
      <c r="K22">
        <f>12.6656</f>
        <v>12.6656</v>
      </c>
      <c r="L22">
        <f>3589.4592</f>
        <v>3589.4591999999998</v>
      </c>
    </row>
    <row r="23" spans="1:12" x14ac:dyDescent="0.25">
      <c r="A23">
        <f>0.81</f>
        <v>0.81</v>
      </c>
      <c r="B23">
        <f>58.15218264</f>
        <v>58.152182639999999</v>
      </c>
      <c r="C23">
        <f>56.92043054</f>
        <v>56.920430539999998</v>
      </c>
      <c r="D23">
        <f>8.441963767</f>
        <v>8.4419637670000007</v>
      </c>
      <c r="E23">
        <f>65.36239431</f>
        <v>65.362394309999999</v>
      </c>
      <c r="F23">
        <f>56.25044449</f>
        <v>56.25044449</v>
      </c>
      <c r="G23">
        <f>55.05897411</f>
        <v>55.058974110000001</v>
      </c>
      <c r="H23">
        <f>0.9904452774</f>
        <v>0.99044527739999999</v>
      </c>
      <c r="I23">
        <f>56.04941938</f>
        <v>56.049419380000003</v>
      </c>
      <c r="J23">
        <f>82.606137</f>
        <v>82.606137000000004</v>
      </c>
      <c r="K23">
        <f>13.220847</f>
        <v>13.220846999999999</v>
      </c>
      <c r="L23">
        <f>3344.8417</f>
        <v>3344.8416999999999</v>
      </c>
    </row>
    <row r="24" spans="1:12" x14ac:dyDescent="0.25">
      <c r="A24">
        <f>0.82</f>
        <v>0.82</v>
      </c>
      <c r="B24">
        <f>58.87011082</f>
        <v>58.870110820000001</v>
      </c>
      <c r="C24">
        <f>57.69251672</f>
        <v>57.69251672</v>
      </c>
      <c r="D24">
        <f>8.255528547</f>
        <v>8.2555285470000008</v>
      </c>
      <c r="E24">
        <f>65.94804527</f>
        <v>65.948045269999994</v>
      </c>
      <c r="F24">
        <f>56.94489442</f>
        <v>56.944894419999997</v>
      </c>
      <c r="G24">
        <f>55.80581092</f>
        <v>55.805810919999999</v>
      </c>
      <c r="H24">
        <f>0.9934420506</f>
        <v>0.99344205060000002</v>
      </c>
      <c r="I24">
        <f>56.79925297</f>
        <v>56.799252969999998</v>
      </c>
      <c r="J24">
        <f>77.453809</f>
        <v>77.453809000000007</v>
      </c>
      <c r="K24">
        <f>13.836439</f>
        <v>13.836439</v>
      </c>
      <c r="L24">
        <f>3097.97</f>
        <v>3097.97</v>
      </c>
    </row>
    <row r="25" spans="1:12" x14ac:dyDescent="0.25">
      <c r="A25">
        <f>0.83</f>
        <v>0.83</v>
      </c>
      <c r="B25">
        <f>59.58803901</f>
        <v>59.588039010000003</v>
      </c>
      <c r="C25">
        <f>58.46563453</f>
        <v>58.465634530000003</v>
      </c>
      <c r="D25">
        <f>8.065571594</f>
        <v>8.0655715939999997</v>
      </c>
      <c r="E25">
        <f>66.53120613</f>
        <v>66.531206130000001</v>
      </c>
      <c r="F25">
        <f>57.63934435</f>
        <v>57.639344350000002</v>
      </c>
      <c r="G25">
        <f>56.55364562</f>
        <v>56.553645619999998</v>
      </c>
      <c r="H25">
        <f>0.9967365044</f>
        <v>0.99673650439999995</v>
      </c>
      <c r="I25">
        <f>57.55038213</f>
        <v>57.550382130000003</v>
      </c>
      <c r="J25">
        <f>72.076706</f>
        <v>72.076706000000001</v>
      </c>
      <c r="K25">
        <f>14.525669</f>
        <v>14.525669000000001</v>
      </c>
      <c r="L25">
        <f>2848.1648</f>
        <v>2848.1648</v>
      </c>
    </row>
    <row r="26" spans="1:12" x14ac:dyDescent="0.25">
      <c r="A26">
        <f>0.84</f>
        <v>0.84</v>
      </c>
      <c r="B26">
        <f>60.30596719</f>
        <v>60.305967189999997</v>
      </c>
      <c r="C26">
        <f>59.24013838</f>
        <v>59.240138379999998</v>
      </c>
      <c r="D26">
        <f>7.870878896</f>
        <v>7.8708788959999998</v>
      </c>
      <c r="E26">
        <f>67.11101728</f>
        <v>67.111017279999999</v>
      </c>
      <c r="F26">
        <f>58.33379428</f>
        <v>58.333794279999999</v>
      </c>
      <c r="G26">
        <f>57.30282104</f>
        <v>57.302821039999998</v>
      </c>
      <c r="H26">
        <f>1.000401</f>
        <v>1.0004010000000001</v>
      </c>
      <c r="I26">
        <f>58.30322204</f>
        <v>58.303222040000001</v>
      </c>
      <c r="J26">
        <f>66.4463</f>
        <v>66.446299999999994</v>
      </c>
      <c r="K26">
        <f>15.307317</f>
        <v>15.307316999999999</v>
      </c>
      <c r="L26">
        <f>2594.4171</f>
        <v>2594.4171000000001</v>
      </c>
    </row>
    <row r="27" spans="1:12" x14ac:dyDescent="0.25">
      <c r="A27">
        <f>0.85</f>
        <v>0.85</v>
      </c>
      <c r="B27">
        <f>61.02389537</f>
        <v>61.023895369999998</v>
      </c>
      <c r="C27">
        <f>60.01658665</f>
        <v>60.016586650000001</v>
      </c>
      <c r="D27">
        <f>7.669538326</f>
        <v>7.6695383259999996</v>
      </c>
      <c r="E27">
        <f>67.68612498</f>
        <v>67.686124980000002</v>
      </c>
      <c r="F27">
        <f>59.02824421</f>
        <v>59.028244209999997</v>
      </c>
      <c r="G27">
        <f>58.05387729</f>
        <v>58.053877290000003</v>
      </c>
      <c r="H27">
        <f>1.004543986</f>
        <v>1.0045439860000001</v>
      </c>
      <c r="I27">
        <f>59.05842128</f>
        <v>59.058421279999997</v>
      </c>
      <c r="J27">
        <f>60.517844</f>
        <v>60.517843999999997</v>
      </c>
      <c r="K27">
        <f>16.209556</f>
        <v>16.209555999999999</v>
      </c>
      <c r="L27">
        <f>2335.1393</f>
        <v>2335.1392999999998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M11" sqref="M11"/>
    </sheetView>
  </sheetViews>
  <sheetFormatPr defaultRowHeight="15" x14ac:dyDescent="0.25"/>
  <sheetData>
    <row r="1" spans="1:1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5">
      <c r="A2">
        <f>0.6</f>
        <v>0.6</v>
      </c>
      <c r="B2">
        <f>43.62794329</f>
        <v>43.627943289999997</v>
      </c>
      <c r="C2">
        <f>41.28814674</f>
        <v>41.288146740000002</v>
      </c>
      <c r="D2">
        <f>10.99161608</f>
        <v>10.99161608</v>
      </c>
      <c r="E2">
        <f>52.27976282</f>
        <v>52.279762820000002</v>
      </c>
      <c r="F2">
        <f>42.20118817</f>
        <v>42.201188170000002</v>
      </c>
      <c r="G2">
        <f>39.93790947</f>
        <v>39.937909470000001</v>
      </c>
      <c r="H2">
        <f>0.6396758775</f>
        <v>0.63967587749999999</v>
      </c>
      <c r="I2">
        <f>40.57758535</f>
        <v>40.57758535</v>
      </c>
      <c r="J2">
        <f>151.80973</f>
        <v>151.80973</v>
      </c>
      <c r="K2">
        <f>7.009718</f>
        <v>7.0097180000000003</v>
      </c>
      <c r="L2">
        <f>8298.4433</f>
        <v>8298.4433000000008</v>
      </c>
    </row>
    <row r="3" spans="1:12" x14ac:dyDescent="0.25">
      <c r="A3">
        <f>0.61</f>
        <v>0.61</v>
      </c>
      <c r="B3">
        <f>44.35507568</f>
        <v>44.355075679999999</v>
      </c>
      <c r="C3">
        <f>42.06539675</f>
        <v>42.065396749999998</v>
      </c>
      <c r="D3">
        <f>10.81888532</f>
        <v>10.81888532</v>
      </c>
      <c r="E3">
        <f>52.88428206</f>
        <v>52.884282059999997</v>
      </c>
      <c r="F3">
        <f>42.90454131</f>
        <v>42.904541309999999</v>
      </c>
      <c r="G3">
        <f>40.68974125</f>
        <v>40.689741249999997</v>
      </c>
      <c r="H3">
        <f>0.6403248896</f>
        <v>0.6403248896</v>
      </c>
      <c r="I3">
        <f>41.33006613</f>
        <v>41.330066129999999</v>
      </c>
      <c r="J3">
        <f>149.99394</f>
        <v>149.99394000000001</v>
      </c>
      <c r="K3">
        <f>7.1641254</f>
        <v>7.1641253999999996</v>
      </c>
      <c r="L3">
        <f>8064.773</f>
        <v>8064.7730000000001</v>
      </c>
    </row>
    <row r="4" spans="1:12" x14ac:dyDescent="0.25">
      <c r="A4">
        <f>0.62</f>
        <v>0.62</v>
      </c>
      <c r="B4">
        <f>45.08220807</f>
        <v>45.08220807</v>
      </c>
      <c r="C4">
        <f>42.84269582</f>
        <v>42.842695820000003</v>
      </c>
      <c r="D4">
        <f>10.64598898</f>
        <v>10.64598898</v>
      </c>
      <c r="E4">
        <f>53.4886848</f>
        <v>53.488684800000001</v>
      </c>
      <c r="F4">
        <f>43.60789444</f>
        <v>43.607894440000003</v>
      </c>
      <c r="G4">
        <f>41.44162047</f>
        <v>41.441620469999997</v>
      </c>
      <c r="H4">
        <f>0.640989444</f>
        <v>0.64098944400000002</v>
      </c>
      <c r="I4">
        <f>42.08260992</f>
        <v>42.082609920000003</v>
      </c>
      <c r="J4">
        <f>148.03297</f>
        <v>148.03297000000001</v>
      </c>
      <c r="K4">
        <f>7.32565</f>
        <v>7.3256500000000004</v>
      </c>
      <c r="L4">
        <f>7830.9607</f>
        <v>7830.9606999999996</v>
      </c>
    </row>
    <row r="5" spans="1:12" x14ac:dyDescent="0.25">
      <c r="A5">
        <f>0.63</f>
        <v>0.63</v>
      </c>
      <c r="B5">
        <f>45.80934046</f>
        <v>45.809340460000001</v>
      </c>
      <c r="C5">
        <f>43.62004858</f>
        <v>43.620048580000002</v>
      </c>
      <c r="D5">
        <f>10.47291135</f>
        <v>10.47291135</v>
      </c>
      <c r="E5">
        <f>54.09295994</f>
        <v>54.09295994</v>
      </c>
      <c r="F5">
        <f>44.31124758</f>
        <v>44.31124758</v>
      </c>
      <c r="G5">
        <f>42.19355164</f>
        <v>42.193551640000003</v>
      </c>
      <c r="H5">
        <f>0.6416706301</f>
        <v>0.64167063010000003</v>
      </c>
      <c r="I5">
        <f>42.83522227</f>
        <v>42.835222270000003</v>
      </c>
      <c r="J5">
        <f>145.92645</f>
        <v>145.92644999999999</v>
      </c>
      <c r="K5">
        <f>7.4948111</f>
        <v>7.4948110999999997</v>
      </c>
      <c r="L5">
        <f>7596.993</f>
        <v>7596.9930000000004</v>
      </c>
    </row>
    <row r="6" spans="1:12" x14ac:dyDescent="0.25">
      <c r="A6">
        <f>0.64</f>
        <v>0.64</v>
      </c>
      <c r="B6">
        <f>46.53647285</f>
        <v>46.536472850000003</v>
      </c>
      <c r="C6">
        <f>44.39746028</f>
        <v>44.397460279999997</v>
      </c>
      <c r="D6">
        <f>10.29963465</f>
        <v>10.29963465</v>
      </c>
      <c r="E6">
        <f>54.69709493</f>
        <v>54.697094929999999</v>
      </c>
      <c r="F6">
        <f>45.01460072</f>
        <v>45.014600719999997</v>
      </c>
      <c r="G6">
        <f>42.94553981</f>
        <v>42.94553981</v>
      </c>
      <c r="H6">
        <f>0.6423696467</f>
        <v>0.64236964669999996</v>
      </c>
      <c r="I6">
        <f>43.58790946</f>
        <v>43.587909459999999</v>
      </c>
      <c r="J6">
        <f>143.67392</f>
        <v>143.67392000000001</v>
      </c>
      <c r="K6">
        <f>7.6721822</f>
        <v>7.6721822</v>
      </c>
      <c r="L6">
        <f>7362.8548</f>
        <v>7362.8548000000001</v>
      </c>
    </row>
    <row r="7" spans="1:12" x14ac:dyDescent="0.25">
      <c r="A7">
        <f>0.65</f>
        <v>0.65</v>
      </c>
      <c r="B7">
        <f>47.26360524</f>
        <v>47.263605239999997</v>
      </c>
      <c r="C7">
        <f>45.17493686</f>
        <v>45.174936860000003</v>
      </c>
      <c r="D7">
        <f>10.12613863</f>
        <v>10.12613863</v>
      </c>
      <c r="E7">
        <f>55.3010755</f>
        <v>55.301075500000003</v>
      </c>
      <c r="F7">
        <f>45.71795385</f>
        <v>45.717953850000001</v>
      </c>
      <c r="G7">
        <f>43.69759075</f>
        <v>43.697590750000003</v>
      </c>
      <c r="H7">
        <f>0.6430878165</f>
        <v>0.64308781650000002</v>
      </c>
      <c r="I7">
        <f>44.34067856</f>
        <v>44.340678560000001</v>
      </c>
      <c r="J7">
        <f>141.2749</f>
        <v>141.2749</v>
      </c>
      <c r="K7">
        <f>7.8583978</f>
        <v>7.8583977999999997</v>
      </c>
      <c r="L7">
        <f>7128.5288</f>
        <v>7128.5288</v>
      </c>
    </row>
    <row r="8" spans="1:12" x14ac:dyDescent="0.25">
      <c r="A8">
        <f>0.66</f>
        <v>0.66</v>
      </c>
      <c r="B8">
        <f>47.99073762</f>
        <v>47.990737619999997</v>
      </c>
      <c r="C8">
        <f>45.95248514</f>
        <v>45.95248514</v>
      </c>
      <c r="D8">
        <f>9.952400215</f>
        <v>9.9524002150000008</v>
      </c>
      <c r="E8">
        <f>55.90488535</f>
        <v>55.904885350000001</v>
      </c>
      <c r="F8">
        <f>46.42130699</f>
        <v>46.421306989999998</v>
      </c>
      <c r="G8">
        <f>44.44971103</f>
        <v>44.449711030000003</v>
      </c>
      <c r="H8">
        <f>0.6438266039</f>
        <v>0.64382660390000002</v>
      </c>
      <c r="I8">
        <f>45.09353763</f>
        <v>45.09353763</v>
      </c>
      <c r="J8">
        <f>138.72881</f>
        <v>138.72881000000001</v>
      </c>
      <c r="K8">
        <f>8.0541631</f>
        <v>8.0541631000000002</v>
      </c>
      <c r="L8">
        <f>6893.9955</f>
        <v>6893.9955</v>
      </c>
    </row>
    <row r="9" spans="1:12" x14ac:dyDescent="0.25">
      <c r="A9">
        <f>0.67</f>
        <v>0.67</v>
      </c>
      <c r="B9">
        <f>48.71787001</f>
        <v>48.717870009999999</v>
      </c>
      <c r="C9">
        <f>46.73011289</f>
        <v>46.730112890000001</v>
      </c>
      <c r="D9">
        <f>9.778392896</f>
        <v>9.7783928959999997</v>
      </c>
      <c r="E9">
        <f>56.50850579</f>
        <v>56.508505790000001</v>
      </c>
      <c r="F9">
        <f>47.12466012</f>
        <v>47.124660120000001</v>
      </c>
      <c r="G9">
        <f>45.20190819</f>
        <v>45.201908189999997</v>
      </c>
      <c r="H9">
        <f>0.6445876357</f>
        <v>0.64458763569999999</v>
      </c>
      <c r="I9">
        <f>45.84649583</f>
        <v>45.846495830000002</v>
      </c>
      <c r="J9">
        <f>136.03501</f>
        <v>136.03501</v>
      </c>
      <c r="K9">
        <f>8.2602639</f>
        <v>8.2602639</v>
      </c>
      <c r="L9">
        <f>6659.2324</f>
        <v>6659.2323999999999</v>
      </c>
    </row>
    <row r="10" spans="1:12" x14ac:dyDescent="0.25">
      <c r="A10">
        <f>0.68</f>
        <v>0.68</v>
      </c>
      <c r="B10">
        <f>49.4450024</f>
        <v>49.4450024</v>
      </c>
      <c r="C10">
        <f>47.50782911</f>
        <v>47.507829110000003</v>
      </c>
      <c r="D10">
        <f>9.604086108</f>
        <v>9.6040861080000006</v>
      </c>
      <c r="E10">
        <f>57.11191522</f>
        <v>57.11191522</v>
      </c>
      <c r="F10">
        <f>47.82801326</f>
        <v>47.828013259999999</v>
      </c>
      <c r="G10">
        <f>45.95419093</f>
        <v>45.954190930000003</v>
      </c>
      <c r="H10">
        <f>0.6453727261</f>
        <v>0.64537272609999996</v>
      </c>
      <c r="I10">
        <f>46.59956366</f>
        <v>46.599563660000001</v>
      </c>
      <c r="J10">
        <f>133.19275</f>
        <v>133.19274999999999</v>
      </c>
      <c r="K10">
        <f>8.4775798</f>
        <v>8.4775798000000009</v>
      </c>
      <c r="L10">
        <f>6424.2134</f>
        <v>6424.2133999999996</v>
      </c>
    </row>
    <row r="11" spans="1:12" x14ac:dyDescent="0.25">
      <c r="A11">
        <f>0.69</f>
        <v>0.69</v>
      </c>
      <c r="B11">
        <f>50.17213479</f>
        <v>50.172134790000001</v>
      </c>
      <c r="C11">
        <f>48.28564423</f>
        <v>48.285644230000003</v>
      </c>
      <c r="D11">
        <f>9.429444399</f>
        <v>9.4294443989999994</v>
      </c>
      <c r="E11">
        <f>57.71508863</f>
        <v>57.715088629999997</v>
      </c>
      <c r="F11">
        <f>48.5313664</f>
        <v>48.531366400000003</v>
      </c>
      <c r="G11">
        <f>46.70656933</f>
        <v>46.706569330000001</v>
      </c>
      <c r="H11">
        <f>0.6461839062</f>
        <v>0.64618390619999999</v>
      </c>
      <c r="I11">
        <f>47.35275323</f>
        <v>47.352753229999998</v>
      </c>
      <c r="J11">
        <f>130.20117</f>
        <v>130.20116999999999</v>
      </c>
      <c r="K11">
        <f>8.7070991</f>
        <v>8.7070991000000006</v>
      </c>
      <c r="L11">
        <f>6188.9085</f>
        <v>6188.9084999999995</v>
      </c>
    </row>
    <row r="12" spans="1:12" x14ac:dyDescent="0.25">
      <c r="A12">
        <f>0.7</f>
        <v>0.7</v>
      </c>
      <c r="B12">
        <f>50.89926718</f>
        <v>50.899267180000002</v>
      </c>
      <c r="C12">
        <f>49.06357039</f>
        <v>49.063570390000002</v>
      </c>
      <c r="D12">
        <f>9.254426393</f>
        <v>9.2544263929999993</v>
      </c>
      <c r="E12">
        <f>58.31799678</f>
        <v>58.317996780000001</v>
      </c>
      <c r="F12">
        <f>49.23471953</f>
        <v>49.23471953</v>
      </c>
      <c r="G12">
        <f>47.45905514</f>
        <v>47.459055139999997</v>
      </c>
      <c r="H12">
        <f>0.6470234611</f>
        <v>0.64702346109999997</v>
      </c>
      <c r="I12">
        <f>48.1060786</f>
        <v>48.106078599999996</v>
      </c>
      <c r="J12">
        <f>127.05924</f>
        <v>127.05924</v>
      </c>
      <c r="K12">
        <f>8.9499378</f>
        <v>8.9499378000000007</v>
      </c>
      <c r="L12">
        <f>5953.2825</f>
        <v>5953.2825000000003</v>
      </c>
    </row>
    <row r="13" spans="1:12" x14ac:dyDescent="0.25">
      <c r="A13">
        <f>0.71</f>
        <v>0.71</v>
      </c>
      <c r="B13">
        <f>51.62639956</f>
        <v>51.626399560000003</v>
      </c>
      <c r="C13">
        <f>49.84162187</f>
        <v>49.841621869999997</v>
      </c>
      <c r="D13">
        <f>9.078983479</f>
        <v>9.0789834789999997</v>
      </c>
      <c r="E13">
        <f>58.92060535</f>
        <v>58.920605350000002</v>
      </c>
      <c r="F13">
        <f>49.93807267</f>
        <v>49.938072669999997</v>
      </c>
      <c r="G13">
        <f>48.21166217</f>
        <v>48.211662169999997</v>
      </c>
      <c r="H13">
        <f>0.6478939741</f>
        <v>0.64789397410000005</v>
      </c>
      <c r="I13">
        <f>48.85955615</f>
        <v>48.859556150000003</v>
      </c>
      <c r="J13">
        <f>123.76579</f>
        <v>123.76579</v>
      </c>
      <c r="K13">
        <f>9.2073622</f>
        <v>9.2073622000000004</v>
      </c>
      <c r="L13">
        <f>5717.2942</f>
        <v>5717.2942000000003</v>
      </c>
    </row>
    <row r="14" spans="1:12" x14ac:dyDescent="0.25">
      <c r="A14">
        <f>0.72</f>
        <v>0.72</v>
      </c>
      <c r="B14">
        <f>52.35353195</f>
        <v>52.353531949999997</v>
      </c>
      <c r="C14">
        <f>50.61981557</f>
        <v>50.61981557</v>
      </c>
      <c r="D14">
        <f>8.903058122</f>
        <v>8.9030581219999991</v>
      </c>
      <c r="E14">
        <f>59.52287369</f>
        <v>59.522873689999997</v>
      </c>
      <c r="F14">
        <f>50.6414258</f>
        <v>50.6414258</v>
      </c>
      <c r="G14">
        <f>48.96440677</f>
        <v>48.964406769999997</v>
      </c>
      <c r="H14">
        <f>0.6487983821</f>
        <v>0.64879838209999996</v>
      </c>
      <c r="I14">
        <f>49.61320515</f>
        <v>49.613205149999999</v>
      </c>
      <c r="J14">
        <f>120.31941</f>
        <v>120.31941</v>
      </c>
      <c r="K14">
        <f>9.4808178</f>
        <v>9.4808178000000005</v>
      </c>
      <c r="L14">
        <f>5480.8947</f>
        <v>5480.8946999999998</v>
      </c>
    </row>
    <row r="15" spans="1:12" x14ac:dyDescent="0.25">
      <c r="A15">
        <f>0.73</f>
        <v>0.73</v>
      </c>
      <c r="B15">
        <f>53.08066434</f>
        <v>53.080664339999998</v>
      </c>
      <c r="C15">
        <f>51.3981716</f>
        <v>51.398171599999998</v>
      </c>
      <c r="D15">
        <f>8.726581676</f>
        <v>8.7265816760000003</v>
      </c>
      <c r="E15">
        <f>60.12475328</f>
        <v>60.12475328</v>
      </c>
      <c r="F15">
        <f>51.34477894</f>
        <v>51.344778939999998</v>
      </c>
      <c r="G15">
        <f>49.7173084</f>
        <v>49.7173084</v>
      </c>
      <c r="H15">
        <f>0.6497400455</f>
        <v>0.64974004549999997</v>
      </c>
      <c r="I15">
        <f>50.36704844</f>
        <v>50.367048439999998</v>
      </c>
      <c r="J15">
        <f>116.71842</f>
        <v>116.71841999999999</v>
      </c>
      <c r="K15">
        <f>9.7719646</f>
        <v>9.7719646000000004</v>
      </c>
      <c r="L15">
        <f>5244.0257</f>
        <v>5244.0257000000001</v>
      </c>
    </row>
    <row r="16" spans="1:12" x14ac:dyDescent="0.25">
      <c r="A16">
        <f>0.74</f>
        <v>0.74</v>
      </c>
      <c r="B16">
        <f>53.80779673</f>
        <v>53.80779673</v>
      </c>
      <c r="C16">
        <f>52.17671422</f>
        <v>52.176714220000001</v>
      </c>
      <c r="D16">
        <f>8.549471492</f>
        <v>8.5494714920000003</v>
      </c>
      <c r="E16">
        <f>60.72618571</f>
        <v>60.726185710000003</v>
      </c>
      <c r="F16">
        <f>52.04813208</f>
        <v>52.048132080000002</v>
      </c>
      <c r="G16">
        <f>50.4703905</f>
        <v>50.470390500000001</v>
      </c>
      <c r="H16">
        <f>0.6507228366</f>
        <v>0.65072283659999997</v>
      </c>
      <c r="I16">
        <f>51.12111334</f>
        <v>51.121113340000001</v>
      </c>
      <c r="J16">
        <f>112.96081</f>
        <v>112.96081</v>
      </c>
      <c r="K16">
        <f>10.082723</f>
        <v>10.082723</v>
      </c>
      <c r="L16">
        <f>5006.617</f>
        <v>5006.6170000000002</v>
      </c>
    </row>
    <row r="17" spans="1:12" x14ac:dyDescent="0.25">
      <c r="A17">
        <f>0.75</f>
        <v>0.75</v>
      </c>
      <c r="B17">
        <f>54.53492912</f>
        <v>54.534929120000001</v>
      </c>
      <c r="C17">
        <f>52.95547228</f>
        <v>52.955472280000002</v>
      </c>
      <c r="D17">
        <f>8.371629103</f>
        <v>8.3716291030000001</v>
      </c>
      <c r="E17">
        <f>61.32710138</f>
        <v>61.327101380000002</v>
      </c>
      <c r="F17">
        <f>52.75148521</f>
        <v>52.751485209999998</v>
      </c>
      <c r="G17">
        <f>51.22368101</f>
        <v>51.22368101</v>
      </c>
      <c r="H17">
        <f>0.6517512419</f>
        <v>0.6517512419</v>
      </c>
      <c r="I17">
        <f>51.87543225</f>
        <v>51.875432250000003</v>
      </c>
      <c r="J17">
        <f>109.04547</f>
        <v>109.04546999999999</v>
      </c>
      <c r="K17">
        <f>10.41533</f>
        <v>10.415330000000001</v>
      </c>
      <c r="L17">
        <f>4768.641</f>
        <v>4768.6409999999996</v>
      </c>
    </row>
    <row r="18" spans="1:12" x14ac:dyDescent="0.25">
      <c r="A18">
        <f>0.76</f>
        <v>0.76</v>
      </c>
      <c r="B18">
        <f>55.26206151</f>
        <v>55.262061510000002</v>
      </c>
      <c r="C18">
        <f>53.73448308</f>
        <v>53.734483079999997</v>
      </c>
      <c r="D18">
        <f>8.192927157</f>
        <v>8.1929271569999997</v>
      </c>
      <c r="E18">
        <f>61.92741024</f>
        <v>61.92741024</v>
      </c>
      <c r="F18">
        <f>53.45483835</f>
        <v>53.454838350000003</v>
      </c>
      <c r="G18">
        <f>51.97721599</f>
        <v>51.977215989999998</v>
      </c>
      <c r="H18">
        <f>0.6528305582</f>
        <v>0.65283055820000002</v>
      </c>
      <c r="I18">
        <f>52.63004655</f>
        <v>52.630046550000003</v>
      </c>
      <c r="J18">
        <f>104.96681</f>
        <v>104.96681</v>
      </c>
      <c r="K18">
        <f>10.772427</f>
        <v>10.772427</v>
      </c>
      <c r="L18">
        <f>4529.88</f>
        <v>4529.88</v>
      </c>
    </row>
    <row r="19" spans="1:12" x14ac:dyDescent="0.25">
      <c r="A19">
        <f>0.77</f>
        <v>0.77</v>
      </c>
      <c r="B19">
        <f>55.98919389</f>
        <v>55.989193890000003</v>
      </c>
      <c r="C19">
        <f>54.51379119</f>
        <v>54.513791189999999</v>
      </c>
      <c r="D19">
        <f>8.013213474</f>
        <v>8.0132134740000005</v>
      </c>
      <c r="E19">
        <f>62.52700466</f>
        <v>62.527004660000003</v>
      </c>
      <c r="F19">
        <f>54.15819149</f>
        <v>54.15819149</v>
      </c>
      <c r="G19">
        <f>52.73103855</f>
        <v>52.731038550000001</v>
      </c>
      <c r="H19">
        <f>0.6539670289</f>
        <v>0.65396702890000002</v>
      </c>
      <c r="I19">
        <f>53.38500558</f>
        <v>53.385005579999998</v>
      </c>
      <c r="J19">
        <f>100.72236</f>
        <v>100.72235999999999</v>
      </c>
      <c r="K19">
        <f>11.157151</f>
        <v>11.157151000000001</v>
      </c>
      <c r="L19">
        <f>4290.2585</f>
        <v>4290.2584999999999</v>
      </c>
    </row>
    <row r="20" spans="1:12" x14ac:dyDescent="0.25">
      <c r="A20">
        <f>0.78</f>
        <v>0.78</v>
      </c>
      <c r="B20">
        <f>56.71632628</f>
        <v>56.716326279999997</v>
      </c>
      <c r="C20">
        <f>55.29345355</f>
        <v>55.293453550000002</v>
      </c>
      <c r="D20">
        <f>7.83229345</f>
        <v>7.8322934499999999</v>
      </c>
      <c r="E20">
        <f>63.125747</f>
        <v>63.125746999999997</v>
      </c>
      <c r="F20">
        <f>54.86154462</f>
        <v>54.861544619999997</v>
      </c>
      <c r="G20">
        <f>53.48520378</f>
        <v>53.485203779999999</v>
      </c>
      <c r="H20">
        <f>0.6551681629</f>
        <v>0.65516816290000002</v>
      </c>
      <c r="I20">
        <f>54.14037195</f>
        <v>54.140371950000002</v>
      </c>
      <c r="J20">
        <f>96.307401</f>
        <v>96.307400999999999</v>
      </c>
      <c r="K20">
        <f>11.573283</f>
        <v>11.573283</v>
      </c>
      <c r="L20">
        <f>4049.6113</f>
        <v>4049.6113</v>
      </c>
    </row>
    <row r="21" spans="1:12" x14ac:dyDescent="0.25">
      <c r="A21">
        <f>0.79</f>
        <v>0.79</v>
      </c>
      <c r="B21">
        <f>57.44345867</f>
        <v>57.443458669999998</v>
      </c>
      <c r="C21">
        <f>56.07354335</f>
        <v>56.073543350000001</v>
      </c>
      <c r="D21">
        <f>7.64991689</f>
        <v>7.6499168900000001</v>
      </c>
      <c r="E21">
        <f>63.72346024</f>
        <v>63.723460240000001</v>
      </c>
      <c r="F21">
        <f>55.56489776</f>
        <v>55.564897760000001</v>
      </c>
      <c r="G21">
        <f>54.23978248</f>
        <v>54.239782480000002</v>
      </c>
      <c r="H21">
        <f>0.6564431148</f>
        <v>0.65644311479999995</v>
      </c>
      <c r="I21">
        <f>54.89622559</f>
        <v>54.89622559</v>
      </c>
      <c r="J21">
        <f>91.715859</f>
        <v>91.715858999999995</v>
      </c>
      <c r="K21">
        <f>12.02545</f>
        <v>12.025449999999999</v>
      </c>
      <c r="L21">
        <f>3807.7254</f>
        <v>3807.7253999999998</v>
      </c>
    </row>
    <row r="22" spans="1:12" x14ac:dyDescent="0.25">
      <c r="A22">
        <f>0.8</f>
        <v>0.8</v>
      </c>
      <c r="B22">
        <f>58.17059106</f>
        <v>58.17059106</v>
      </c>
      <c r="C22">
        <f>56.85415653</f>
        <v>56.854156529999997</v>
      </c>
      <c r="D22">
        <f>7.465755652</f>
        <v>7.4657556520000004</v>
      </c>
      <c r="E22">
        <f>64.31991218</f>
        <v>64.319912180000003</v>
      </c>
      <c r="F22">
        <f>56.26825089</f>
        <v>56.268250889999997</v>
      </c>
      <c r="G22">
        <f>54.99486744</f>
        <v>54.99486744</v>
      </c>
      <c r="H22">
        <f>0.6578032522</f>
        <v>0.65780325220000002</v>
      </c>
      <c r="I22">
        <f>55.65267069</f>
        <v>55.652670690000001</v>
      </c>
      <c r="J22">
        <f>86.939794</f>
        <v>86.939794000000006</v>
      </c>
      <c r="K22">
        <f>12.519416</f>
        <v>12.519416</v>
      </c>
      <c r="L22">
        <f>3564.3217</f>
        <v>3564.3217</v>
      </c>
    </row>
    <row r="23" spans="1:12" x14ac:dyDescent="0.25">
      <c r="A23">
        <f>0.81</f>
        <v>0.81</v>
      </c>
      <c r="B23">
        <f>58.89772345</f>
        <v>58.897723450000001</v>
      </c>
      <c r="C23">
        <f>57.6354219</f>
        <v>57.635421899999997</v>
      </c>
      <c r="D23">
        <f>7.279369024</f>
        <v>7.2793690240000002</v>
      </c>
      <c r="E23">
        <f>64.91479092</f>
        <v>64.914790920000002</v>
      </c>
      <c r="F23">
        <f>56.97160403</f>
        <v>56.971604030000002</v>
      </c>
      <c r="G23">
        <f>55.75058325</f>
        <v>55.750583249999998</v>
      </c>
      <c r="H23">
        <f>0.6592630121</f>
        <v>0.65926301210000005</v>
      </c>
      <c r="I23">
        <f>56.40984626</f>
        <v>56.409846260000002</v>
      </c>
      <c r="J23">
        <f>81.968548</f>
        <v>81.968547999999998</v>
      </c>
      <c r="K23">
        <f>13.062525</f>
        <v>13.062525000000001</v>
      </c>
      <c r="L23">
        <f>3319.0248</f>
        <v>3319.0248000000001</v>
      </c>
    </row>
    <row r="24" spans="1:12" x14ac:dyDescent="0.25">
      <c r="A24">
        <f>0.82</f>
        <v>0.82</v>
      </c>
      <c r="B24">
        <f>59.62485583</f>
        <v>59.624855830000001</v>
      </c>
      <c r="C24">
        <f>58.41751742</f>
        <v>58.417517420000003</v>
      </c>
      <c r="D24">
        <f>7.090147734</f>
        <v>7.0901477340000003</v>
      </c>
      <c r="E24">
        <f>65.50766515</f>
        <v>65.507665149999994</v>
      </c>
      <c r="F24">
        <f>57.67495717</f>
        <v>57.674957169999999</v>
      </c>
      <c r="G24">
        <f>56.50710207</f>
        <v>56.507102070000002</v>
      </c>
      <c r="H24">
        <f>0.6608412537</f>
        <v>0.66084125370000002</v>
      </c>
      <c r="I24">
        <f>57.16794333</f>
        <v>57.16794333</v>
      </c>
      <c r="J24">
        <f>76.787412</f>
        <v>76.787412000000003</v>
      </c>
      <c r="K24">
        <f>13.664395</f>
        <v>13.664395000000001</v>
      </c>
      <c r="L24">
        <f>3071.3156</f>
        <v>3071.3155999999999</v>
      </c>
    </row>
    <row r="25" spans="1:12" x14ac:dyDescent="0.25">
      <c r="A25">
        <f>0.83</f>
        <v>0.83</v>
      </c>
      <c r="B25">
        <f>60.35198822</f>
        <v>60.351988220000003</v>
      </c>
      <c r="C25">
        <f>59.20069806</f>
        <v>59.200698060000001</v>
      </c>
      <c r="D25">
        <f>6.897219081</f>
        <v>6.8972190810000003</v>
      </c>
      <c r="E25">
        <f>66.09791714</f>
        <v>66.097917140000007</v>
      </c>
      <c r="F25">
        <f>58.3783103</f>
        <v>58.378310300000003</v>
      </c>
      <c r="G25">
        <f>57.26467053</f>
        <v>57.264670529999997</v>
      </c>
      <c r="H25">
        <f>0.6625636447</f>
        <v>0.66256364469999995</v>
      </c>
      <c r="I25">
        <f>57.92723417</f>
        <v>57.927234169999998</v>
      </c>
      <c r="J25">
        <f>71.375346</f>
        <v>71.375345999999993</v>
      </c>
      <c r="K25">
        <f>14.338081</f>
        <v>14.338081000000001</v>
      </c>
      <c r="L25">
        <f>2820.45</f>
        <v>2820.45</v>
      </c>
    </row>
    <row r="26" spans="1:12" x14ac:dyDescent="0.25">
      <c r="A26">
        <f>0.84</f>
        <v>0.84</v>
      </c>
      <c r="B26">
        <f>61.07912061</f>
        <v>61.079120609999997</v>
      </c>
      <c r="C26">
        <f>59.98534641</f>
        <v>59.985346409999998</v>
      </c>
      <c r="D26">
        <f>6.699271788</f>
        <v>6.6992717879999999</v>
      </c>
      <c r="E26">
        <f>66.68461819</f>
        <v>66.684618189999995</v>
      </c>
      <c r="F26">
        <f>59.08166344</f>
        <v>59.08166344</v>
      </c>
      <c r="G26">
        <f>58.02365869</f>
        <v>58.023658689999998</v>
      </c>
      <c r="H26">
        <f>0.6644663314</f>
        <v>0.6644663314</v>
      </c>
      <c r="I26">
        <f>58.68812503</f>
        <v>58.688125030000002</v>
      </c>
      <c r="J26">
        <f>65.700863</f>
        <v>65.700862999999998</v>
      </c>
      <c r="K26">
        <f>15.102149</f>
        <v>15.102149000000001</v>
      </c>
      <c r="L26">
        <f>2565.3112</f>
        <v>2565.3112000000001</v>
      </c>
    </row>
    <row r="27" spans="1:12" x14ac:dyDescent="0.25">
      <c r="A27">
        <f>0.85</f>
        <v>0.85</v>
      </c>
      <c r="B27">
        <f>61.806253</f>
        <v>61.806252999999998</v>
      </c>
      <c r="C27">
        <f>60.77207218</f>
        <v>60.772072180000002</v>
      </c>
      <c r="D27">
        <f>6.494216609</f>
        <v>6.4942166090000004</v>
      </c>
      <c r="E27">
        <f>67.26628879</f>
        <v>67.266288790000004</v>
      </c>
      <c r="F27">
        <f>59.78501657</f>
        <v>59.785016570000003</v>
      </c>
      <c r="G27">
        <f>58.78465635</f>
        <v>58.784656349999999</v>
      </c>
      <c r="H27">
        <f>0.6666043267</f>
        <v>0.66660432670000003</v>
      </c>
      <c r="I27">
        <f>59.45126067</f>
        <v>59.451260670000003</v>
      </c>
      <c r="J27">
        <f>59.714595</f>
        <v>59.714595000000003</v>
      </c>
      <c r="K27">
        <f>15.984733</f>
        <v>15.984733</v>
      </c>
      <c r="L27">
        <f>2304.1452</f>
        <v>2304.1451999999999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N9" sqref="N9"/>
    </sheetView>
  </sheetViews>
  <sheetFormatPr defaultRowHeight="15" x14ac:dyDescent="0.25"/>
  <sheetData>
    <row r="1" spans="1:12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</row>
    <row r="2" spans="1:12" x14ac:dyDescent="0.25">
      <c r="A2">
        <f>0.6</f>
        <v>0.6</v>
      </c>
      <c r="B2">
        <f>44.18019574</f>
        <v>44.180195740000002</v>
      </c>
      <c r="C2">
        <f>41.7957573</f>
        <v>41.795757299999998</v>
      </c>
      <c r="D2">
        <f>9.877840435</f>
        <v>9.8778404349999995</v>
      </c>
      <c r="E2">
        <f>51.67359773</f>
        <v>51.673597729999997</v>
      </c>
      <c r="F2">
        <f>42.73538043</f>
        <v>42.735380429999999</v>
      </c>
      <c r="G2">
        <f>40.42891975</f>
        <v>40.428919749999999</v>
      </c>
      <c r="H2">
        <f>0.331042463</f>
        <v>0.33104246300000001</v>
      </c>
      <c r="I2">
        <f>40.75996222</f>
        <v>40.759962219999998</v>
      </c>
      <c r="J2">
        <f>151.42215</f>
        <v>151.42214999999999</v>
      </c>
      <c r="K2">
        <f>6.9647393</f>
        <v>6.9647392999999997</v>
      </c>
      <c r="L2">
        <f>8277.257</f>
        <v>8277.2569999999996</v>
      </c>
    </row>
    <row r="3" spans="1:12" x14ac:dyDescent="0.25">
      <c r="A3">
        <f>0.61</f>
        <v>0.61</v>
      </c>
      <c r="B3">
        <f>44.91653234</f>
        <v>44.916532340000003</v>
      </c>
      <c r="C3">
        <f>42.58285051</f>
        <v>42.58285051</v>
      </c>
      <c r="D3">
        <f>9.702904407</f>
        <v>9.7029044070000001</v>
      </c>
      <c r="E3">
        <f>52.28575492</f>
        <v>52.285754920000002</v>
      </c>
      <c r="F3">
        <f>43.44763677</f>
        <v>43.447636770000003</v>
      </c>
      <c r="G3">
        <f>41.19027283</f>
        <v>41.190272829999998</v>
      </c>
      <c r="H3">
        <f>0.3314547102</f>
        <v>0.3314547102</v>
      </c>
      <c r="I3">
        <f>41.52172754</f>
        <v>41.521727540000001</v>
      </c>
      <c r="J3">
        <f>149.5983</f>
        <v>149.59829999999999</v>
      </c>
      <c r="K3">
        <f>7.117164</f>
        <v>7.1171639999999998</v>
      </c>
      <c r="L3">
        <f>8043.5005</f>
        <v>8043.5005000000001</v>
      </c>
    </row>
    <row r="4" spans="1:12" x14ac:dyDescent="0.25">
      <c r="A4">
        <f>0.62</f>
        <v>0.62</v>
      </c>
      <c r="B4">
        <f>45.65286893</f>
        <v>45.652868929999997</v>
      </c>
      <c r="C4">
        <f>43.36999386</f>
        <v>43.369993860000001</v>
      </c>
      <c r="D4">
        <f>9.527798995</f>
        <v>9.5277989949999995</v>
      </c>
      <c r="E4">
        <f>52.89779286</f>
        <v>52.897792860000003</v>
      </c>
      <c r="F4">
        <f>44.15989311</f>
        <v>44.159893109999999</v>
      </c>
      <c r="G4">
        <f>41.9516744</f>
        <v>41.951674400000002</v>
      </c>
      <c r="H4">
        <f>0.3318719579</f>
        <v>0.33187195790000001</v>
      </c>
      <c r="I4">
        <f>42.28354636</f>
        <v>42.283546360000003</v>
      </c>
      <c r="J4">
        <f>147.6291</f>
        <v>147.62909999999999</v>
      </c>
      <c r="K4">
        <f>7.2765705</f>
        <v>7.2765705000000001</v>
      </c>
      <c r="L4">
        <f>7809.596</f>
        <v>7809.5959999999995</v>
      </c>
    </row>
    <row r="5" spans="1:12" x14ac:dyDescent="0.25">
      <c r="A5">
        <f>0.63</f>
        <v>0.63</v>
      </c>
      <c r="B5">
        <f>46.38920553</f>
        <v>46.389205529999998</v>
      </c>
      <c r="C5">
        <f>44.1571921</f>
        <v>44.157192100000003</v>
      </c>
      <c r="D5">
        <f>9.352508058</f>
        <v>9.3525080579999997</v>
      </c>
      <c r="E5">
        <f>53.50970016</f>
        <v>53.509700160000001</v>
      </c>
      <c r="F5">
        <f>44.87214945</f>
        <v>44.872149450000002</v>
      </c>
      <c r="G5">
        <f>42.71312907</f>
        <v>42.713129070000001</v>
      </c>
      <c r="H5">
        <f>0.3322945628</f>
        <v>0.33229456280000003</v>
      </c>
      <c r="I5">
        <f>43.04542363</f>
        <v>43.045423630000002</v>
      </c>
      <c r="J5">
        <f>145.51417</f>
        <v>145.51417000000001</v>
      </c>
      <c r="K5">
        <f>7.4434655</f>
        <v>7.4434655000000003</v>
      </c>
      <c r="L5">
        <f>7575.5296</f>
        <v>7575.5295999999998</v>
      </c>
    </row>
    <row r="6" spans="1:12" x14ac:dyDescent="0.25">
      <c r="A6">
        <f>0.64</f>
        <v>0.64</v>
      </c>
      <c r="B6">
        <f>47.12554212</f>
        <v>47.125542119999999</v>
      </c>
      <c r="C6">
        <f>44.9444506</f>
        <v>44.944450600000003</v>
      </c>
      <c r="D6">
        <f>9.177013311</f>
        <v>9.1770133109999996</v>
      </c>
      <c r="E6">
        <f>54.12146392</f>
        <v>54.121463919999997</v>
      </c>
      <c r="F6">
        <f>45.58440579</f>
        <v>45.584405789999998</v>
      </c>
      <c r="G6">
        <f>43.47464203</f>
        <v>43.474642029999998</v>
      </c>
      <c r="H6">
        <f>0.3327229184</f>
        <v>0.33272291840000001</v>
      </c>
      <c r="I6">
        <f>43.80736495</f>
        <v>43.80736495</v>
      </c>
      <c r="J6">
        <f>143.25303</f>
        <v>143.25303</v>
      </c>
      <c r="K6">
        <f>7.6184079</f>
        <v>7.6184079000000002</v>
      </c>
      <c r="L6">
        <f>7341.2854</f>
        <v>7341.2853999999998</v>
      </c>
    </row>
    <row r="7" spans="1:12" x14ac:dyDescent="0.25">
      <c r="A7">
        <f>0.65</f>
        <v>0.65</v>
      </c>
      <c r="B7">
        <f>47.86187872</f>
        <v>47.86187872</v>
      </c>
      <c r="C7">
        <f>45.73177549</f>
        <v>45.731775489999997</v>
      </c>
      <c r="D7">
        <f>9.001293958</f>
        <v>9.0012939579999998</v>
      </c>
      <c r="E7">
        <f>54.73306945</f>
        <v>54.733069450000002</v>
      </c>
      <c r="F7">
        <f>46.29666213</f>
        <v>46.296662130000001</v>
      </c>
      <c r="G7">
        <f>44.23621921</f>
        <v>44.236219210000002</v>
      </c>
      <c r="H7">
        <f>0.3331574596</f>
        <v>0.33315745959999998</v>
      </c>
      <c r="I7">
        <f>44.56937666</f>
        <v>44.569376660000003</v>
      </c>
      <c r="J7">
        <f>140.84517</f>
        <v>140.84517</v>
      </c>
      <c r="K7">
        <f>7.8020163</f>
        <v>7.8020163</v>
      </c>
      <c r="L7">
        <f>7106.8455</f>
        <v>7106.8455000000004</v>
      </c>
    </row>
    <row r="8" spans="1:12" x14ac:dyDescent="0.25">
      <c r="A8">
        <f>0.66</f>
        <v>0.66</v>
      </c>
      <c r="B8">
        <f>48.59821531</f>
        <v>48.59821531</v>
      </c>
      <c r="C8">
        <f>46.51917376</f>
        <v>46.519173760000001</v>
      </c>
      <c r="D8">
        <f>8.825326237</f>
        <v>8.8253262370000005</v>
      </c>
      <c r="E8">
        <f>55.3445</f>
        <v>55.344499999999996</v>
      </c>
      <c r="F8">
        <f>47.00891847</f>
        <v>47.008918469999998</v>
      </c>
      <c r="G8">
        <f>44.99786736</f>
        <v>44.997867360000001</v>
      </c>
      <c r="H8">
        <f>0.3335986692</f>
        <v>0.33359866919999998</v>
      </c>
      <c r="I8">
        <f>45.33146602</f>
        <v>45.331466020000001</v>
      </c>
      <c r="J8">
        <f>138.29</f>
        <v>138.29</v>
      </c>
      <c r="K8">
        <f>7.9949775</f>
        <v>7.9949775000000001</v>
      </c>
      <c r="L8">
        <f>6872.1891</f>
        <v>6872.1890999999996</v>
      </c>
    </row>
    <row r="9" spans="1:12" x14ac:dyDescent="0.25">
      <c r="A9">
        <f>0.67</f>
        <v>0.67</v>
      </c>
      <c r="B9">
        <f>49.33455191</f>
        <v>49.334551910000002</v>
      </c>
      <c r="C9">
        <f>47.30665342</f>
        <v>47.306653420000004</v>
      </c>
      <c r="D9">
        <f>8.649082864</f>
        <v>8.6490828640000004</v>
      </c>
      <c r="E9">
        <f>55.95573628</f>
        <v>55.955736280000004</v>
      </c>
      <c r="F9">
        <f>47.72117481</f>
        <v>47.721174810000001</v>
      </c>
      <c r="G9">
        <f>45.75959424</f>
        <v>45.759594239999998</v>
      </c>
      <c r="H9">
        <f>0.3340470847</f>
        <v>0.3340470847</v>
      </c>
      <c r="I9">
        <f>46.09364132</f>
        <v>46.093641320000003</v>
      </c>
      <c r="J9">
        <f>135.58683</f>
        <v>135.58682999999999</v>
      </c>
      <c r="K9">
        <f>8.1980569</f>
        <v>8.1980568999999992</v>
      </c>
      <c r="L9">
        <f>6637.2927</f>
        <v>6637.2927</v>
      </c>
    </row>
    <row r="10" spans="1:12" x14ac:dyDescent="0.25">
      <c r="A10">
        <f>0.68</f>
        <v>0.68</v>
      </c>
      <c r="B10">
        <f>50.07088851</f>
        <v>50.070888510000003</v>
      </c>
      <c r="C10">
        <f>48.09422372</f>
        <v>48.094223720000002</v>
      </c>
      <c r="D10">
        <f>8.472532344</f>
        <v>8.4725323439999993</v>
      </c>
      <c r="E10">
        <f>56.56675606</f>
        <v>56.566756060000003</v>
      </c>
      <c r="F10">
        <f>48.43343115</f>
        <v>48.433431149999997</v>
      </c>
      <c r="G10">
        <f>46.5214088</f>
        <v>46.521408800000003</v>
      </c>
      <c r="H10">
        <f>0.3345033069</f>
        <v>0.33450330690000002</v>
      </c>
      <c r="I10">
        <f>46.85591211</f>
        <v>46.855912109999998</v>
      </c>
      <c r="J10">
        <f>132.73488</f>
        <v>132.73488</v>
      </c>
      <c r="K10">
        <f>8.4121106</f>
        <v>8.4121106000000001</v>
      </c>
      <c r="L10">
        <f>6402.129</f>
        <v>6402.1289999999999</v>
      </c>
    </row>
    <row r="11" spans="1:12" x14ac:dyDescent="0.25">
      <c r="A11">
        <f>0.69</f>
        <v>0.69</v>
      </c>
      <c r="B11">
        <f>50.8072251</f>
        <v>50.807225099999997</v>
      </c>
      <c r="C11">
        <f>48.8818954</f>
        <v>48.881895399999998</v>
      </c>
      <c r="D11">
        <f>8.295638118</f>
        <v>8.2956381179999994</v>
      </c>
      <c r="E11">
        <f>57.17753352</f>
        <v>57.177533519999997</v>
      </c>
      <c r="F11">
        <f>49.14568749</f>
        <v>49.14568749</v>
      </c>
      <c r="G11">
        <f>47.28332143</f>
        <v>47.283321430000001</v>
      </c>
      <c r="H11">
        <f>0.3349680109</f>
        <v>0.3349680109</v>
      </c>
      <c r="I11">
        <f>47.61828944</f>
        <v>47.618289439999998</v>
      </c>
      <c r="J11">
        <f>129.73324</f>
        <v>129.73324</v>
      </c>
      <c r="K11">
        <f>8.6381002</f>
        <v>8.6381002000000002</v>
      </c>
      <c r="L11">
        <f>6166.6662</f>
        <v>6166.6661999999997</v>
      </c>
    </row>
    <row r="12" spans="1:12" x14ac:dyDescent="0.25">
      <c r="A12">
        <f>0.7</f>
        <v>0.7</v>
      </c>
      <c r="B12">
        <f>51.5435617</f>
        <v>51.543561699999998</v>
      </c>
      <c r="C12">
        <f>49.66968101</f>
        <v>49.669681009999998</v>
      </c>
      <c r="D12">
        <f>8.118357479</f>
        <v>8.1183574790000002</v>
      </c>
      <c r="E12">
        <f>57.78803848</f>
        <v>57.788038479999997</v>
      </c>
      <c r="F12">
        <f>49.85794383</f>
        <v>49.857943830000004</v>
      </c>
      <c r="G12">
        <f>48.04534425</f>
        <v>48.045344249999999</v>
      </c>
      <c r="H12">
        <f>0.3354419579</f>
        <v>0.33544195789999998</v>
      </c>
      <c r="I12">
        <f>48.38078621</f>
        <v>48.380786209999997</v>
      </c>
      <c r="J12">
        <f>126.58084</f>
        <v>126.58083999999999</v>
      </c>
      <c r="K12">
        <f>8.8771112</f>
        <v>8.8771111999999999</v>
      </c>
      <c r="L12">
        <f>5930.8673</f>
        <v>5930.8672999999999</v>
      </c>
    </row>
    <row r="13" spans="1:12" x14ac:dyDescent="0.25">
      <c r="A13">
        <f>0.71</f>
        <v>0.71</v>
      </c>
      <c r="B13">
        <f>52.27989829</f>
        <v>52.279898289999998</v>
      </c>
      <c r="C13">
        <f>50.45759526</f>
        <v>50.457595259999998</v>
      </c>
      <c r="D13">
        <f>7.940640198</f>
        <v>7.9406401979999996</v>
      </c>
      <c r="E13">
        <f>58.39823546</f>
        <v>58.398235460000002</v>
      </c>
      <c r="F13">
        <f>50.57020017</f>
        <v>50.57020017</v>
      </c>
      <c r="G13">
        <f>48.80749152</f>
        <v>48.807491519999999</v>
      </c>
      <c r="H13">
        <f>0.3359260118</f>
        <v>0.33592601179999998</v>
      </c>
      <c r="I13">
        <f>49.14341753</f>
        <v>49.143417530000001</v>
      </c>
      <c r="J13">
        <f>123.27644</f>
        <v>123.27643999999999</v>
      </c>
      <c r="K13">
        <f>9.1303749</f>
        <v>9.1303748999999996</v>
      </c>
      <c r="L13">
        <f>5694.6888</f>
        <v>5694.6887999999999</v>
      </c>
    </row>
    <row r="14" spans="1:12" x14ac:dyDescent="0.25">
      <c r="A14">
        <f>0.72</f>
        <v>0.72</v>
      </c>
      <c r="B14">
        <f>53.01623489</f>
        <v>53.01623489</v>
      </c>
      <c r="C14">
        <f>51.24565563</f>
        <v>51.245655630000002</v>
      </c>
      <c r="D14">
        <f>7.762426759</f>
        <v>7.7624267590000002</v>
      </c>
      <c r="E14">
        <f>59.00808239</f>
        <v>59.008082389999998</v>
      </c>
      <c r="F14">
        <f>51.28245651</f>
        <v>51.282456510000003</v>
      </c>
      <c r="G14">
        <f>49.56978012</f>
        <v>49.569780119999997</v>
      </c>
      <c r="H14">
        <f>0.3364211583</f>
        <v>0.33642115830000002</v>
      </c>
      <c r="I14">
        <f>49.90620128</f>
        <v>49.906201279999998</v>
      </c>
      <c r="J14">
        <f>119.81854</f>
        <v>119.81854</v>
      </c>
      <c r="K14">
        <f>9.3992961</f>
        <v>9.3992961000000008</v>
      </c>
      <c r="L14">
        <f>5458.0789</f>
        <v>5458.0789000000004</v>
      </c>
    </row>
    <row r="15" spans="1:12" x14ac:dyDescent="0.25">
      <c r="A15">
        <f>0.73</f>
        <v>0.73</v>
      </c>
      <c r="B15">
        <f>53.75257148</f>
        <v>53.75257148</v>
      </c>
      <c r="C15">
        <f>52.03388295</f>
        <v>52.033882949999999</v>
      </c>
      <c r="D15">
        <f>7.583646055</f>
        <v>7.583646055</v>
      </c>
      <c r="E15">
        <f>59.617529</f>
        <v>59.617528999999998</v>
      </c>
      <c r="F15">
        <f>51.99471285</f>
        <v>51.994712849999999</v>
      </c>
      <c r="G15">
        <f>50.33223021</f>
        <v>50.332230209999999</v>
      </c>
      <c r="H15">
        <f>0.3369285298</f>
        <v>0.33692852979999999</v>
      </c>
      <c r="I15">
        <f>50.66915874</f>
        <v>50.66915874</v>
      </c>
      <c r="J15">
        <f>116.2054</f>
        <v>116.2054</v>
      </c>
      <c r="K15">
        <f>9.6854881</f>
        <v>9.6854881000000006</v>
      </c>
      <c r="L15">
        <f>5220.9761</f>
        <v>5220.9760999999999</v>
      </c>
    </row>
    <row r="16" spans="1:12" x14ac:dyDescent="0.25">
      <c r="A16">
        <f>0.74</f>
        <v>0.74</v>
      </c>
      <c r="B16">
        <f>54.48890808</f>
        <v>54.488908080000002</v>
      </c>
      <c r="C16">
        <f>52.82230175</f>
        <v>52.822301750000001</v>
      </c>
      <c r="D16">
        <f>7.404214393</f>
        <v>7.4042143930000002</v>
      </c>
      <c r="E16">
        <f>60.22651614</f>
        <v>60.226516140000001</v>
      </c>
      <c r="F16">
        <f>52.70696919</f>
        <v>52.706969190000002</v>
      </c>
      <c r="G16">
        <f>51.09486552</f>
        <v>51.094865519999999</v>
      </c>
      <c r="H16">
        <f>0.3374494308</f>
        <v>0.33744943080000001</v>
      </c>
      <c r="I16">
        <f>51.43231495</f>
        <v>51.432314949999999</v>
      </c>
      <c r="J16">
        <f>112.43627</f>
        <v>112.43626999999999</v>
      </c>
      <c r="K16">
        <f>9.9908133</f>
        <v>9.9908132999999992</v>
      </c>
      <c r="L16">
        <f>4983.3682</f>
        <v>4983.3681999999999</v>
      </c>
    </row>
    <row r="17" spans="1:12" x14ac:dyDescent="0.25">
      <c r="A17">
        <f>0.75</f>
        <v>0.75</v>
      </c>
      <c r="B17">
        <f>55.22524468</f>
        <v>55.225244680000003</v>
      </c>
      <c r="C17">
        <f>53.6109437</f>
        <v>53.6109437</v>
      </c>
      <c r="D17">
        <f>7.224023573</f>
        <v>7.2240235730000002</v>
      </c>
      <c r="E17">
        <f>60.83496727</f>
        <v>60.83496727</v>
      </c>
      <c r="F17">
        <f>53.41922553</f>
        <v>53.419225529999999</v>
      </c>
      <c r="G17">
        <f>51.85771669</f>
        <v>51.857716689999997</v>
      </c>
      <c r="H17">
        <f>0.3379854023</f>
        <v>0.33798540230000002</v>
      </c>
      <c r="I17">
        <f>52.19570209</f>
        <v>52.195702089999997</v>
      </c>
      <c r="J17">
        <f>108.50584</f>
        <v>108.50584000000001</v>
      </c>
      <c r="K17">
        <f>10.317454</f>
        <v>10.317454</v>
      </c>
      <c r="L17">
        <f>4745.0427</f>
        <v>4745.0427</v>
      </c>
    </row>
    <row r="18" spans="1:12" x14ac:dyDescent="0.25">
      <c r="A18">
        <f>0.76</f>
        <v>0.76</v>
      </c>
      <c r="B18">
        <f>55.96158127</f>
        <v>55.961581270000003</v>
      </c>
      <c r="C18">
        <f>54.39984596</f>
        <v>54.39984596</v>
      </c>
      <c r="D18">
        <f>7.042946706</f>
        <v>7.0429467060000004</v>
      </c>
      <c r="E18">
        <f>61.44279266</f>
        <v>61.442792660000002</v>
      </c>
      <c r="F18">
        <f>54.13148187</f>
        <v>54.131481870000002</v>
      </c>
      <c r="G18">
        <f>52.62081965</f>
        <v>52.620819650000001</v>
      </c>
      <c r="H18">
        <f>0.3385382432</f>
        <v>0.33853824319999998</v>
      </c>
      <c r="I18">
        <f>52.95935789</f>
        <v>52.95935789</v>
      </c>
      <c r="J18">
        <f>104.41225</f>
        <v>104.41225</v>
      </c>
      <c r="K18">
        <f>10.66797</f>
        <v>10.66797</v>
      </c>
      <c r="L18">
        <f>4505.9477</f>
        <v>4505.9476999999997</v>
      </c>
    </row>
    <row r="19" spans="1:12" x14ac:dyDescent="0.25">
      <c r="A19">
        <f>0.77</f>
        <v>0.77</v>
      </c>
      <c r="B19">
        <f>56.69791787</f>
        <v>56.697917869999998</v>
      </c>
      <c r="C19">
        <f>55.18905552</f>
        <v>55.189055519999997</v>
      </c>
      <c r="D19">
        <f>6.860823143</f>
        <v>6.8608231430000002</v>
      </c>
      <c r="E19">
        <f>62.04987866</f>
        <v>62.049878659999997</v>
      </c>
      <c r="F19">
        <f>54.84373821</f>
        <v>54.843738209999998</v>
      </c>
      <c r="G19">
        <f>53.38421986</f>
        <v>53.384219860000002</v>
      </c>
      <c r="H19">
        <f>0.339110105</f>
        <v>0.339110105</v>
      </c>
      <c r="I19">
        <f>53.72332997</f>
        <v>53.723329970000002</v>
      </c>
      <c r="J19">
        <f>100.15152</f>
        <v>100.15152</v>
      </c>
      <c r="K19">
        <f>11.04541</f>
        <v>11.04541</v>
      </c>
      <c r="L19">
        <f>4265.9435</f>
        <v>4265.9435000000003</v>
      </c>
    </row>
    <row r="20" spans="1:12" x14ac:dyDescent="0.25">
      <c r="A20">
        <f>0.78</f>
        <v>0.78</v>
      </c>
      <c r="B20">
        <f>57.43425446</f>
        <v>57.434254459999998</v>
      </c>
      <c r="C20">
        <f>55.97863194</f>
        <v>55.97863194</v>
      </c>
      <c r="D20">
        <f>6.677449266</f>
        <v>6.677449266</v>
      </c>
      <c r="E20">
        <f>62.6560812</f>
        <v>62.656081200000003</v>
      </c>
      <c r="F20">
        <f>55.55599455</f>
        <v>55.555994550000001</v>
      </c>
      <c r="G20">
        <f>54.14797493</f>
        <v>54.147974929999997</v>
      </c>
      <c r="H20">
        <f>0.3397035887</f>
        <v>0.3397035887</v>
      </c>
      <c r="I20">
        <f>54.48767852</f>
        <v>54.487678520000003</v>
      </c>
      <c r="J20">
        <f>95.7186</f>
        <v>95.718599999999995</v>
      </c>
      <c r="K20">
        <f>11.453453</f>
        <v>11.453453</v>
      </c>
      <c r="L20">
        <f>4024.8529</f>
        <v>4024.8528999999999</v>
      </c>
    </row>
    <row r="21" spans="1:12" x14ac:dyDescent="0.25">
      <c r="A21">
        <f>0.79</f>
        <v>0.79</v>
      </c>
      <c r="B21">
        <f>58.17059106</f>
        <v>58.17059106</v>
      </c>
      <c r="C21">
        <f>56.76865197</f>
        <v>56.768651970000001</v>
      </c>
      <c r="D21">
        <f>6.492562453</f>
        <v>6.4925624529999997</v>
      </c>
      <c r="E21">
        <f>63.26121443</f>
        <v>63.261214430000003</v>
      </c>
      <c r="F21">
        <f>56.26825089</f>
        <v>56.268250889999997</v>
      </c>
      <c r="G21">
        <f>54.91215912</f>
        <v>54.912159119999998</v>
      </c>
      <c r="H21">
        <f>0.3403218894</f>
        <v>0.34032188940000002</v>
      </c>
      <c r="I21">
        <f>55.25248101</f>
        <v>55.252481009999997</v>
      </c>
      <c r="J21">
        <f>91.106983</f>
        <v>91.106983</v>
      </c>
      <c r="K21">
        <f>11.896603</f>
        <v>11.896603000000001</v>
      </c>
      <c r="L21">
        <f>3782.4469</f>
        <v>3782.4468999999999</v>
      </c>
    </row>
    <row r="22" spans="1:12" x14ac:dyDescent="0.25">
      <c r="A22">
        <f>0.8</f>
        <v>0.8</v>
      </c>
      <c r="B22">
        <f>58.90692765</f>
        <v>58.90692765</v>
      </c>
      <c r="C22">
        <f>57.55921667</f>
        <v>57.559216669999998</v>
      </c>
      <c r="D22">
        <f>6.305816918</f>
        <v>6.3058169179999997</v>
      </c>
      <c r="E22">
        <f>63.86503359</f>
        <v>63.865033590000003</v>
      </c>
      <c r="F22">
        <f>56.98050723</f>
        <v>56.980507230000001</v>
      </c>
      <c r="G22">
        <f>55.67687015</f>
        <v>55.676870149999999</v>
      </c>
      <c r="H22">
        <f>0.3409690089</f>
        <v>0.34096900889999998</v>
      </c>
      <c r="I22">
        <f>56.01783916</f>
        <v>56.017839160000001</v>
      </c>
      <c r="J22">
        <f>86.308108</f>
        <v>86.308108000000004</v>
      </c>
      <c r="K22">
        <f>12.380481</f>
        <v>12.380481</v>
      </c>
      <c r="L22">
        <f>3538.4241</f>
        <v>3538.4241000000002</v>
      </c>
    </row>
    <row r="23" spans="1:12" x14ac:dyDescent="0.25">
      <c r="A23">
        <f>0.81</f>
        <v>0.81</v>
      </c>
      <c r="B23">
        <f>59.64326425</f>
        <v>59.643264250000001</v>
      </c>
      <c r="C23">
        <f>58.35046231</f>
        <v>58.350462309999998</v>
      </c>
      <c r="D23">
        <f>6.116746005</f>
        <v>6.1167460050000004</v>
      </c>
      <c r="E23">
        <f>64.46720832</f>
        <v>64.467208319999997</v>
      </c>
      <c r="F23">
        <f>57.69276357</f>
        <v>57.692763569999997</v>
      </c>
      <c r="G23">
        <f>56.44223986</f>
        <v>56.442239860000001</v>
      </c>
      <c r="H23">
        <f>0.3416500795</f>
        <v>0.34165007949999998</v>
      </c>
      <c r="I23">
        <f>56.78388994</f>
        <v>56.783889940000002</v>
      </c>
      <c r="J23">
        <f>81.31043</f>
        <v>81.310429999999997</v>
      </c>
      <c r="K23">
        <f>12.912264</f>
        <v>12.912264</v>
      </c>
      <c r="L23">
        <f>3292.3767</f>
        <v>3292.3766999999998</v>
      </c>
    </row>
    <row r="24" spans="1:12" x14ac:dyDescent="0.25">
      <c r="A24">
        <f>0.82</f>
        <v>0.82</v>
      </c>
      <c r="B24">
        <f>60.37960085</f>
        <v>60.379600850000003</v>
      </c>
      <c r="C24">
        <f>59.14257839</f>
        <v>59.142578389999997</v>
      </c>
      <c r="D24">
        <f>5.924700633</f>
        <v>5.9247006329999996</v>
      </c>
      <c r="E24">
        <f>65.06727902</f>
        <v>65.067279020000001</v>
      </c>
      <c r="F24">
        <f>58.40501992</f>
        <v>58.405019920000001</v>
      </c>
      <c r="G24">
        <f>57.20845153</f>
        <v>57.208451529999998</v>
      </c>
      <c r="H24">
        <f>0.342371881</f>
        <v>0.34237188099999999</v>
      </c>
      <c r="I24">
        <f>57.55082342</f>
        <v>57.55082342</v>
      </c>
      <c r="J24">
        <f>76.097907</f>
        <v>76.097907000000006</v>
      </c>
      <c r="K24">
        <f>13.501388</f>
        <v>13.501388</v>
      </c>
      <c r="L24">
        <f>3043.737</f>
        <v>3043.7370000000001</v>
      </c>
    </row>
    <row r="25" spans="1:12" x14ac:dyDescent="0.25">
      <c r="A25">
        <f>0.83</f>
        <v>0.83</v>
      </c>
      <c r="B25">
        <f>61.11593744</f>
        <v>61.115937440000003</v>
      </c>
      <c r="C25">
        <f>59.93583853</f>
        <v>59.935838529999998</v>
      </c>
      <c r="D25">
        <f>5.72874359</f>
        <v>5.7287435899999997</v>
      </c>
      <c r="E25">
        <f>65.66458212</f>
        <v>65.664582120000006</v>
      </c>
      <c r="F25">
        <f>59.11727626</f>
        <v>59.117276259999997</v>
      </c>
      <c r="G25">
        <f>57.97576986</f>
        <v>57.97576986</v>
      </c>
      <c r="H25">
        <f>0.3431438294</f>
        <v>0.34314382939999999</v>
      </c>
      <c r="I25">
        <f>58.31891369</f>
        <v>58.318913690000002</v>
      </c>
      <c r="J25">
        <f>70.647396</f>
        <v>70.647396000000001</v>
      </c>
      <c r="K25">
        <f>14.160724</f>
        <v>14.160724</v>
      </c>
      <c r="L25">
        <f>2791.6845</f>
        <v>2791.6844999999998</v>
      </c>
    </row>
    <row r="26" spans="1:12" x14ac:dyDescent="0.25">
      <c r="A26">
        <f>0.84</f>
        <v>0.84</v>
      </c>
      <c r="B26">
        <f>61.85227404</f>
        <v>61.852274039999998</v>
      </c>
      <c r="C26">
        <f>60.73065774</f>
        <v>60.730657739999998</v>
      </c>
      <c r="D26">
        <f>5.527451745</f>
        <v>5.5274517449999996</v>
      </c>
      <c r="E26">
        <f>66.25810948</f>
        <v>66.258109480000002</v>
      </c>
      <c r="F26">
        <f>59.8295326</f>
        <v>59.8295326</v>
      </c>
      <c r="G26">
        <f>58.74459627</f>
        <v>58.744596270000002</v>
      </c>
      <c r="H26">
        <f>0.3439792531</f>
        <v>0.34397925309999999</v>
      </c>
      <c r="I26">
        <f>59.08857552</f>
        <v>59.088575519999999</v>
      </c>
      <c r="J26">
        <f>64.923879</f>
        <v>64.923878999999999</v>
      </c>
      <c r="K26">
        <f>14.908728</f>
        <v>14.908728</v>
      </c>
      <c r="L26">
        <f>2534.9736</f>
        <v>2534.9735999999998</v>
      </c>
    </row>
    <row r="27" spans="1:12" x14ac:dyDescent="0.25">
      <c r="A27">
        <f>0.85</f>
        <v>0.85</v>
      </c>
      <c r="B27">
        <f>62.58861063</f>
        <v>62.588610629999998</v>
      </c>
      <c r="C27">
        <f>61.5277073</f>
        <v>61.527707300000003</v>
      </c>
      <c r="D27">
        <f>5.318523577</f>
        <v>5.3185235769999997</v>
      </c>
      <c r="E27">
        <f>66.84623087</f>
        <v>66.846230869999999</v>
      </c>
      <c r="F27">
        <f>60.54178894</f>
        <v>60.541788940000004</v>
      </c>
      <c r="G27">
        <f>59.51558009</f>
        <v>59.51558009</v>
      </c>
      <c r="H27">
        <f>0.3448990051</f>
        <v>0.34489900509999999</v>
      </c>
      <c r="I27">
        <f>59.8604791</f>
        <v>59.860479099999999</v>
      </c>
      <c r="J27">
        <f>58.871672</f>
        <v>58.871671999999997</v>
      </c>
      <c r="K27">
        <f>15.773709</f>
        <v>15.773709</v>
      </c>
      <c r="L27">
        <f>2271.6202</f>
        <v>2271.6201999999998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M11" sqref="M11"/>
    </sheetView>
  </sheetViews>
  <sheetFormatPr defaultRowHeight="15" x14ac:dyDescent="0.25"/>
  <sheetData>
    <row r="1" spans="1:12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5">
      <c r="A2">
        <f>0.6</f>
        <v>0.6</v>
      </c>
      <c r="B2">
        <f>44.73244819</f>
        <v>44.732448189999999</v>
      </c>
      <c r="C2">
        <f>42.30338034</f>
        <v>42.303380339999997</v>
      </c>
      <c r="D2">
        <f>8.764159357</f>
        <v>8.7641593570000005</v>
      </c>
      <c r="E2">
        <f>51.0675397</f>
        <v>51.067539699999998</v>
      </c>
      <c r="F2">
        <f>43.26957268</f>
        <v>43.269572680000003</v>
      </c>
      <c r="G2">
        <f>40.91994211</f>
        <v>40.919942110000001</v>
      </c>
      <c r="H2">
        <f>0.02972899287</f>
        <v>2.9728992869999998E-2</v>
      </c>
      <c r="I2">
        <f>40.9496711</f>
        <v>40.949671100000003</v>
      </c>
      <c r="J2">
        <f>151.0268</f>
        <v>151.02680000000001</v>
      </c>
      <c r="K2">
        <f>6.9214594</f>
        <v>6.9214593999999998</v>
      </c>
      <c r="L2">
        <f>8255.6458</f>
        <v>8255.6458000000002</v>
      </c>
    </row>
    <row r="3" spans="1:12" x14ac:dyDescent="0.25">
      <c r="A3">
        <f>0.61</f>
        <v>0.61</v>
      </c>
      <c r="B3">
        <f>45.47798899</f>
        <v>45.47798899</v>
      </c>
      <c r="C3">
        <f>43.10031702</f>
        <v>43.100317019999999</v>
      </c>
      <c r="D3">
        <f>8.587017248</f>
        <v>8.5870172480000004</v>
      </c>
      <c r="E3">
        <f>51.68733427</f>
        <v>51.687334270000001</v>
      </c>
      <c r="F3">
        <f>43.99073223</f>
        <v>43.990732229999999</v>
      </c>
      <c r="G3">
        <f>41.69081674</f>
        <v>41.690816740000002</v>
      </c>
      <c r="H3">
        <f>0.03005694363</f>
        <v>3.0056943629999999E-2</v>
      </c>
      <c r="I3">
        <f>41.72087369</f>
        <v>41.720873689999998</v>
      </c>
      <c r="J3">
        <f>149.19464</f>
        <v>149.19463999999999</v>
      </c>
      <c r="K3">
        <f>7.0719896</f>
        <v>7.0719896000000002</v>
      </c>
      <c r="L3">
        <f>8021.7968</f>
        <v>8021.7968000000001</v>
      </c>
    </row>
    <row r="4" spans="1:12" x14ac:dyDescent="0.25">
      <c r="A4">
        <f>0.62</f>
        <v>0.62</v>
      </c>
      <c r="B4">
        <f>46.22352979</f>
        <v>46.223529790000001</v>
      </c>
      <c r="C4">
        <f>43.89730494</f>
        <v>43.897304939999998</v>
      </c>
      <c r="D4">
        <f>8.409701848</f>
        <v>8.4097018479999992</v>
      </c>
      <c r="E4">
        <f>52.30700679</f>
        <v>52.307006790000003</v>
      </c>
      <c r="F4">
        <f>44.71189177</f>
        <v>44.711891770000001</v>
      </c>
      <c r="G4">
        <f>42.46174094</f>
        <v>42.461740939999999</v>
      </c>
      <c r="H4">
        <f>0.03038602539</f>
        <v>3.0386025390000002E-2</v>
      </c>
      <c r="I4">
        <f>42.49212697</f>
        <v>42.492126970000001</v>
      </c>
      <c r="J4">
        <f>147.21696</f>
        <v>147.21696</v>
      </c>
      <c r="K4">
        <f>7.2293731</f>
        <v>7.2293731000000001</v>
      </c>
      <c r="L4">
        <f>7787.7936</f>
        <v>7787.7936</v>
      </c>
    </row>
    <row r="5" spans="1:12" x14ac:dyDescent="0.25">
      <c r="A5">
        <f>0.63</f>
        <v>0.63</v>
      </c>
      <c r="B5">
        <f>46.9690706</f>
        <v>46.969070600000002</v>
      </c>
      <c r="C5">
        <f>44.69434898</f>
        <v>44.694348980000001</v>
      </c>
      <c r="D5">
        <f>8.232196575</f>
        <v>8.2321965749999997</v>
      </c>
      <c r="E5">
        <f>52.92654555</f>
        <v>52.92654555</v>
      </c>
      <c r="F5">
        <f>45.43305132</f>
        <v>45.433051319999997</v>
      </c>
      <c r="G5">
        <f>43.23271942</f>
        <v>43.232719420000002</v>
      </c>
      <c r="H5">
        <f>0.03071632531</f>
        <v>3.0716325310000001E-2</v>
      </c>
      <c r="I5">
        <f>43.26343575</f>
        <v>43.263435749999999</v>
      </c>
      <c r="J5">
        <f>145.09334</f>
        <v>145.09334000000001</v>
      </c>
      <c r="K5">
        <f>7.3941046</f>
        <v>7.3941046000000004</v>
      </c>
      <c r="L5">
        <f>7553.6214</f>
        <v>7553.6214</v>
      </c>
    </row>
    <row r="6" spans="1:12" x14ac:dyDescent="0.25">
      <c r="A6">
        <f>0.64</f>
        <v>0.64</v>
      </c>
      <c r="B6">
        <f>47.7146114</f>
        <v>47.714611400000003</v>
      </c>
      <c r="C6">
        <f>45.49145465</f>
        <v>45.491454650000001</v>
      </c>
      <c r="D6">
        <f>8.054482637</f>
        <v>8.0544826369999996</v>
      </c>
      <c r="E6">
        <f>53.54593729</f>
        <v>53.545937289999998</v>
      </c>
      <c r="F6">
        <f>46.15421086</f>
        <v>46.154210859999999</v>
      </c>
      <c r="G6">
        <f>44.00375753</f>
        <v>44.003757530000001</v>
      </c>
      <c r="H6">
        <f>0.03104794027</f>
        <v>3.1047940270000001E-2</v>
      </c>
      <c r="I6">
        <f>44.03480547</f>
        <v>44.034805470000002</v>
      </c>
      <c r="J6">
        <f>142.82331</f>
        <v>142.82330999999999</v>
      </c>
      <c r="K6">
        <f>7.5667296</f>
        <v>7.5667296000000004</v>
      </c>
      <c r="L6">
        <f>7319.2636</f>
        <v>7319.2636000000002</v>
      </c>
    </row>
    <row r="7" spans="1:12" x14ac:dyDescent="0.25">
      <c r="A7">
        <f>0.65</f>
        <v>0.65</v>
      </c>
      <c r="B7">
        <f>48.4601522</f>
        <v>48.460152200000003</v>
      </c>
      <c r="C7">
        <f>46.28862826</f>
        <v>46.288628260000003</v>
      </c>
      <c r="D7">
        <f>7.876538644</f>
        <v>7.876538644</v>
      </c>
      <c r="E7">
        <f>54.1651669</f>
        <v>54.165166900000003</v>
      </c>
      <c r="F7">
        <f>46.8753704</f>
        <v>46.875370400000001</v>
      </c>
      <c r="G7">
        <f>44.77486134</f>
        <v>44.774861340000001</v>
      </c>
      <c r="H7">
        <f>0.03138097833</f>
        <v>3.1380978330000003E-2</v>
      </c>
      <c r="I7">
        <f>44.80624232</f>
        <v>44.806242320000003</v>
      </c>
      <c r="J7">
        <f>140.40631</f>
        <v>140.40630999999999</v>
      </c>
      <c r="K7">
        <f>7.7478516</f>
        <v>7.7478515999999997</v>
      </c>
      <c r="L7">
        <f>7084.7012</f>
        <v>7084.7012000000004</v>
      </c>
    </row>
    <row r="8" spans="1:12" x14ac:dyDescent="0.25">
      <c r="A8">
        <f>0.66</f>
        <v>0.66</v>
      </c>
      <c r="B8">
        <f>49.20569301</f>
        <v>49.205693009999997</v>
      </c>
      <c r="C8">
        <f>47.08587698</f>
        <v>47.085876980000002</v>
      </c>
      <c r="D8">
        <f>7.69834014</f>
        <v>7.69834014</v>
      </c>
      <c r="E8">
        <f>54.78421712</f>
        <v>54.784217120000001</v>
      </c>
      <c r="F8">
        <f>47.59652995</f>
        <v>47.596529949999997</v>
      </c>
      <c r="G8">
        <f>45.54603781</f>
        <v>45.546037810000001</v>
      </c>
      <c r="H8">
        <f>0.03171556047</f>
        <v>3.1715560470000001E-2</v>
      </c>
      <c r="I8">
        <f>45.57775337</f>
        <v>45.577753370000003</v>
      </c>
      <c r="J8">
        <f>137.84172</f>
        <v>137.84172000000001</v>
      </c>
      <c r="K8">
        <f>7.9381403</f>
        <v>7.9381402999999997</v>
      </c>
      <c r="L8">
        <f>6849.9126</f>
        <v>6849.9125999999997</v>
      </c>
    </row>
    <row r="9" spans="1:12" x14ac:dyDescent="0.25">
      <c r="A9">
        <f>0.67</f>
        <v>0.67</v>
      </c>
      <c r="B9">
        <f>49.95123381</f>
        <v>49.951233809999998</v>
      </c>
      <c r="C9">
        <f>47.88320907</f>
        <v>47.883209069999999</v>
      </c>
      <c r="D9">
        <f>7.519859026</f>
        <v>7.5198590259999998</v>
      </c>
      <c r="E9">
        <f>55.40306809</f>
        <v>55.403068089999998</v>
      </c>
      <c r="F9">
        <f>48.31768949</f>
        <v>48.317689489999999</v>
      </c>
      <c r="G9">
        <f>46.31729492</f>
        <v>46.317294920000002</v>
      </c>
      <c r="H9">
        <f>0.03205182274</f>
        <v>3.2051822739999999E-2</v>
      </c>
      <c r="I9">
        <f>46.34934674</f>
        <v>46.349346740000001</v>
      </c>
      <c r="J9">
        <f>135.12884</f>
        <v>135.12884</v>
      </c>
      <c r="K9">
        <f>8.1383418</f>
        <v>8.1383417999999992</v>
      </c>
      <c r="L9">
        <f>6614.8729</f>
        <v>6614.8729000000003</v>
      </c>
    </row>
    <row r="10" spans="1:12" x14ac:dyDescent="0.25">
      <c r="A10">
        <f>0.68</f>
        <v>0.68</v>
      </c>
      <c r="B10">
        <f>50.69677461</f>
        <v>50.696774609999999</v>
      </c>
      <c r="C10">
        <f>48.68063405</f>
        <v>48.680634050000002</v>
      </c>
      <c r="D10">
        <f>7.341062838</f>
        <v>7.341062838</v>
      </c>
      <c r="E10">
        <f>56.02169689</f>
        <v>56.021696890000001</v>
      </c>
      <c r="F10">
        <f>49.03884904</f>
        <v>49.038849040000002</v>
      </c>
      <c r="G10">
        <f>47.08864188</f>
        <v>47.088641879999997</v>
      </c>
      <c r="H10">
        <f>0.03238991885</f>
        <v>3.2389918849999998E-2</v>
      </c>
      <c r="I10">
        <f>47.1210318</f>
        <v>47.121031799999997</v>
      </c>
      <c r="J10">
        <f>132.26682</f>
        <v>132.26682</v>
      </c>
      <c r="K10">
        <f>8.3492903</f>
        <v>8.3492902999999998</v>
      </c>
      <c r="L10">
        <f>6379.5533</f>
        <v>6379.5532999999996</v>
      </c>
    </row>
    <row r="11" spans="1:12" x14ac:dyDescent="0.25">
      <c r="A11">
        <f>0.69</f>
        <v>0.69</v>
      </c>
      <c r="B11">
        <f>51.44231542</f>
        <v>51.44231542</v>
      </c>
      <c r="C11">
        <f>49.478163</f>
        <v>49.478163000000002</v>
      </c>
      <c r="D11">
        <f>7.161913858</f>
        <v>7.1619138580000001</v>
      </c>
      <c r="E11">
        <f>56.64007686</f>
        <v>56.640076860000001</v>
      </c>
      <c r="F11">
        <f>49.76000858</f>
        <v>49.760008579999997</v>
      </c>
      <c r="G11">
        <f>47.86008942</f>
        <v>47.860089420000001</v>
      </c>
      <c r="H11">
        <f>0.03273002331</f>
        <v>3.2730023310000002E-2</v>
      </c>
      <c r="I11">
        <f>47.89281944</f>
        <v>47.892819439999997</v>
      </c>
      <c r="J11">
        <f>129.25472</f>
        <v>129.25471999999999</v>
      </c>
      <c r="K11">
        <f>8.5719225</f>
        <v>8.5719224999999994</v>
      </c>
      <c r="L11">
        <f>6143.9204</f>
        <v>6143.9204</v>
      </c>
    </row>
    <row r="12" spans="1:12" x14ac:dyDescent="0.25">
      <c r="A12">
        <f>0.7</f>
        <v>0.7</v>
      </c>
      <c r="B12">
        <f>52.18785622</f>
        <v>52.18785622</v>
      </c>
      <c r="C12">
        <f>50.27580885</f>
        <v>50.275808849999997</v>
      </c>
      <c r="D12">
        <f>6.982367984</f>
        <v>6.9823679839999997</v>
      </c>
      <c r="E12">
        <f>57.25817683</f>
        <v>57.258176829999996</v>
      </c>
      <c r="F12">
        <f>50.48116813</f>
        <v>50.48116813</v>
      </c>
      <c r="G12">
        <f>48.63165002</f>
        <v>48.631650020000002</v>
      </c>
      <c r="H12">
        <f>0.0330723354</f>
        <v>3.30723354E-2</v>
      </c>
      <c r="I12">
        <f>48.66472236</f>
        <v>48.664722359999999</v>
      </c>
      <c r="J12">
        <f>126.0914</f>
        <v>126.09139999999999</v>
      </c>
      <c r="K12">
        <f>8.8072954</f>
        <v>8.8072953999999992</v>
      </c>
      <c r="L12">
        <f>5907.9349</f>
        <v>5907.9349000000002</v>
      </c>
    </row>
    <row r="13" spans="1:12" x14ac:dyDescent="0.25">
      <c r="A13">
        <f>0.71</f>
        <v>0.71</v>
      </c>
      <c r="B13">
        <f>52.93339702</f>
        <v>52.933397020000001</v>
      </c>
      <c r="C13">
        <f>51.07358681</f>
        <v>51.073586810000002</v>
      </c>
      <c r="D13">
        <f>6.802373287</f>
        <v>6.802373287</v>
      </c>
      <c r="E13">
        <f>57.8759601</f>
        <v>57.8759601</v>
      </c>
      <c r="F13">
        <f>51.20232767</f>
        <v>51.202327670000003</v>
      </c>
      <c r="G13">
        <f>49.40333843</f>
        <v>49.403338429999998</v>
      </c>
      <c r="H13">
        <f>0.03341708405</f>
        <v>3.3417084049999997E-2</v>
      </c>
      <c r="I13">
        <f>49.43675552</f>
        <v>49.436755519999998</v>
      </c>
      <c r="J13">
        <f>122.77556</f>
        <v>122.77556</v>
      </c>
      <c r="K13">
        <f>9.0566077</f>
        <v>9.0566077000000007</v>
      </c>
      <c r="L13">
        <f>5671.5509</f>
        <v>5671.5509000000002</v>
      </c>
    </row>
    <row r="14" spans="1:12" x14ac:dyDescent="0.25">
      <c r="A14">
        <f>0.72</f>
        <v>0.72</v>
      </c>
      <c r="B14">
        <f>53.67893782</f>
        <v>53.678937820000002</v>
      </c>
      <c r="C14">
        <f>51.87151443</f>
        <v>51.871514429999998</v>
      </c>
      <c r="D14">
        <f>6.621869982</f>
        <v>6.6218699819999998</v>
      </c>
      <c r="E14">
        <f>58.49338441</f>
        <v>58.493384409999997</v>
      </c>
      <c r="F14">
        <f>51.92348722</f>
        <v>51.923487219999998</v>
      </c>
      <c r="G14">
        <f>50.1751716</f>
        <v>50.175171599999999</v>
      </c>
      <c r="H14">
        <f>0.03376453058</f>
        <v>3.376453058E-2</v>
      </c>
      <c r="I14">
        <f>50.20893613</f>
        <v>50.208936129999998</v>
      </c>
      <c r="J14">
        <f>119.30705</f>
        <v>119.30705</v>
      </c>
      <c r="K14">
        <f>9.3212239</f>
        <v>9.3212238999999997</v>
      </c>
      <c r="L14">
        <f>5434.7789</f>
        <v>5434.7789000000002</v>
      </c>
    </row>
    <row r="15" spans="1:12" x14ac:dyDescent="0.25">
      <c r="A15">
        <f>0.73</f>
        <v>0.73</v>
      </c>
      <c r="B15">
        <f>54.42447863</f>
        <v>54.424478630000003</v>
      </c>
      <c r="C15">
        <f>52.66961427</f>
        <v>52.669614269999997</v>
      </c>
      <c r="D15">
        <f>6.440780975</f>
        <v>6.440780975</v>
      </c>
      <c r="E15">
        <f>59.11039524</f>
        <v>59.110395240000003</v>
      </c>
      <c r="F15">
        <f>52.64464676</f>
        <v>52.644646760000001</v>
      </c>
      <c r="G15">
        <f>50.94717135</f>
        <v>50.947171349999998</v>
      </c>
      <c r="H15">
        <f>0.03411499021</f>
        <v>3.4114990210000001E-2</v>
      </c>
      <c r="I15">
        <f>50.98128634</f>
        <v>50.981286339999997</v>
      </c>
      <c r="J15">
        <f>115.68122</f>
        <v>115.68122</v>
      </c>
      <c r="K15">
        <f>9.6027187</f>
        <v>9.6027187000000005</v>
      </c>
      <c r="L15">
        <f>5197.4254</f>
        <v>5197.4254000000001</v>
      </c>
    </row>
    <row r="16" spans="1:12" x14ac:dyDescent="0.25">
      <c r="A16">
        <f>0.74</f>
        <v>0.74</v>
      </c>
      <c r="B16">
        <f>55.17001943</f>
        <v>55.170019430000004</v>
      </c>
      <c r="C16">
        <f>53.46791191</f>
        <v>53.467911909999998</v>
      </c>
      <c r="D16">
        <f>6.259018882</f>
        <v>6.2590188820000003</v>
      </c>
      <c r="E16">
        <f>59.72693079</f>
        <v>59.726930789999997</v>
      </c>
      <c r="F16">
        <f>53.36580631</f>
        <v>53.365806310000004</v>
      </c>
      <c r="G16">
        <f>51.71936244</f>
        <v>51.719362439999998</v>
      </c>
      <c r="H16">
        <f>0.03446882277</f>
        <v>3.4468822769999997E-2</v>
      </c>
      <c r="I16">
        <f>51.75383126</f>
        <v>51.753831259999998</v>
      </c>
      <c r="J16">
        <f>111.89717</f>
        <v>111.89717</v>
      </c>
      <c r="K16">
        <f>9.9029055</f>
        <v>9.9029054999999993</v>
      </c>
      <c r="L16">
        <f>4959.4743</f>
        <v>4959.4742999999999</v>
      </c>
    </row>
    <row r="17" spans="1:12" x14ac:dyDescent="0.25">
      <c r="A17">
        <f>0.75</f>
        <v>0.75</v>
      </c>
      <c r="B17">
        <f>55.91556023</f>
        <v>55.915560229999997</v>
      </c>
      <c r="C17">
        <f>54.26643914</f>
        <v>54.266439140000003</v>
      </c>
      <c r="D17">
        <f>6.076475101</f>
        <v>6.0764751009999998</v>
      </c>
      <c r="E17">
        <f>60.34291424</f>
        <v>60.342914239999999</v>
      </c>
      <c r="F17">
        <f>54.08696585</f>
        <v>54.086965849999999</v>
      </c>
      <c r="G17">
        <f>52.49177561</f>
        <v>52.491775609999998</v>
      </c>
      <c r="H17">
        <f>0.03482645917</f>
        <v>3.4826459169999997E-2</v>
      </c>
      <c r="I17">
        <f>52.52660207</f>
        <v>52.526602070000003</v>
      </c>
      <c r="J17">
        <f>107.95214</f>
        <v>107.95214</v>
      </c>
      <c r="K17">
        <f>10.223902</f>
        <v>10.223902000000001</v>
      </c>
      <c r="L17">
        <f>4720.8291</f>
        <v>4720.8290999999999</v>
      </c>
    </row>
    <row r="18" spans="1:12" x14ac:dyDescent="0.25">
      <c r="A18">
        <f>0.76</f>
        <v>0.76</v>
      </c>
      <c r="B18">
        <f>56.66110104</f>
        <v>56.661101039999998</v>
      </c>
      <c r="C18">
        <f>55.0652352</f>
        <v>55.065235199999996</v>
      </c>
      <c r="D18">
        <f>5.893015519</f>
        <v>5.8930155190000004</v>
      </c>
      <c r="E18">
        <f>60.95825072</f>
        <v>60.958250720000002</v>
      </c>
      <c r="F18">
        <f>54.8081254</f>
        <v>54.808125400000002</v>
      </c>
      <c r="G18">
        <f>53.26444881</f>
        <v>53.264448809999998</v>
      </c>
      <c r="H18">
        <f>0.03518841675</f>
        <v>3.518841675E-2</v>
      </c>
      <c r="I18">
        <f>53.29963723</f>
        <v>53.299637230000002</v>
      </c>
      <c r="J18">
        <f>103.84274</f>
        <v>103.84274000000001</v>
      </c>
      <c r="K18">
        <f>10.568201</f>
        <v>10.568201</v>
      </c>
      <c r="L18">
        <f>4481.3702</f>
        <v>4481.3702000000003</v>
      </c>
    </row>
    <row r="19" spans="1:12" x14ac:dyDescent="0.25">
      <c r="A19">
        <f>0.77</f>
        <v>0.77</v>
      </c>
      <c r="B19">
        <f>57.40664184</f>
        <v>57.406641839999999</v>
      </c>
      <c r="C19">
        <f>55.86434915</f>
        <v>55.864349150000002</v>
      </c>
      <c r="D19">
        <f>5.708472288</f>
        <v>5.7084722880000003</v>
      </c>
      <c r="E19">
        <f>61.57282144</f>
        <v>61.572821439999998</v>
      </c>
      <c r="F19">
        <f>55.52928494</f>
        <v>55.529284939999997</v>
      </c>
      <c r="G19">
        <f>54.03742951</f>
        <v>54.037429510000003</v>
      </c>
      <c r="H19">
        <f>0.03555532472</f>
        <v>3.5555324720000003E-2</v>
      </c>
      <c r="I19">
        <f>54.07298483</f>
        <v>54.072984830000003</v>
      </c>
      <c r="J19">
        <f>99.5647</f>
        <v>99.564700000000002</v>
      </c>
      <c r="K19">
        <f>10.938773</f>
        <v>10.938772999999999</v>
      </c>
      <c r="L19">
        <f>4240.9479</f>
        <v>4240.9479000000001</v>
      </c>
    </row>
    <row r="20" spans="1:12" x14ac:dyDescent="0.25">
      <c r="A20">
        <f>0.78</f>
        <v>0.78</v>
      </c>
      <c r="B20">
        <f>58.15218264</f>
        <v>58.152182639999999</v>
      </c>
      <c r="C20">
        <f>56.66384335</f>
        <v>56.66384335</v>
      </c>
      <c r="D20">
        <f>5.522632046</f>
        <v>5.522632046</v>
      </c>
      <c r="E20">
        <f>62.1864754</f>
        <v>62.186475399999999</v>
      </c>
      <c r="F20">
        <f>56.25044449</f>
        <v>56.25044449</v>
      </c>
      <c r="G20">
        <f>54.81077803</f>
        <v>54.810778030000002</v>
      </c>
      <c r="H20">
        <f>0.0359279598</f>
        <v>3.5927959799999999E-2</v>
      </c>
      <c r="I20">
        <f>54.84670599</f>
        <v>54.846705989999997</v>
      </c>
      <c r="J20">
        <f>95.112606</f>
        <v>95.112606</v>
      </c>
      <c r="K20">
        <f>11.339202</f>
        <v>11.339202</v>
      </c>
      <c r="L20">
        <f>3999.3715</f>
        <v>3999.3715000000002</v>
      </c>
    </row>
    <row r="21" spans="1:12" x14ac:dyDescent="0.25">
      <c r="A21">
        <f>0.79</f>
        <v>0.79</v>
      </c>
      <c r="B21">
        <f>58.89772345</f>
        <v>58.897723450000001</v>
      </c>
      <c r="C21">
        <f>57.46379848</f>
        <v>57.463798480000001</v>
      </c>
      <c r="D21">
        <f>5.335218637</f>
        <v>5.3352186369999997</v>
      </c>
      <c r="E21">
        <f>62.79901712</f>
        <v>62.799017120000002</v>
      </c>
      <c r="F21">
        <f>56.97160403</f>
        <v>56.971604030000002</v>
      </c>
      <c r="G21">
        <f>55.5845724</f>
        <v>55.584572399999999</v>
      </c>
      <c r="H21">
        <f>0.03630729794</f>
        <v>3.6307297939999997E-2</v>
      </c>
      <c r="I21">
        <f>55.6208797</f>
        <v>55.620879700000003</v>
      </c>
      <c r="J21">
        <f>90.479449</f>
        <v>90.479449000000002</v>
      </c>
      <c r="K21">
        <f>11.773884</f>
        <v>11.773884000000001</v>
      </c>
      <c r="L21">
        <f>3756.3939</f>
        <v>3756.3939</v>
      </c>
    </row>
    <row r="22" spans="1:12" x14ac:dyDescent="0.25">
      <c r="A22">
        <f>0.8</f>
        <v>0.8</v>
      </c>
      <c r="B22">
        <f>59.64326425</f>
        <v>59.643264250000001</v>
      </c>
      <c r="C22">
        <f>58.26432117</f>
        <v>58.264321170000002</v>
      </c>
      <c r="D22">
        <f>5.145866904</f>
        <v>5.145866904</v>
      </c>
      <c r="E22">
        <f>63.41018808</f>
        <v>63.410188079999998</v>
      </c>
      <c r="F22">
        <f>57.69276357</f>
        <v>57.692763569999997</v>
      </c>
      <c r="G22">
        <f>56.35891577</f>
        <v>56.358915770000003</v>
      </c>
      <c r="H22">
        <f>0.0366945915</f>
        <v>3.6694591499999998E-2</v>
      </c>
      <c r="I22">
        <f>56.39561036</f>
        <v>56.395610359999999</v>
      </c>
      <c r="J22">
        <f>85.65596</f>
        <v>85.655959999999993</v>
      </c>
      <c r="K22">
        <f>12.248314</f>
        <v>12.248314000000001</v>
      </c>
      <c r="L22">
        <f>3511.6876</f>
        <v>3511.6876000000002</v>
      </c>
    </row>
    <row r="23" spans="1:12" x14ac:dyDescent="0.25">
      <c r="A23">
        <f>0.81</f>
        <v>0.81</v>
      </c>
      <c r="B23">
        <f>60.38880505</f>
        <v>60.388805050000002</v>
      </c>
      <c r="C23">
        <f>59.06555602</f>
        <v>59.065556020000002</v>
      </c>
      <c r="D23">
        <f>4.954081431</f>
        <v>4.9540814309999996</v>
      </c>
      <c r="E23">
        <f>64.01963746</f>
        <v>64.019637459999998</v>
      </c>
      <c r="F23">
        <f>58.41392312</f>
        <v>58.41392312</v>
      </c>
      <c r="G23">
        <f>57.13394801</f>
        <v>57.133948009999997</v>
      </c>
      <c r="H23">
        <f>0.03709148891</f>
        <v>3.7091488909999998E-2</v>
      </c>
      <c r="I23">
        <f>57.1710395</f>
        <v>57.171039499999999</v>
      </c>
      <c r="J23">
        <f>80.629566</f>
        <v>80.629565999999997</v>
      </c>
      <c r="K23">
        <f>12.769527</f>
        <v>12.769527</v>
      </c>
      <c r="L23">
        <f>3264.8075</f>
        <v>3264.8074999999999</v>
      </c>
    </row>
    <row r="24" spans="1:12" x14ac:dyDescent="0.25">
      <c r="A24">
        <f>0.82</f>
        <v>0.82</v>
      </c>
      <c r="B24">
        <f>61.13434586</f>
        <v>61.134345860000003</v>
      </c>
      <c r="C24">
        <f>59.86770545</f>
        <v>59.867705450000003</v>
      </c>
      <c r="D24">
        <f>4.759168466</f>
        <v>4.7591684660000002</v>
      </c>
      <c r="E24">
        <f>64.62687392</f>
        <v>64.626873919999994</v>
      </c>
      <c r="F24">
        <f>59.13508266</f>
        <v>59.135082660000002</v>
      </c>
      <c r="G24">
        <f>57.90986493</f>
        <v>57.909864929999998</v>
      </c>
      <c r="H24">
        <f>0.03750022921</f>
        <v>3.750022921E-2</v>
      </c>
      <c r="I24">
        <f>57.94736516</f>
        <v>57.947365159999997</v>
      </c>
      <c r="J24">
        <f>75.382665</f>
        <v>75.382665000000003</v>
      </c>
      <c r="K24">
        <f>13.346813</f>
        <v>13.346812999999999</v>
      </c>
      <c r="L24">
        <f>3015.129</f>
        <v>3015.1289999999999</v>
      </c>
    </row>
    <row r="25" spans="1:12" x14ac:dyDescent="0.25">
      <c r="A25">
        <f>0.83</f>
        <v>0.83</v>
      </c>
      <c r="B25">
        <f>61.87988666</f>
        <v>61.879886659999997</v>
      </c>
      <c r="C25">
        <f>60.67106436</f>
        <v>60.671064360000003</v>
      </c>
      <c r="D25">
        <f>4.560116874</f>
        <v>4.5601168740000002</v>
      </c>
      <c r="E25">
        <f>65.23118124</f>
        <v>65.231181239999998</v>
      </c>
      <c r="F25">
        <f>59.85624221</f>
        <v>59.856242209999998</v>
      </c>
      <c r="G25">
        <f>58.68695176</f>
        <v>58.686951759999999</v>
      </c>
      <c r="H25">
        <f>0.03792397606</f>
        <v>3.7923976060000003E-2</v>
      </c>
      <c r="I25">
        <f>58.72487574</f>
        <v>58.724875740000002</v>
      </c>
      <c r="J25">
        <f>69.889626</f>
        <v>69.889626000000007</v>
      </c>
      <c r="K25">
        <f>13.992922</f>
        <v>13.992922</v>
      </c>
      <c r="L25">
        <f>2761.7407</f>
        <v>2761.7406999999998</v>
      </c>
    </row>
    <row r="26" spans="1:12" x14ac:dyDescent="0.25">
      <c r="A26">
        <f>0.84</f>
        <v>0.84</v>
      </c>
      <c r="B26">
        <f>62.62542746</f>
        <v>62.625427459999997</v>
      </c>
      <c r="C26">
        <f>61.47608434</f>
        <v>61.47608434</v>
      </c>
      <c r="D26">
        <f>4.355378679</f>
        <v>4.3553786790000002</v>
      </c>
      <c r="E26">
        <f>65.83146302</f>
        <v>65.831463020000001</v>
      </c>
      <c r="F26">
        <f>60.57740175</f>
        <v>60.57740175</v>
      </c>
      <c r="G26">
        <f>59.46564535</f>
        <v>59.465645350000003</v>
      </c>
      <c r="H26">
        <f>0.0383676676</f>
        <v>3.8367667600000002E-2</v>
      </c>
      <c r="I26">
        <f>59.50401301</f>
        <v>59.504013010000001</v>
      </c>
      <c r="J26">
        <f>64.11193</f>
        <v>64.111930000000001</v>
      </c>
      <c r="K26">
        <f>14.726292</f>
        <v>14.726292000000001</v>
      </c>
      <c r="L26">
        <f>2503.2708</f>
        <v>2503.2707999999998</v>
      </c>
    </row>
    <row r="27" spans="1:12" x14ac:dyDescent="0.25">
      <c r="A27">
        <f>0.85</f>
        <v>0.85</v>
      </c>
      <c r="B27">
        <f>63.37096827</f>
        <v>63.370968269999999</v>
      </c>
      <c r="C27">
        <f>62.28351359</f>
        <v>62.283513589999998</v>
      </c>
      <c r="D27">
        <f>4.142385898</f>
        <v>4.1423858979999997</v>
      </c>
      <c r="E27">
        <f>66.42589949</f>
        <v>66.425899490000006</v>
      </c>
      <c r="F27">
        <f>61.2985613</f>
        <v>61.298561300000003</v>
      </c>
      <c r="G27">
        <f>60.24666942</f>
        <v>60.246669420000003</v>
      </c>
      <c r="H27">
        <f>0.03883871091</f>
        <v>3.8838710909999997E-2</v>
      </c>
      <c r="I27">
        <f>60.28550813</f>
        <v>60.285508129999997</v>
      </c>
      <c r="J27">
        <f>57.983807</f>
        <v>57.983806999999999</v>
      </c>
      <c r="K27">
        <f>15.575679</f>
        <v>15.575678999999999</v>
      </c>
      <c r="L27">
        <f>2237.361</f>
        <v>2237.3609999999999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</row>
    <row r="2" spans="1:12" x14ac:dyDescent="0.25">
      <c r="A2">
        <f>0.6</f>
        <v>0.6</v>
      </c>
      <c r="B2">
        <f>45.28470063</f>
        <v>45.284700630000003</v>
      </c>
      <c r="C2">
        <f>42.81101619</f>
        <v>42.811016189999997</v>
      </c>
      <c r="D2">
        <f>7.650573203</f>
        <v>7.6505732030000004</v>
      </c>
      <c r="E2">
        <f>50.4615894</f>
        <v>50.461589400000001</v>
      </c>
      <c r="F2">
        <f>43.80376494</f>
        <v>43.803764940000001</v>
      </c>
      <c r="G2">
        <f>41.41097686</f>
        <v>41.410976859999998</v>
      </c>
      <c r="H2">
        <f>-0.2645391711</f>
        <v>-0.26453917110000003</v>
      </c>
      <c r="I2">
        <f>41.14643769</f>
        <v>41.146437689999999</v>
      </c>
      <c r="J2">
        <f>150.623</f>
        <v>150.62299999999999</v>
      </c>
      <c r="K2">
        <f>6.8797863</f>
        <v>6.8797863000000001</v>
      </c>
      <c r="L2">
        <f>8233.5724</f>
        <v>8233.5723999999991</v>
      </c>
    </row>
    <row r="3" spans="1:12" x14ac:dyDescent="0.25">
      <c r="A3">
        <f>0.61</f>
        <v>0.61</v>
      </c>
      <c r="B3">
        <f>46.03944564</f>
        <v>46.039445639999997</v>
      </c>
      <c r="C3">
        <f>43.61779663</f>
        <v>43.617796630000001</v>
      </c>
      <c r="D3">
        <f>7.471224121</f>
        <v>7.4712241209999997</v>
      </c>
      <c r="E3">
        <f>51.08902075</f>
        <v>51.089020750000003</v>
      </c>
      <c r="F3">
        <f>44.53382769</f>
        <v>44.533827690000003</v>
      </c>
      <c r="G3">
        <f>42.19137333</f>
        <v>42.191373329999998</v>
      </c>
      <c r="H3">
        <f>-0.2641488895</f>
        <v>-0.26414888949999998</v>
      </c>
      <c r="I3">
        <f>41.92722444</f>
        <v>41.927224440000003</v>
      </c>
      <c r="J3">
        <f>148.78226</f>
        <v>148.78226000000001</v>
      </c>
      <c r="K3">
        <f>7.0285045</f>
        <v>7.0285045000000004</v>
      </c>
      <c r="L3">
        <f>7999.6243</f>
        <v>7999.6243000000004</v>
      </c>
    </row>
    <row r="4" spans="1:12" x14ac:dyDescent="0.25">
      <c r="A4">
        <f>0.62</f>
        <v>0.62</v>
      </c>
      <c r="B4">
        <f>46.79419066</f>
        <v>46.794190659999998</v>
      </c>
      <c r="C4">
        <f>44.42462943</f>
        <v>44.424629430000003</v>
      </c>
      <c r="D4">
        <f>7.29169774</f>
        <v>7.29169774</v>
      </c>
      <c r="E4">
        <f>51.71632717</f>
        <v>51.71632717</v>
      </c>
      <c r="F4">
        <f>45.26389043</f>
        <v>45.263890429999996</v>
      </c>
      <c r="G4">
        <f>42.97182045</f>
        <v>42.971820450000003</v>
      </c>
      <c r="H4">
        <f>-0.2637549292</f>
        <v>-0.26375492919999999</v>
      </c>
      <c r="I4">
        <f>42.70806552</f>
        <v>42.708065519999998</v>
      </c>
      <c r="J4">
        <f>146.79582</f>
        <v>146.79581999999999</v>
      </c>
      <c r="K4">
        <f>7.183954</f>
        <v>7.183954</v>
      </c>
      <c r="L4">
        <f>7765.515</f>
        <v>7765.5150000000003</v>
      </c>
    </row>
    <row r="5" spans="1:12" x14ac:dyDescent="0.25">
      <c r="A5">
        <f>0.63</f>
        <v>0.63</v>
      </c>
      <c r="B5">
        <f>47.54893567</f>
        <v>47.548935669999999</v>
      </c>
      <c r="C5">
        <f>45.23151961</f>
        <v>45.231519609999999</v>
      </c>
      <c r="D5">
        <f>7.111977019</f>
        <v>7.1119770190000002</v>
      </c>
      <c r="E5">
        <f>52.34349663</f>
        <v>52.343496629999997</v>
      </c>
      <c r="F5">
        <f>45.99395318</f>
        <v>45.993953179999998</v>
      </c>
      <c r="G5">
        <f>43.75232308</f>
        <v>43.752323079999996</v>
      </c>
      <c r="H5">
        <f>-0.2633570267</f>
        <v>-0.2633570267</v>
      </c>
      <c r="I5">
        <f>43.48896606</f>
        <v>43.488966060000003</v>
      </c>
      <c r="J5">
        <f>144.66322</f>
        <v>144.66322</v>
      </c>
      <c r="K5">
        <f>7.3466183</f>
        <v>7.3466183000000003</v>
      </c>
      <c r="L5">
        <f>7531.2291</f>
        <v>7531.2290999999996</v>
      </c>
    </row>
    <row r="6" spans="1:12" x14ac:dyDescent="0.25">
      <c r="A6">
        <f>0.64</f>
        <v>0.64</v>
      </c>
      <c r="B6">
        <f>48.30368068</f>
        <v>48.303680679999999</v>
      </c>
      <c r="C6">
        <f>46.03847286</f>
        <v>46.038472859999999</v>
      </c>
      <c r="D6">
        <f>6.932042635</f>
        <v>6.9320426350000002</v>
      </c>
      <c r="E6">
        <f>52.97051549</f>
        <v>52.970515489999997</v>
      </c>
      <c r="F6">
        <f>46.72401593</f>
        <v>46.72401593</v>
      </c>
      <c r="G6">
        <f>44.53288671</f>
        <v>44.53288671</v>
      </c>
      <c r="H6">
        <f>-0.2629548914</f>
        <v>-0.2629548914</v>
      </c>
      <c r="I6">
        <f>44.26993182</f>
        <v>44.269931819999996</v>
      </c>
      <c r="J6">
        <f>142.38397</f>
        <v>142.38397000000001</v>
      </c>
      <c r="K6">
        <f>7.5170302</f>
        <v>7.5170301999999998</v>
      </c>
      <c r="L6">
        <f>7296.7491</f>
        <v>7296.7491</v>
      </c>
    </row>
    <row r="7" spans="1:12" x14ac:dyDescent="0.25">
      <c r="A7">
        <f>0.65</f>
        <v>0.65</v>
      </c>
      <c r="B7">
        <f>49.05842569</f>
        <v>49.05842569</v>
      </c>
      <c r="C7">
        <f>46.84549562</f>
        <v>46.845495620000001</v>
      </c>
      <c r="D7">
        <f>6.751872585</f>
        <v>6.7518725850000001</v>
      </c>
      <c r="E7">
        <f>53.59736821</f>
        <v>53.597368209999999</v>
      </c>
      <c r="F7">
        <f>47.45407868</f>
        <v>47.454078680000002</v>
      </c>
      <c r="G7">
        <f>45.31351759</f>
        <v>45.313517589999996</v>
      </c>
      <c r="H7">
        <f>-0.2625482019</f>
        <v>-0.2625482019</v>
      </c>
      <c r="I7">
        <f>45.05096938</f>
        <v>45.050969379999998</v>
      </c>
      <c r="J7">
        <f>139.9575</f>
        <v>139.95750000000001</v>
      </c>
      <c r="K7">
        <f>7.6957789</f>
        <v>7.6957788999999996</v>
      </c>
      <c r="L7">
        <f>7062.055</f>
        <v>7062.0550000000003</v>
      </c>
    </row>
    <row r="8" spans="1:12" x14ac:dyDescent="0.25">
      <c r="A8">
        <f>0.66</f>
        <v>0.66</v>
      </c>
      <c r="B8">
        <f>49.8131707</f>
        <v>49.813170700000001</v>
      </c>
      <c r="C8">
        <f>47.6525953</f>
        <v>47.652595300000002</v>
      </c>
      <c r="D8">
        <f>6.571441689</f>
        <v>6.5714416890000003</v>
      </c>
      <c r="E8">
        <f>54.22403699</f>
        <v>54.224036990000002</v>
      </c>
      <c r="F8">
        <f>48.18414143</f>
        <v>48.184141429999997</v>
      </c>
      <c r="G8">
        <f>46.09422286</f>
        <v>46.094222860000002</v>
      </c>
      <c r="H8">
        <f>-0.2621366009</f>
        <v>-0.26213660090000002</v>
      </c>
      <c r="I8">
        <f>45.83208626</f>
        <v>45.832086259999997</v>
      </c>
      <c r="J8">
        <f>137.38314</f>
        <v>137.38314</v>
      </c>
      <c r="K8">
        <f>7.8835182</f>
        <v>7.8835182000000001</v>
      </c>
      <c r="L8">
        <f>6827.1239</f>
        <v>6827.1238999999996</v>
      </c>
    </row>
    <row r="9" spans="1:12" x14ac:dyDescent="0.25">
      <c r="A9">
        <f>0.67</f>
        <v>0.67</v>
      </c>
      <c r="B9">
        <f>50.56791571</f>
        <v>50.567915710000001</v>
      </c>
      <c r="C9">
        <f>48.45978039</f>
        <v>48.459780389999999</v>
      </c>
      <c r="D9">
        <f>6.390720994</f>
        <v>6.3907209939999996</v>
      </c>
      <c r="E9">
        <f>54.85050138</f>
        <v>54.850501379999997</v>
      </c>
      <c r="F9">
        <f>48.91420418</f>
        <v>48.914204179999999</v>
      </c>
      <c r="G9">
        <f>46.87501075</f>
        <v>46.875010750000001</v>
      </c>
      <c r="H9">
        <f>-0.2617196903</f>
        <v>-0.26171969029999997</v>
      </c>
      <c r="I9">
        <f>46.61329106</f>
        <v>46.613291060000002</v>
      </c>
      <c r="J9">
        <f>134.66015</f>
        <v>134.66014999999999</v>
      </c>
      <c r="K9">
        <f>8.080976</f>
        <v>8.0809759999999997</v>
      </c>
      <c r="L9">
        <f>6591.9297</f>
        <v>6591.9296999999997</v>
      </c>
    </row>
    <row r="10" spans="1:12" x14ac:dyDescent="0.25">
      <c r="A10">
        <f>0.68</f>
        <v>0.68</v>
      </c>
      <c r="B10">
        <f>51.32266072</f>
        <v>51.322660720000002</v>
      </c>
      <c r="C10">
        <f>49.2670607</f>
        <v>49.267060700000002</v>
      </c>
      <c r="D10">
        <f>6.209677023</f>
        <v>6.2096770230000002</v>
      </c>
      <c r="E10">
        <f>55.47673772</f>
        <v>55.476737720000003</v>
      </c>
      <c r="F10">
        <f>49.64426693</f>
        <v>49.644266930000001</v>
      </c>
      <c r="G10">
        <f>47.65589075</f>
        <v>47.655890749999998</v>
      </c>
      <c r="H10">
        <f>-0.2612970243</f>
        <v>-0.26129702430000001</v>
      </c>
      <c r="I10">
        <f>47.39459372</f>
        <v>47.394593720000003</v>
      </c>
      <c r="J10">
        <f>131.78765</f>
        <v>131.78765000000001</v>
      </c>
      <c r="K10">
        <f>8.2889661</f>
        <v>8.2889660999999997</v>
      </c>
      <c r="L10">
        <f>6356.4419</f>
        <v>6356.4418999999998</v>
      </c>
    </row>
    <row r="11" spans="1:12" x14ac:dyDescent="0.25">
      <c r="A11">
        <f>0.69</f>
        <v>0.69</v>
      </c>
      <c r="B11">
        <f>52.07740573</f>
        <v>52.077405730000002</v>
      </c>
      <c r="C11">
        <f>50.07444766</f>
        <v>50.074447659999997</v>
      </c>
      <c r="D11">
        <f>6.028270845</f>
        <v>6.0282708449999998</v>
      </c>
      <c r="E11">
        <f>56.10271851</f>
        <v>56.102718510000003</v>
      </c>
      <c r="F11">
        <f>50.37432968</f>
        <v>50.374329680000002</v>
      </c>
      <c r="G11">
        <f>48.43687391</f>
        <v>48.436873910000003</v>
      </c>
      <c r="H11">
        <f>-0.2608681016</f>
        <v>-0.26086810160000001</v>
      </c>
      <c r="I11">
        <f>48.17600581</f>
        <v>48.176005809999999</v>
      </c>
      <c r="J11">
        <f>128.76463</f>
        <v>128.76463000000001</v>
      </c>
      <c r="K11">
        <f>8.5084018</f>
        <v>8.5084017999999997</v>
      </c>
      <c r="L11">
        <f>6120.625</f>
        <v>6120.625</v>
      </c>
    </row>
    <row r="12" spans="1:12" x14ac:dyDescent="0.25">
      <c r="A12">
        <f>0.7</f>
        <v>0.7</v>
      </c>
      <c r="B12">
        <f>52.83215074</f>
        <v>52.832150740000003</v>
      </c>
      <c r="C12">
        <f>50.88195413</f>
        <v>50.881954129999997</v>
      </c>
      <c r="D12">
        <f>5.846458562</f>
        <v>5.8464585619999996</v>
      </c>
      <c r="E12">
        <f>56.7284127</f>
        <v>56.7284127</v>
      </c>
      <c r="F12">
        <f>51.10439243</f>
        <v>51.104392429999997</v>
      </c>
      <c r="G12">
        <f>49.21797267</f>
        <v>49.217972670000002</v>
      </c>
      <c r="H12">
        <f>-0.2604323596</f>
        <v>-0.2604323596</v>
      </c>
      <c r="I12">
        <f>48.95754032</f>
        <v>48.95754032</v>
      </c>
      <c r="J12">
        <f>125.59139</f>
        <v>125.59139</v>
      </c>
      <c r="K12">
        <f>8.7403115</f>
        <v>8.7403115000000007</v>
      </c>
      <c r="L12">
        <f>5884.5073</f>
        <v>5884.5073000000002</v>
      </c>
    </row>
    <row r="13" spans="1:12" x14ac:dyDescent="0.25">
      <c r="A13">
        <f>0.71</f>
        <v>0.71</v>
      </c>
      <c r="B13">
        <f>53.58689575</f>
        <v>53.586895749999996</v>
      </c>
      <c r="C13">
        <f>51.68959677</f>
        <v>51.689596770000001</v>
      </c>
      <c r="D13">
        <f>5.664183315</f>
        <v>5.6641833149999998</v>
      </c>
      <c r="E13">
        <f>57.35378009</f>
        <v>57.353780090000001</v>
      </c>
      <c r="F13">
        <f>51.83445517</f>
        <v>51.834455169999998</v>
      </c>
      <c r="G13">
        <f>49.99920315</f>
        <v>49.99920315</v>
      </c>
      <c r="H13">
        <f>-0.2599891467</f>
        <v>-0.25998914670000001</v>
      </c>
      <c r="I13">
        <f>49.739214</f>
        <v>49.739213999999997</v>
      </c>
      <c r="J13">
        <f>122.26364</f>
        <v>122.26364</v>
      </c>
      <c r="K13">
        <f>8.9858673</f>
        <v>8.9858673000000007</v>
      </c>
      <c r="L13">
        <f>5647.9031</f>
        <v>5647.9031000000004</v>
      </c>
    </row>
    <row r="14" spans="1:12" x14ac:dyDescent="0.25">
      <c r="A14">
        <f>0.72</f>
        <v>0.72</v>
      </c>
      <c r="B14">
        <f>54.34164076</f>
        <v>54.341640759999997</v>
      </c>
      <c r="C14">
        <f>52.49739382</f>
        <v>52.497393819999999</v>
      </c>
      <c r="D14">
        <f>5.481382797</f>
        <v>5.4813827970000002</v>
      </c>
      <c r="E14">
        <f>57.97877662</f>
        <v>57.978776619999998</v>
      </c>
      <c r="F14">
        <f>52.56451792</f>
        <v>52.56451792</v>
      </c>
      <c r="G14">
        <f>50.78058299</f>
        <v>50.780582989999999</v>
      </c>
      <c r="H14">
        <f>-0.2595377299</f>
        <v>-0.25953772990000001</v>
      </c>
      <c r="I14">
        <f>50.52104526</f>
        <v>50.521045260000001</v>
      </c>
      <c r="J14">
        <f>118.78113</f>
        <v>118.78113</v>
      </c>
      <c r="K14">
        <f>9.2463998</f>
        <v>9.2463998000000007</v>
      </c>
      <c r="L14">
        <f>5410.8218</f>
        <v>5410.8217999999997</v>
      </c>
    </row>
    <row r="15" spans="1:12" x14ac:dyDescent="0.25">
      <c r="A15">
        <f>0.73</f>
        <v>0.73</v>
      </c>
      <c r="B15">
        <f>55.09638577</f>
        <v>55.096385769999998</v>
      </c>
      <c r="C15">
        <f>53.30536766</f>
        <v>53.305367660000002</v>
      </c>
      <c r="D15">
        <f>5.29798056</f>
        <v>5.2979805600000001</v>
      </c>
      <c r="E15">
        <f>58.60334822</f>
        <v>58.603348220000001</v>
      </c>
      <c r="F15">
        <f>53.29458067</f>
        <v>53.294580670000002</v>
      </c>
      <c r="G15">
        <f>51.56213384</f>
        <v>51.562133840000001</v>
      </c>
      <c r="H15">
        <f>-0.2590772609</f>
        <v>-0.25907726089999999</v>
      </c>
      <c r="I15">
        <f>51.30305658</f>
        <v>51.303056580000003</v>
      </c>
      <c r="J15">
        <f>115.14188</f>
        <v>115.14188</v>
      </c>
      <c r="K15">
        <f>9.5234385</f>
        <v>9.5234384999999993</v>
      </c>
      <c r="L15">
        <f>5173.1937</f>
        <v>5173.1936999999998</v>
      </c>
    </row>
    <row r="16" spans="1:12" x14ac:dyDescent="0.25">
      <c r="A16">
        <f>0.74</f>
        <v>0.74</v>
      </c>
      <c r="B16">
        <f>55.85113078</f>
        <v>55.851130779999998</v>
      </c>
      <c r="C16">
        <f>54.11354535</f>
        <v>54.113545350000003</v>
      </c>
      <c r="D16">
        <f>5.113884122</f>
        <v>5.113884122</v>
      </c>
      <c r="E16">
        <f>59.22742947</f>
        <v>59.227429469999997</v>
      </c>
      <c r="F16">
        <f>54.02464342</f>
        <v>54.024643419999997</v>
      </c>
      <c r="G16">
        <f>52.34388187</f>
        <v>52.343881869999997</v>
      </c>
      <c r="H16">
        <f>-0.2586067544</f>
        <v>-0.25860675440000003</v>
      </c>
      <c r="I16">
        <f>52.08527511</f>
        <v>52.085275109999998</v>
      </c>
      <c r="J16">
        <f>111.34349</f>
        <v>111.34349</v>
      </c>
      <c r="K16">
        <f>9.8187525</f>
        <v>9.8187525000000004</v>
      </c>
      <c r="L16">
        <f>4934.9343</f>
        <v>4934.9342999999999</v>
      </c>
    </row>
    <row r="17" spans="1:12" x14ac:dyDescent="0.25">
      <c r="A17">
        <f>0.75</f>
        <v>0.75</v>
      </c>
      <c r="B17">
        <f>56.60587579</f>
        <v>56.605875789999999</v>
      </c>
      <c r="C17">
        <f>54.92195995</f>
        <v>54.921959950000002</v>
      </c>
      <c r="D17">
        <f>4.928980407</f>
        <v>4.9289804070000001</v>
      </c>
      <c r="E17">
        <f>59.85094036</f>
        <v>59.850940360000003</v>
      </c>
      <c r="F17">
        <f>54.75470617</f>
        <v>54.754706169999999</v>
      </c>
      <c r="G17">
        <f>53.12585906</f>
        <v>53.125859060000003</v>
      </c>
      <c r="H17">
        <f>-0.258125056</f>
        <v>-0.25812505600000002</v>
      </c>
      <c r="I17">
        <f>52.86773401</f>
        <v>52.86773401</v>
      </c>
      <c r="J17">
        <f>107.38301</f>
        <v>107.38301</v>
      </c>
      <c r="K17">
        <f>10.134406</f>
        <v>10.134406</v>
      </c>
      <c r="L17">
        <f>4695.9404</f>
        <v>4695.9404000000004</v>
      </c>
    </row>
    <row r="18" spans="1:12" x14ac:dyDescent="0.25">
      <c r="A18">
        <f>0.76</f>
        <v>0.76</v>
      </c>
      <c r="B18">
        <f>57.3606208</f>
        <v>57.3606208</v>
      </c>
      <c r="C18">
        <f>55.73065239</f>
        <v>55.730652390000003</v>
      </c>
      <c r="D18">
        <f>4.743129464</f>
        <v>4.7431294639999999</v>
      </c>
      <c r="E18">
        <f>60.47378185</f>
        <v>60.473781850000002</v>
      </c>
      <c r="F18">
        <f>55.48476892</f>
        <v>55.48476892</v>
      </c>
      <c r="G18">
        <f>53.90810501</f>
        <v>53.90810501</v>
      </c>
      <c r="H18">
        <f>-0.2576307988</f>
        <v>-0.2576307988</v>
      </c>
      <c r="I18">
        <f>53.65047421</f>
        <v>53.650474209999999</v>
      </c>
      <c r="J18">
        <f>103.2568</f>
        <v>103.2568</v>
      </c>
      <c r="K18">
        <f>10.472829</f>
        <v>10.472829000000001</v>
      </c>
      <c r="L18">
        <f>4456.0837</f>
        <v>4456.0837000000001</v>
      </c>
    </row>
    <row r="19" spans="1:12" x14ac:dyDescent="0.25">
      <c r="A19">
        <f>0.77</f>
        <v>0.77</v>
      </c>
      <c r="B19">
        <f>58.11536581</f>
        <v>58.11536581</v>
      </c>
      <c r="C19">
        <f>56.53967397</f>
        <v>56.539673970000003</v>
      </c>
      <c r="D19">
        <f>4.556155666</f>
        <v>4.5561556660000004</v>
      </c>
      <c r="E19">
        <f>61.09582964</f>
        <v>61.095829639999998</v>
      </c>
      <c r="F19">
        <f>56.21483167</f>
        <v>56.214831670000002</v>
      </c>
      <c r="G19">
        <f>54.69066934</f>
        <v>54.690669339999999</v>
      </c>
      <c r="H19">
        <f>-0.2571223436</f>
        <v>-0.25712234360000003</v>
      </c>
      <c r="I19">
        <f>54.43354699</f>
        <v>54.433546990000004</v>
      </c>
      <c r="J19">
        <f>98.960287</f>
        <v>98.960286999999994</v>
      </c>
      <c r="K19">
        <f>10.836919</f>
        <v>10.836919</v>
      </c>
      <c r="L19">
        <f>4215.203</f>
        <v>4215.2030000000004</v>
      </c>
    </row>
    <row r="20" spans="1:12" x14ac:dyDescent="0.25">
      <c r="A20">
        <f>0.78</f>
        <v>0.78</v>
      </c>
      <c r="B20">
        <f>58.87011082</f>
        <v>58.870110820000001</v>
      </c>
      <c r="C20">
        <f>57.34909012</f>
        <v>57.34909012</v>
      </c>
      <c r="D20">
        <f>4.367835059</f>
        <v>4.3678350589999999</v>
      </c>
      <c r="E20">
        <f>61.71692518</f>
        <v>61.716925179999997</v>
      </c>
      <c r="F20">
        <f>56.94489442</f>
        <v>56.944894419999997</v>
      </c>
      <c r="G20">
        <f>55.47361532</f>
        <v>55.47361532</v>
      </c>
      <c r="H20">
        <f>-0.2565976964</f>
        <v>-0.25659769640000002</v>
      </c>
      <c r="I20">
        <f>55.21701763</f>
        <v>55.217017630000001</v>
      </c>
      <c r="J20">
        <f>94.48764</f>
        <v>94.487639999999999</v>
      </c>
      <c r="K20">
        <f>11.230177</f>
        <v>11.230176999999999</v>
      </c>
      <c r="L20">
        <f>3973.0925</f>
        <v>3973.0925000000002</v>
      </c>
    </row>
    <row r="21" spans="1:12" x14ac:dyDescent="0.25">
      <c r="A21">
        <f>0.79</f>
        <v>0.79</v>
      </c>
      <c r="B21">
        <f>59.62485583</f>
        <v>59.624855830000001</v>
      </c>
      <c r="C21">
        <f>58.15898579</f>
        <v>58.158985790000003</v>
      </c>
      <c r="D21">
        <f>4.177876665</f>
        <v>4.1778766650000003</v>
      </c>
      <c r="E21">
        <f>62.33686245</f>
        <v>62.336862449999998</v>
      </c>
      <c r="F21">
        <f>57.67495717</f>
        <v>57.674957169999999</v>
      </c>
      <c r="G21">
        <f>56.25702515</f>
        <v>56.257025149999997</v>
      </c>
      <c r="H21">
        <f>-0.2560543885</f>
        <v>-0.25605438850000001</v>
      </c>
      <c r="I21">
        <f>56.00097076</f>
        <v>56.000970760000001</v>
      </c>
      <c r="J21">
        <f>89.831269</f>
        <v>89.831269000000006</v>
      </c>
      <c r="K21">
        <f>11.656902</f>
        <v>11.656902000000001</v>
      </c>
      <c r="L21">
        <f>3729.4837</f>
        <v>3729.4837000000002</v>
      </c>
    </row>
    <row r="22" spans="1:12" x14ac:dyDescent="0.25">
      <c r="A22">
        <f>0.8</f>
        <v>0.8</v>
      </c>
      <c r="B22">
        <f>60.37960085</f>
        <v>60.379600850000003</v>
      </c>
      <c r="C22">
        <f>58.96947379</f>
        <v>58.969473790000002</v>
      </c>
      <c r="D22">
        <f>3.985893924</f>
        <v>3.985893924</v>
      </c>
      <c r="E22">
        <f>62.95536771</f>
        <v>62.955367709999997</v>
      </c>
      <c r="F22">
        <f>58.40501992</f>
        <v>58.405019920000001</v>
      </c>
      <c r="G22">
        <f>57.04100793</f>
        <v>57.041007929999999</v>
      </c>
      <c r="H22">
        <f>-0.2554892984</f>
        <v>-0.25548929840000001</v>
      </c>
      <c r="I22">
        <f>56.78551864</f>
        <v>56.785518639999999</v>
      </c>
      <c r="J22">
        <f>84.98109</f>
        <v>84.981089999999995</v>
      </c>
      <c r="K22">
        <f>12.122479</f>
        <v>12.122479</v>
      </c>
      <c r="L22">
        <f>3484.0195</f>
        <v>3484.0194999999999</v>
      </c>
    </row>
    <row r="23" spans="1:12" x14ac:dyDescent="0.25">
      <c r="A23">
        <f>0.81</f>
        <v>0.81</v>
      </c>
      <c r="B23">
        <f>61.13434586</f>
        <v>61.134345860000003</v>
      </c>
      <c r="C23">
        <f>59.78070802</f>
        <v>59.780708019999999</v>
      </c>
      <c r="D23">
        <f>3.791359298</f>
        <v>3.7913592980000002</v>
      </c>
      <c r="E23">
        <f>63.57206732</f>
        <v>63.572067320000002</v>
      </c>
      <c r="F23">
        <f>59.13508266</f>
        <v>59.135082660000002</v>
      </c>
      <c r="G23">
        <f>57.82571255</f>
        <v>57.825712549999999</v>
      </c>
      <c r="H23">
        <f>-0.2548983748</f>
        <v>-0.25489837479999999</v>
      </c>
      <c r="I23">
        <f>57.57081418</f>
        <v>57.570814179999999</v>
      </c>
      <c r="J23">
        <f>79.923329</f>
        <v>79.923328999999995</v>
      </c>
      <c r="K23">
        <f>12.63383</f>
        <v>12.63383</v>
      </c>
      <c r="L23">
        <f>3236.2109</f>
        <v>3236.2109</v>
      </c>
    </row>
    <row r="24" spans="1:12" x14ac:dyDescent="0.25">
      <c r="A24">
        <f>0.82</f>
        <v>0.82</v>
      </c>
      <c r="B24">
        <f>61.88909087</f>
        <v>61.889090869999997</v>
      </c>
      <c r="C24">
        <f>60.59290555</f>
        <v>60.592905549999998</v>
      </c>
      <c r="D24">
        <f>3.59352847</f>
        <v>3.5935284699999999</v>
      </c>
      <c r="E24">
        <f>64.18643402</f>
        <v>64.186434019999993</v>
      </c>
      <c r="F24">
        <f>59.86514541</f>
        <v>59.865145409999997</v>
      </c>
      <c r="G24">
        <f>58.61134896</f>
        <v>58.611348960000001</v>
      </c>
      <c r="H24">
        <f>-0.2542761833</f>
        <v>-0.25427618330000001</v>
      </c>
      <c r="I24">
        <f>58.35707278</f>
        <v>58.357072780000003</v>
      </c>
      <c r="J24">
        <f>74.638544</f>
        <v>74.638543999999996</v>
      </c>
      <c r="K24">
        <f>13.200134</f>
        <v>13.200134</v>
      </c>
      <c r="L24">
        <f>2985.366</f>
        <v>2985.366</v>
      </c>
    </row>
    <row r="25" spans="1:12" x14ac:dyDescent="0.25">
      <c r="A25">
        <f>0.83</f>
        <v>0.83</v>
      </c>
      <c r="B25">
        <f>62.64383588</f>
        <v>62.643835879999997</v>
      </c>
      <c r="C25">
        <f>61.40638484</f>
        <v>61.406384840000001</v>
      </c>
      <c r="D25">
        <f>3.391308921</f>
        <v>3.3913089209999998</v>
      </c>
      <c r="E25">
        <f>64.79769376</f>
        <v>64.797693760000001</v>
      </c>
      <c r="F25">
        <f>60.59520816</f>
        <v>60.595208159999999</v>
      </c>
      <c r="G25">
        <f>59.39822522</f>
        <v>59.39822522</v>
      </c>
      <c r="H25">
        <f>-0.2536151298</f>
        <v>-0.25361512980000001</v>
      </c>
      <c r="I25">
        <f>59.14461009</f>
        <v>59.14461009</v>
      </c>
      <c r="J25">
        <f>69.098844</f>
        <v>69.098844</v>
      </c>
      <c r="K25">
        <f>13.834073</f>
        <v>13.834073</v>
      </c>
      <c r="L25">
        <f>2730.4923</f>
        <v>2730.4922999999999</v>
      </c>
    </row>
    <row r="26" spans="1:12" x14ac:dyDescent="0.25">
      <c r="A26">
        <f>0.84</f>
        <v>0.84</v>
      </c>
      <c r="B26">
        <f>63.39858089</f>
        <v>63.398580889999998</v>
      </c>
      <c r="C26">
        <f>62.22164437</f>
        <v>62.22164437</v>
      </c>
      <c r="D26">
        <f>3.182991028</f>
        <v>3.182991028</v>
      </c>
      <c r="E26">
        <f>65.4046354</f>
        <v>65.404635400000004</v>
      </c>
      <c r="F26">
        <f>61.32527091</f>
        <v>61.32527091</v>
      </c>
      <c r="G26">
        <f>60.18682349</f>
        <v>60.186823490000002</v>
      </c>
      <c r="H26">
        <f>-0.2529037239</f>
        <v>-0.25290372389999999</v>
      </c>
      <c r="I26">
        <f>59.93391977</f>
        <v>59.933919770000003</v>
      </c>
      <c r="J26">
        <f>63.258519</f>
        <v>63.258519</v>
      </c>
      <c r="K26">
        <f>14.554228</f>
        <v>14.554228</v>
      </c>
      <c r="L26">
        <f>2469.9491</f>
        <v>2469.9490999999998</v>
      </c>
    </row>
    <row r="27" spans="1:12" x14ac:dyDescent="0.25">
      <c r="A27">
        <f>0.85</f>
        <v>0.85</v>
      </c>
      <c r="B27">
        <f>64.1533259</f>
        <v>64.153325899999999</v>
      </c>
      <c r="C27">
        <f>63.03951984</f>
        <v>63.039519839999997</v>
      </c>
      <c r="D27">
        <f>2.965705357</f>
        <v>2.965705357</v>
      </c>
      <c r="E27">
        <f>66.0052252</f>
        <v>66.005225199999998</v>
      </c>
      <c r="F27">
        <f>62.05533366</f>
        <v>62.055333660000002</v>
      </c>
      <c r="G27">
        <f>60.97795216</f>
        <v>60.977952160000001</v>
      </c>
      <c r="H27">
        <f>-0.2521240091</f>
        <v>-0.25212400909999999</v>
      </c>
      <c r="I27">
        <f>60.72582815</f>
        <v>60.725828149999998</v>
      </c>
      <c r="J27">
        <f>57.04361</f>
        <v>57.043610000000001</v>
      </c>
      <c r="K27">
        <f>15.390012</f>
        <v>15.390012</v>
      </c>
      <c r="L27">
        <f>2201.0826</f>
        <v>2201.0826000000002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F9" sqref="F9"/>
    </sheetView>
  </sheetViews>
  <sheetFormatPr defaultRowHeight="15" x14ac:dyDescent="0.25"/>
  <sheetData>
    <row r="1" spans="1:12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pans="1:12" x14ac:dyDescent="0.25">
      <c r="A2">
        <f>0.6</f>
        <v>0.6</v>
      </c>
      <c r="B2">
        <f>45.83695308</f>
        <v>45.836953080000001</v>
      </c>
      <c r="C2">
        <f>43.31866522</f>
        <v>43.31866522</v>
      </c>
      <c r="D2">
        <f>6.537082086</f>
        <v>6.5370820859999998</v>
      </c>
      <c r="E2">
        <f>49.85574731</f>
        <v>49.855747309999998</v>
      </c>
      <c r="F2">
        <f>44.33795719</f>
        <v>44.337957189999997</v>
      </c>
      <c r="G2">
        <f>41.90202435</f>
        <v>41.902024349999998</v>
      </c>
      <c r="H2">
        <f>-0.5520227975</f>
        <v>-0.55202279750000005</v>
      </c>
      <c r="I2">
        <f>41.35000155</f>
        <v>41.350001550000002</v>
      </c>
      <c r="J2">
        <f>150.20997</f>
        <v>150.20997</v>
      </c>
      <c r="K2">
        <f>6.8396343</f>
        <v>6.8396343000000002</v>
      </c>
      <c r="L2">
        <f>8210.9946</f>
        <v>8210.9946</v>
      </c>
    </row>
    <row r="3" spans="1:12" x14ac:dyDescent="0.25">
      <c r="A3">
        <f>0.61</f>
        <v>0.61</v>
      </c>
      <c r="B3">
        <f>46.6009023</f>
        <v>46.600902300000001</v>
      </c>
      <c r="C3">
        <f>44.1352897</f>
        <v>44.135289700000001</v>
      </c>
      <c r="D3">
        <f>6.355525065</f>
        <v>6.3555250650000001</v>
      </c>
      <c r="E3">
        <f>50.49081477</f>
        <v>50.49081477</v>
      </c>
      <c r="F3">
        <f>45.07692314</f>
        <v>45.076923139999998</v>
      </c>
      <c r="G3">
        <f>42.69194294</f>
        <v>42.691942939999997</v>
      </c>
      <c r="H3">
        <f>-0.5514290818</f>
        <v>-0.55142908180000005</v>
      </c>
      <c r="I3">
        <f>42.14051386</f>
        <v>42.140513859999999</v>
      </c>
      <c r="J3">
        <f>148.36036</f>
        <v>148.36035999999999</v>
      </c>
      <c r="K3">
        <f>6.9866181</f>
        <v>6.9866181000000003</v>
      </c>
      <c r="L3">
        <f>7976.9398</f>
        <v>7976.9398000000001</v>
      </c>
    </row>
    <row r="4" spans="1:12" x14ac:dyDescent="0.25">
      <c r="A4">
        <f>0.62</f>
        <v>0.62</v>
      </c>
      <c r="B4">
        <f>47.36485152</f>
        <v>47.364851520000002</v>
      </c>
      <c r="C4">
        <f>44.95196773</f>
        <v>44.95196773</v>
      </c>
      <c r="D4">
        <f>6.173786619</f>
        <v>6.1737866190000004</v>
      </c>
      <c r="E4">
        <f>51.12575435</f>
        <v>51.125754350000001</v>
      </c>
      <c r="F4">
        <f>45.8158891</f>
        <v>45.8158891</v>
      </c>
      <c r="G4">
        <f>43.48191332</f>
        <v>43.481913319999997</v>
      </c>
      <c r="H4">
        <f>-0.5508229622</f>
        <v>-0.55082296220000004</v>
      </c>
      <c r="I4">
        <f>42.93109036</f>
        <v>42.931090359999999</v>
      </c>
      <c r="J4">
        <f>146.36484</f>
        <v>146.36483999999999</v>
      </c>
      <c r="K4">
        <f>7.1402174</f>
        <v>7.1402174</v>
      </c>
      <c r="L4">
        <f>7742.7163</f>
        <v>7742.7163</v>
      </c>
    </row>
    <row r="5" spans="1:12" x14ac:dyDescent="0.25">
      <c r="A5">
        <f>0.63</f>
        <v>0.63</v>
      </c>
      <c r="B5">
        <f>48.12880073</f>
        <v>48.128800730000002</v>
      </c>
      <c r="C5">
        <f>45.76870444</f>
        <v>45.76870444</v>
      </c>
      <c r="D5">
        <f>5.991849235</f>
        <v>5.9918492350000001</v>
      </c>
      <c r="E5">
        <f>51.76055367</f>
        <v>51.76055367</v>
      </c>
      <c r="F5">
        <f>46.55485505</f>
        <v>46.55485505</v>
      </c>
      <c r="G5">
        <f>44.27194047</f>
        <v>44.271940469999997</v>
      </c>
      <c r="H5">
        <f>-0.5502035691</f>
        <v>-0.55020356910000001</v>
      </c>
      <c r="I5">
        <f>43.7217369</f>
        <v>43.721736900000003</v>
      </c>
      <c r="J5">
        <f>144.22294</f>
        <v>144.22293999999999</v>
      </c>
      <c r="K5">
        <f>7.3009049</f>
        <v>7.3009048999999999</v>
      </c>
      <c r="L5">
        <f>7508.3079</f>
        <v>7508.3078999999998</v>
      </c>
    </row>
    <row r="6" spans="1:12" x14ac:dyDescent="0.25">
      <c r="A6">
        <f>0.64</f>
        <v>0.64</v>
      </c>
      <c r="B6">
        <f>48.89274995</f>
        <v>48.892749950000002</v>
      </c>
      <c r="C6">
        <f>46.58550567</f>
        <v>46.585505670000003</v>
      </c>
      <c r="D6">
        <f>5.809693039</f>
        <v>5.8096930389999999</v>
      </c>
      <c r="E6">
        <f>52.39519871</f>
        <v>52.395198710000003</v>
      </c>
      <c r="F6">
        <f>47.293821</f>
        <v>47.293821000000001</v>
      </c>
      <c r="G6">
        <f>45.06203003</f>
        <v>45.062030030000003</v>
      </c>
      <c r="H6">
        <f>-0.5495699453</f>
        <v>-0.54956994530000003</v>
      </c>
      <c r="I6">
        <f>44.51246008</f>
        <v>44.512460079999997</v>
      </c>
      <c r="J6">
        <f>141.93413</f>
        <v>141.93413000000001</v>
      </c>
      <c r="K6">
        <f>7.4692015</f>
        <v>7.4692014999999996</v>
      </c>
      <c r="L6">
        <f>7273.6961</f>
        <v>7273.6961000000001</v>
      </c>
    </row>
    <row r="7" spans="1:12" x14ac:dyDescent="0.25">
      <c r="A7">
        <f>0.65</f>
        <v>0.65</v>
      </c>
      <c r="B7">
        <f>49.65669917</f>
        <v>49.656699170000003</v>
      </c>
      <c r="C7">
        <f>47.40237807</f>
        <v>47.402378069999997</v>
      </c>
      <c r="D7">
        <f>5.627295383</f>
        <v>5.6272953829999999</v>
      </c>
      <c r="E7">
        <f>53.02967345</f>
        <v>53.029673449999997</v>
      </c>
      <c r="F7">
        <f>48.03278696</f>
        <v>48.032786960000003</v>
      </c>
      <c r="G7">
        <f>45.85218843</f>
        <v>45.852188429999998</v>
      </c>
      <c r="H7">
        <f>-0.5489210341</f>
        <v>-0.54892103410000004</v>
      </c>
      <c r="I7">
        <f>45.30326739</f>
        <v>45.303267390000002</v>
      </c>
      <c r="J7">
        <f>139.49781</f>
        <v>139.49780999999999</v>
      </c>
      <c r="K7">
        <f>7.645683</f>
        <v>7.645683</v>
      </c>
      <c r="L7">
        <f>7038.8597</f>
        <v>7038.8597</v>
      </c>
    </row>
    <row r="8" spans="1:12" x14ac:dyDescent="0.25">
      <c r="A8">
        <f>0.66</f>
        <v>0.66</v>
      </c>
      <c r="B8">
        <f>50.42064839</f>
        <v>50.420648389999997</v>
      </c>
      <c r="C8">
        <f>48.21932925</f>
        <v>48.219329250000001</v>
      </c>
      <c r="D8">
        <f>5.444630333</f>
        <v>5.4446303330000001</v>
      </c>
      <c r="E8">
        <f>53.66395958</f>
        <v>53.663959579999997</v>
      </c>
      <c r="F8">
        <f>48.77175291</f>
        <v>48.771752909999996</v>
      </c>
      <c r="G8">
        <f>46.64242303</f>
        <v>46.642423030000003</v>
      </c>
      <c r="H8">
        <f>-0.5482556648</f>
        <v>-0.54825566479999999</v>
      </c>
      <c r="I8">
        <f>46.09416736</f>
        <v>46.09416736</v>
      </c>
      <c r="J8">
        <f>136.91329</f>
        <v>136.91328999999999</v>
      </c>
      <c r="K8">
        <f>7.8309882</f>
        <v>7.8309882000000002</v>
      </c>
      <c r="L8">
        <f>6803.7748</f>
        <v>6803.7748000000001</v>
      </c>
    </row>
    <row r="9" spans="1:12" x14ac:dyDescent="0.25">
      <c r="A9">
        <f>0.67</f>
        <v>0.67</v>
      </c>
      <c r="B9">
        <f>51.18459761</f>
        <v>51.184597609999997</v>
      </c>
      <c r="C9">
        <f>49.03636795</f>
        <v>49.036367949999999</v>
      </c>
      <c r="D9">
        <f>5.261668043</f>
        <v>5.2616680430000002</v>
      </c>
      <c r="E9">
        <f>54.29803599</f>
        <v>54.298035990000002</v>
      </c>
      <c r="F9">
        <f>49.51071886</f>
        <v>49.510718859999997</v>
      </c>
      <c r="G9">
        <f>47.43274229</f>
        <v>47.43274229</v>
      </c>
      <c r="H9">
        <f>-0.5475725356</f>
        <v>-0.54757253559999997</v>
      </c>
      <c r="I9">
        <f>46.88516976</f>
        <v>46.885169759999997</v>
      </c>
      <c r="J9">
        <f>134.17976</f>
        <v>134.17975999999999</v>
      </c>
      <c r="K9">
        <f>8.0258281</f>
        <v>8.0258281</v>
      </c>
      <c r="L9">
        <f>6568.4134</f>
        <v>6568.4134000000004</v>
      </c>
    </row>
    <row r="10" spans="1:12" x14ac:dyDescent="0.25">
      <c r="A10">
        <f>0.68</f>
        <v>0.68</v>
      </c>
      <c r="B10">
        <f>51.94854683</f>
        <v>51.948546829999998</v>
      </c>
      <c r="C10">
        <f>49.85350384</f>
        <v>49.853503840000002</v>
      </c>
      <c r="D10">
        <f>5.078375557</f>
        <v>5.0783755570000002</v>
      </c>
      <c r="E10">
        <f>54.9318794</f>
        <v>54.9318794</v>
      </c>
      <c r="F10">
        <f>50.24968482</f>
        <v>50.249684819999999</v>
      </c>
      <c r="G10">
        <f>48.22315557</f>
        <v>48.223155570000003</v>
      </c>
      <c r="H10">
        <f>-0.5468702</f>
        <v>-0.54687019999999997</v>
      </c>
      <c r="I10">
        <f>47.67628537</f>
        <v>47.676285370000002</v>
      </c>
      <c r="J10">
        <f>131.29788</f>
        <v>131.29787999999999</v>
      </c>
      <c r="K10">
        <f>8.2309953</f>
        <v>8.2309953</v>
      </c>
      <c r="L10">
        <f>6332.8188</f>
        <v>6332.8188</v>
      </c>
    </row>
    <row r="11" spans="1:12" x14ac:dyDescent="0.25">
      <c r="A11">
        <f>0.69</f>
        <v>0.69</v>
      </c>
      <c r="B11">
        <f>52.71249604</f>
        <v>52.712496039999998</v>
      </c>
      <c r="C11">
        <f>50.67074958</f>
        <v>50.670749579999999</v>
      </c>
      <c r="D11">
        <f>4.894709675</f>
        <v>4.8947096749999996</v>
      </c>
      <c r="E11">
        <f>55.56545926</f>
        <v>55.565459259999997</v>
      </c>
      <c r="F11">
        <f>50.98865077</f>
        <v>50.98865077</v>
      </c>
      <c r="G11">
        <f>49.0136751</f>
        <v>49.0136751</v>
      </c>
      <c r="H11">
        <f>-0.5461470178</f>
        <v>-0.54614701779999997</v>
      </c>
      <c r="I11">
        <f>48.46752808</f>
        <v>48.467528080000001</v>
      </c>
      <c r="J11">
        <f>128.26351</f>
        <v>128.26351</v>
      </c>
      <c r="K11">
        <f>8.4473849</f>
        <v>8.4473848999999994</v>
      </c>
      <c r="L11">
        <f>6096.8049</f>
        <v>6096.8049000000001</v>
      </c>
    </row>
    <row r="12" spans="1:12" x14ac:dyDescent="0.25">
      <c r="A12">
        <f>0.7</f>
        <v>0.7</v>
      </c>
      <c r="B12">
        <f>53.47644526</f>
        <v>53.476445259999998</v>
      </c>
      <c r="C12">
        <f>51.48811854</f>
        <v>51.488118540000002</v>
      </c>
      <c r="D12">
        <f>4.710624717</f>
        <v>4.710624717</v>
      </c>
      <c r="E12">
        <f>56.19874326</f>
        <v>56.198743260000001</v>
      </c>
      <c r="F12">
        <f>51.72761672</f>
        <v>51.72761672</v>
      </c>
      <c r="G12">
        <f>49.80431382</f>
        <v>49.804313819999997</v>
      </c>
      <c r="H12">
        <f>-0.5454011599</f>
        <v>-0.54540115990000004</v>
      </c>
      <c r="I12">
        <f>49.25891266</f>
        <v>49.25891266</v>
      </c>
      <c r="J12">
        <f>125.0769</f>
        <v>125.07689999999999</v>
      </c>
      <c r="K12">
        <f>8.6760008</f>
        <v>8.6760008000000006</v>
      </c>
      <c r="L12">
        <f>5860.4013</f>
        <v>5860.4013000000004</v>
      </c>
    </row>
    <row r="13" spans="1:12" x14ac:dyDescent="0.25">
      <c r="A13">
        <f>0.71</f>
        <v>0.71</v>
      </c>
      <c r="B13">
        <f>54.24039448</f>
        <v>54.240394479999999</v>
      </c>
      <c r="C13">
        <f>52.30562701</f>
        <v>52.305627010000002</v>
      </c>
      <c r="D13">
        <f>4.526065077</f>
        <v>4.5260650770000002</v>
      </c>
      <c r="E13">
        <f>56.83169209</f>
        <v>56.831692089999997</v>
      </c>
      <c r="F13">
        <f>52.46658268</f>
        <v>52.466582680000002</v>
      </c>
      <c r="G13">
        <f>50.59508749</f>
        <v>50.595087489999997</v>
      </c>
      <c r="H13">
        <f>-0.5446305484</f>
        <v>-0.54463054840000003</v>
      </c>
      <c r="I13">
        <f>50.05045694</f>
        <v>50.050456939999997</v>
      </c>
      <c r="J13">
        <f>121.73658</f>
        <v>121.73658</v>
      </c>
      <c r="K13">
        <f>8.9179831</f>
        <v>8.9179831000000007</v>
      </c>
      <c r="L13">
        <f>5623.5558</f>
        <v>5623.5558000000001</v>
      </c>
    </row>
    <row r="14" spans="1:12" x14ac:dyDescent="0.25">
      <c r="A14">
        <f>0.72</f>
        <v>0.72</v>
      </c>
      <c r="B14">
        <f>55.0043437</f>
        <v>55.0043437</v>
      </c>
      <c r="C14">
        <f>53.12329433</f>
        <v>53.12329433</v>
      </c>
      <c r="D14">
        <f>4.340964608</f>
        <v>4.3409646080000002</v>
      </c>
      <c r="E14">
        <f>57.46425894</f>
        <v>57.464258940000001</v>
      </c>
      <c r="F14">
        <f>53.20554863</f>
        <v>53.205548630000003</v>
      </c>
      <c r="G14">
        <f>51.38601482</f>
        <v>51.38601482</v>
      </c>
      <c r="H14">
        <f>-0.5438328159</f>
        <v>-0.54383281589999999</v>
      </c>
      <c r="I14">
        <f>50.842182</f>
        <v>50.842182000000001</v>
      </c>
      <c r="J14">
        <f>118.24076</f>
        <v>118.24075999999999</v>
      </c>
      <c r="K14">
        <f>9.1746317</f>
        <v>9.1746317000000008</v>
      </c>
      <c r="L14">
        <f>5386.2065</f>
        <v>5386.2065000000002</v>
      </c>
    </row>
    <row r="15" spans="1:12" x14ac:dyDescent="0.25">
      <c r="A15">
        <f>0.73</f>
        <v>0.73</v>
      </c>
      <c r="B15">
        <f>55.76829292</f>
        <v>55.76829292</v>
      </c>
      <c r="C15">
        <f>53.94114374</f>
        <v>53.941143740000001</v>
      </c>
      <c r="D15">
        <f>4.155243925</f>
        <v>4.1552439249999997</v>
      </c>
      <c r="E15">
        <f>58.09638767</f>
        <v>58.096387669999999</v>
      </c>
      <c r="F15">
        <f>53.94451458</f>
        <v>53.944514580000003</v>
      </c>
      <c r="G15">
        <f>52.17711827</f>
        <v>52.177118270000001</v>
      </c>
      <c r="H15">
        <f>-0.543005247</f>
        <v>-0.54300524699999997</v>
      </c>
      <c r="I15">
        <f>51.63411303</f>
        <v>51.634113030000002</v>
      </c>
      <c r="J15">
        <f>114.58735</f>
        <v>114.58735</v>
      </c>
      <c r="K15">
        <f>9.4474389</f>
        <v>9.4474388999999999</v>
      </c>
      <c r="L15">
        <f>5148.279</f>
        <v>5148.2790000000005</v>
      </c>
    </row>
    <row r="16" spans="1:12" x14ac:dyDescent="0.25">
      <c r="A16">
        <f>0.74</f>
        <v>0.74</v>
      </c>
      <c r="B16">
        <f>56.53224213</f>
        <v>56.53224213</v>
      </c>
      <c r="C16">
        <f>54.75920337</f>
        <v>54.759203370000002</v>
      </c>
      <c r="D16">
        <f>3.968806824</f>
        <v>3.9688068240000001</v>
      </c>
      <c r="E16">
        <f>58.72801019</f>
        <v>58.728010189999999</v>
      </c>
      <c r="F16">
        <f>54.68348054</f>
        <v>54.683480539999998</v>
      </c>
      <c r="G16">
        <f>52.96842507</f>
        <v>52.968425070000002</v>
      </c>
      <c r="H16">
        <f>-0.5421447023</f>
        <v>-0.5421447023</v>
      </c>
      <c r="I16">
        <f>52.42628037</f>
        <v>52.426280370000001</v>
      </c>
      <c r="J16">
        <f>110.77376</f>
        <v>110.77376</v>
      </c>
      <c r="K16">
        <f>9.7381311</f>
        <v>9.7381311000000004</v>
      </c>
      <c r="L16">
        <f>4909.6829</f>
        <v>4909.6828999999998</v>
      </c>
    </row>
    <row r="17" spans="1:12" x14ac:dyDescent="0.25">
      <c r="A17">
        <f>0.75</f>
        <v>0.75</v>
      </c>
      <c r="B17">
        <f>57.29619135</f>
        <v>57.296191350000001</v>
      </c>
      <c r="C17">
        <f>55.57750766</f>
        <v>55.577507660000002</v>
      </c>
      <c r="D17">
        <f>3.781535425</f>
        <v>3.781535425</v>
      </c>
      <c r="E17">
        <f>59.35904308</f>
        <v>59.359043079999999</v>
      </c>
      <c r="F17">
        <f>55.42244649</f>
        <v>55.422446489999999</v>
      </c>
      <c r="G17">
        <f>53.75996853</f>
        <v>53.759968530000002</v>
      </c>
      <c r="H17">
        <f>-0.5412475203</f>
        <v>-0.54124752030000001</v>
      </c>
      <c r="I17">
        <f>53.21872101</f>
        <v>53.218721010000003</v>
      </c>
      <c r="J17">
        <f>106.79685</f>
        <v>106.79685000000001</v>
      </c>
      <c r="K17">
        <f>10.048722</f>
        <v>10.048722</v>
      </c>
      <c r="L17">
        <f>4670.3071</f>
        <v>4670.3071</v>
      </c>
    </row>
    <row r="18" spans="1:12" x14ac:dyDescent="0.25">
      <c r="A18">
        <f>0.76</f>
        <v>0.76</v>
      </c>
      <c r="B18">
        <f>58.06014057</f>
        <v>58.060140570000002</v>
      </c>
      <c r="C18">
        <f>56.39609934</f>
        <v>56.396099339999999</v>
      </c>
      <c r="D18">
        <f>3.593283472</f>
        <v>3.593283472</v>
      </c>
      <c r="E18">
        <f>59.98938282</f>
        <v>59.989382820000003</v>
      </c>
      <c r="F18">
        <f>56.16141244</f>
        <v>56.161412439999999</v>
      </c>
      <c r="G18">
        <f>54.55178999</f>
        <v>54.551789990000003</v>
      </c>
      <c r="H18">
        <f>-0.5403093862</f>
        <v>-0.54030938620000002</v>
      </c>
      <c r="I18">
        <f>54.01148061</f>
        <v>54.01148061</v>
      </c>
      <c r="J18">
        <f>102.6527</f>
        <v>102.6527</v>
      </c>
      <c r="K18">
        <f>10.381587</f>
        <v>10.381587</v>
      </c>
      <c r="L18">
        <f>4430.0138</f>
        <v>4430.0137999999997</v>
      </c>
    </row>
    <row r="19" spans="1:12" x14ac:dyDescent="0.25">
      <c r="A19">
        <f>0.77</f>
        <v>0.77</v>
      </c>
      <c r="B19">
        <f>58.82408979</f>
        <v>58.824089790000002</v>
      </c>
      <c r="C19">
        <f>57.21503218</f>
        <v>57.215032180000001</v>
      </c>
      <c r="D19">
        <f>3.403866894</f>
        <v>3.4038668940000001</v>
      </c>
      <c r="E19">
        <f>60.61889908</f>
        <v>60.618899079999998</v>
      </c>
      <c r="F19">
        <f>56.9003784</f>
        <v>56.900378400000001</v>
      </c>
      <c r="G19">
        <f>55.34394145</f>
        <v>55.343941450000003</v>
      </c>
      <c r="H19">
        <f>-0.5393251527</f>
        <v>-0.53932515270000003</v>
      </c>
      <c r="I19">
        <f>54.8046163</f>
        <v>54.804616299999999</v>
      </c>
      <c r="J19">
        <f>98.336398</f>
        <v>98.336398000000003</v>
      </c>
      <c r="K19">
        <f>10.739557</f>
        <v>10.739557</v>
      </c>
      <c r="L19">
        <f>4188.6285</f>
        <v>4188.6284999999998</v>
      </c>
    </row>
    <row r="20" spans="1:12" x14ac:dyDescent="0.25">
      <c r="A20">
        <f>0.78</f>
        <v>0.78</v>
      </c>
      <c r="B20">
        <f>59.58803901</f>
        <v>59.588039010000003</v>
      </c>
      <c r="C20">
        <f>58.03437494</f>
        <v>58.034374939999999</v>
      </c>
      <c r="D20">
        <f>3.213050152</f>
        <v>3.2130501520000001</v>
      </c>
      <c r="E20">
        <f>61.24742509</f>
        <v>61.24742509</v>
      </c>
      <c r="F20">
        <f>57.63934435</f>
        <v>57.639344350000002</v>
      </c>
      <c r="G20">
        <f>56.13648942</f>
        <v>56.136489419999997</v>
      </c>
      <c r="H20">
        <f>-0.5382885903</f>
        <v>-0.53828859029999998</v>
      </c>
      <c r="I20">
        <f>55.59820083</f>
        <v>55.598200830000003</v>
      </c>
      <c r="J20">
        <f>93.841614</f>
        <v>93.841614000000007</v>
      </c>
      <c r="K20">
        <f>11.126057</f>
        <v>11.126056999999999</v>
      </c>
      <c r="L20">
        <f>3945.9278</f>
        <v>3945.9277999999999</v>
      </c>
    </row>
    <row r="21" spans="1:12" x14ac:dyDescent="0.25">
      <c r="A21">
        <f>0.79</f>
        <v>0.79</v>
      </c>
      <c r="B21">
        <f>60.35198822</f>
        <v>60.351988220000003</v>
      </c>
      <c r="C21">
        <f>58.85421728</f>
        <v>58.85421728</v>
      </c>
      <c r="D21">
        <f>3.020525928</f>
        <v>3.0205259280000001</v>
      </c>
      <c r="E21">
        <f>61.87474321</f>
        <v>61.874743209999998</v>
      </c>
      <c r="F21">
        <f>58.3783103</f>
        <v>58.378310300000003</v>
      </c>
      <c r="G21">
        <f>56.92952064</f>
        <v>56.92952064</v>
      </c>
      <c r="H21">
        <f>-0.537192027</f>
        <v>-0.53719202700000002</v>
      </c>
      <c r="I21">
        <f>56.39232861</f>
        <v>56.39232861</v>
      </c>
      <c r="J21">
        <f>89.160098</f>
        <v>89.160098000000005</v>
      </c>
      <c r="K21">
        <f>11.545302</f>
        <v>11.545302</v>
      </c>
      <c r="L21">
        <f>3701.619</f>
        <v>3701.6190000000001</v>
      </c>
    </row>
    <row r="22" spans="1:12" x14ac:dyDescent="0.25">
      <c r="A22">
        <f>0.8</f>
        <v>0.8</v>
      </c>
      <c r="B22">
        <f>61.11593744</f>
        <v>61.115937440000003</v>
      </c>
      <c r="C22">
        <f>59.67467893</f>
        <v>59.674678929999999</v>
      </c>
      <c r="D22">
        <f>2.82588384</f>
        <v>2.8258838399999999</v>
      </c>
      <c r="E22">
        <f>62.50056277</f>
        <v>62.500562770000002</v>
      </c>
      <c r="F22">
        <f>59.11727626</f>
        <v>59.117276259999997</v>
      </c>
      <c r="G22">
        <f>57.7231509</f>
        <v>57.7231509</v>
      </c>
      <c r="H22">
        <f>-0.5360258093</f>
        <v>-0.53602580929999999</v>
      </c>
      <c r="I22">
        <f>57.18712509</f>
        <v>57.187125090000002</v>
      </c>
      <c r="J22">
        <f>84.280814</f>
        <v>84.280814000000007</v>
      </c>
      <c r="K22">
        <f>12.002587</f>
        <v>12.002587</v>
      </c>
      <c r="L22">
        <f>3455.3099</f>
        <v>3455.3099000000002</v>
      </c>
    </row>
    <row r="23" spans="1:12" x14ac:dyDescent="0.25">
      <c r="A23">
        <f>0.81</f>
        <v>0.81</v>
      </c>
      <c r="B23">
        <f>61.87988666</f>
        <v>61.879886659999997</v>
      </c>
      <c r="C23">
        <f>60.49592424</f>
        <v>60.495924240000001</v>
      </c>
      <c r="D23">
        <f>2.628560163</f>
        <v>2.6285601629999999</v>
      </c>
      <c r="E23">
        <f>63.12448441</f>
        <v>63.124484410000001</v>
      </c>
      <c r="F23">
        <f>59.85624221</f>
        <v>59.856242209999998</v>
      </c>
      <c r="G23">
        <f>58.51753921</f>
        <v>58.517539210000002</v>
      </c>
      <c r="H23">
        <f>-0.5347774608</f>
        <v>-0.53477746079999999</v>
      </c>
      <c r="I23">
        <f>57.98276175</f>
        <v>57.982761750000002</v>
      </c>
      <c r="J23">
        <f>79.188575</f>
        <v>79.188575</v>
      </c>
      <c r="K23">
        <f>12.504742</f>
        <v>12.504742</v>
      </c>
      <c r="L23">
        <f>3206.4597</f>
        <v>3206.4596999999999</v>
      </c>
    </row>
    <row r="24" spans="1:12" x14ac:dyDescent="0.25">
      <c r="A24">
        <f>0.82</f>
        <v>0.82</v>
      </c>
      <c r="B24">
        <f>62.64383588</f>
        <v>62.643835879999997</v>
      </c>
      <c r="C24">
        <f>61.31818704</f>
        <v>61.318187039999998</v>
      </c>
      <c r="D24">
        <f>2.427752764</f>
        <v>2.4277527640000001</v>
      </c>
      <c r="E24">
        <f>63.74593981</f>
        <v>63.745939810000003</v>
      </c>
      <c r="F24">
        <f>60.59520816</f>
        <v>60.595208159999999</v>
      </c>
      <c r="G24">
        <f>59.31291173</f>
        <v>59.312911730000003</v>
      </c>
      <c r="H24">
        <f>-0.5334302944</f>
        <v>-0.5334302944</v>
      </c>
      <c r="I24">
        <f>58.77948144</f>
        <v>58.779481439999998</v>
      </c>
      <c r="J24">
        <f>73.861745</f>
        <v>73.861744999999999</v>
      </c>
      <c r="K24">
        <f>13.060876</f>
        <v>13.060876</v>
      </c>
      <c r="L24">
        <f>2954.2958</f>
        <v>2954.2957999999999</v>
      </c>
    </row>
    <row r="25" spans="1:12" x14ac:dyDescent="0.25">
      <c r="A25">
        <f>0.83</f>
        <v>0.83</v>
      </c>
      <c r="B25">
        <f>63.4077851</f>
        <v>63.407785099999998</v>
      </c>
      <c r="C25">
        <f>62.14181411</f>
        <v>62.141814109999999</v>
      </c>
      <c r="D25">
        <f>2.222271509</f>
        <v>2.222271509</v>
      </c>
      <c r="E25">
        <f>64.36408562</f>
        <v>64.364085619999997</v>
      </c>
      <c r="F25">
        <f>61.33417412</f>
        <v>61.33417412</v>
      </c>
      <c r="G25">
        <f>60.1096039</f>
        <v>60.109603900000003</v>
      </c>
      <c r="H25">
        <f>-0.5319609936</f>
        <v>-0.53196099360000004</v>
      </c>
      <c r="I25">
        <f>59.57764291</f>
        <v>59.577642910000002</v>
      </c>
      <c r="J25">
        <f>68.268984</f>
        <v>68.268984000000003</v>
      </c>
      <c r="K25">
        <f>13.68368</f>
        <v>13.683680000000001</v>
      </c>
      <c r="L25">
        <f>2697.6998</f>
        <v>2697.6997999999999</v>
      </c>
    </row>
    <row r="26" spans="1:12" x14ac:dyDescent="0.25">
      <c r="A26">
        <f>0.84</f>
        <v>0.84</v>
      </c>
      <c r="B26">
        <f>64.17173431</f>
        <v>64.171734310000005</v>
      </c>
      <c r="C26">
        <f>62.96735733</f>
        <v>62.967357329999999</v>
      </c>
      <c r="D26">
        <f>2.010222488</f>
        <v>2.0102224880000001</v>
      </c>
      <c r="E26">
        <f>64.97757982</f>
        <v>64.977579820000003</v>
      </c>
      <c r="F26">
        <f>62.07314007</f>
        <v>62.073140070000001</v>
      </c>
      <c r="G26">
        <f>60.90814957</f>
        <v>60.908149569999999</v>
      </c>
      <c r="H26">
        <f>-0.5303345998</f>
        <v>-0.53033459979999997</v>
      </c>
      <c r="I26">
        <f>60.37781497</f>
        <v>60.377814970000003</v>
      </c>
      <c r="J26">
        <f>62.357843</f>
        <v>62.357843000000003</v>
      </c>
      <c r="K26">
        <f>14.391993</f>
        <v>14.391992999999999</v>
      </c>
      <c r="L26">
        <f>2434.782</f>
        <v>2434.7820000000002</v>
      </c>
    </row>
    <row r="27" spans="1:12" x14ac:dyDescent="0.25">
      <c r="A27">
        <f>0.85</f>
        <v>0.85</v>
      </c>
      <c r="B27">
        <f>64.93568353</f>
        <v>64.935683530000006</v>
      </c>
      <c r="C27">
        <f>63.79576369</f>
        <v>63.795763690000001</v>
      </c>
      <c r="D27">
        <f>1.78835314</f>
        <v>1.7883531399999999</v>
      </c>
      <c r="E27">
        <f>65.58411683</f>
        <v>65.584116829999999</v>
      </c>
      <c r="F27">
        <f>62.81210602</f>
        <v>62.812106020000002</v>
      </c>
      <c r="G27">
        <f>61.70946473</f>
        <v>61.709464730000001</v>
      </c>
      <c r="H27">
        <f>-0.528494796</f>
        <v>-0.52849479600000004</v>
      </c>
      <c r="I27">
        <f>61.18096994</f>
        <v>61.180969939999997</v>
      </c>
      <c r="J27">
        <f>56.041546</f>
        <v>56.041545999999997</v>
      </c>
      <c r="K27">
        <f>15.216249</f>
        <v>15.216248999999999</v>
      </c>
      <c r="L27">
        <f>2162.417</f>
        <v>2162.4169999999999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F30" sqref="F30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0.7'!$C2</f>
        <v>36.720161689999998</v>
      </c>
      <c r="C2" s="15">
        <f>(B2+D2)/2</f>
        <v>37.227678754999999</v>
      </c>
      <c r="D2" s="15">
        <f>'FU 0.72'!$C2</f>
        <v>37.735195820000001</v>
      </c>
      <c r="E2" s="15">
        <f>'FU 0.73'!$C2</f>
        <v>38.242727809999998</v>
      </c>
      <c r="F2" s="15">
        <f>'FU 0.74'!$C2</f>
        <v>38.75027008</v>
      </c>
      <c r="G2" s="15">
        <f>'FU 0.75'!$C2</f>
        <v>39.257822959999999</v>
      </c>
      <c r="H2" s="15">
        <f>'FU 0.76'!$C2</f>
        <v>39.765386759999998</v>
      </c>
      <c r="I2" s="15">
        <f>'FU 0.77'!$C2</f>
        <v>40.272961780000003</v>
      </c>
      <c r="J2" s="15">
        <f>'FU 0.78'!$C2</f>
        <v>40.780548340000003</v>
      </c>
      <c r="K2" s="15">
        <f>'FU 0.79'!$C2</f>
        <v>41.288146740000002</v>
      </c>
      <c r="L2" s="15">
        <f>'FU 0.8'!$C2</f>
        <v>41.795757299999998</v>
      </c>
      <c r="M2" s="15">
        <f>'FU 0.81'!$C2</f>
        <v>42.303380339999997</v>
      </c>
      <c r="N2" s="15">
        <f>'FU 0.82'!$C2</f>
        <v>42.811016189999997</v>
      </c>
      <c r="O2" s="15">
        <f>'FU 0.83'!$C2</f>
        <v>43.31866522</v>
      </c>
      <c r="P2" s="15">
        <f>'FU 0.84'!$C2</f>
        <v>43.826327790000001</v>
      </c>
      <c r="Q2" s="15">
        <f>'FU 0.85'!$C2</f>
        <v>44.334004319999998</v>
      </c>
    </row>
    <row r="3" spans="1:17" x14ac:dyDescent="0.25">
      <c r="A3">
        <f>'FU 0.7'!A3</f>
        <v>0.61</v>
      </c>
      <c r="B3" s="15">
        <f>'FU 0.7'!$C3</f>
        <v>37.408832480000001</v>
      </c>
      <c r="C3" s="15">
        <f t="shared" ref="C3:C27" si="0">(B3+D3)/2</f>
        <v>37.926191029999998</v>
      </c>
      <c r="D3" s="15">
        <f>'FU 0.72'!$C3</f>
        <v>38.443549580000003</v>
      </c>
      <c r="E3" s="15">
        <f>'FU 0.73'!$C3</f>
        <v>38.960923309999998</v>
      </c>
      <c r="F3" s="15">
        <f>'FU 0.74'!$C3</f>
        <v>39.4783075</v>
      </c>
      <c r="G3" s="15">
        <f>'FU 0.75'!$C3</f>
        <v>39.995702479999999</v>
      </c>
      <c r="H3" s="15">
        <f>'FU 0.76'!$C3</f>
        <v>40.513108580000001</v>
      </c>
      <c r="I3" s="15">
        <f>'FU 0.77'!$C3</f>
        <v>41.030526109999997</v>
      </c>
      <c r="J3" s="15">
        <f>'FU 0.78'!$C3</f>
        <v>41.547955389999998</v>
      </c>
      <c r="K3" s="15">
        <f>'FU 0.79'!$C3</f>
        <v>42.065396749999998</v>
      </c>
      <c r="L3" s="15">
        <f>'FU 0.8'!$C3</f>
        <v>42.58285051</v>
      </c>
      <c r="M3" s="15">
        <f>'FU 0.81'!$C3</f>
        <v>43.100317019999999</v>
      </c>
      <c r="N3" s="15">
        <f>'FU 0.82'!$C3</f>
        <v>43.617796630000001</v>
      </c>
      <c r="O3" s="15">
        <f>'FU 0.83'!$C3</f>
        <v>44.135289700000001</v>
      </c>
      <c r="P3" s="15">
        <f>'FU 0.84'!$C3</f>
        <v>44.652796649999999</v>
      </c>
      <c r="Q3" s="15">
        <f>'FU 0.85'!$C3</f>
        <v>45.170317920000002</v>
      </c>
    </row>
    <row r="4" spans="1:17" x14ac:dyDescent="0.25">
      <c r="A4">
        <f>'FU 0.7'!A4</f>
        <v>0.62</v>
      </c>
      <c r="B4" s="15">
        <f>'FU 0.7'!$C4</f>
        <v>38.097543700000003</v>
      </c>
      <c r="C4" s="15">
        <f t="shared" si="0"/>
        <v>38.624744620000001</v>
      </c>
      <c r="D4" s="15">
        <f>'FU 0.72'!$C4</f>
        <v>39.15194554</v>
      </c>
      <c r="E4" s="15">
        <f>'FU 0.73'!$C4</f>
        <v>39.679161929999999</v>
      </c>
      <c r="F4" s="15">
        <f>'FU 0.74'!$C4</f>
        <v>40.206388969999999</v>
      </c>
      <c r="G4" s="15">
        <f>'FU 0.75'!$C4</f>
        <v>40.733627009999999</v>
      </c>
      <c r="H4" s="15">
        <f>'FU 0.76'!$C4</f>
        <v>41.26087639</v>
      </c>
      <c r="I4" s="15">
        <f>'FU 0.77'!$C4</f>
        <v>41.788137419999998</v>
      </c>
      <c r="J4" s="15">
        <f>'FU 0.78'!$C4</f>
        <v>42.315410460000003</v>
      </c>
      <c r="K4" s="15">
        <f>'FU 0.79'!$C4</f>
        <v>42.842695820000003</v>
      </c>
      <c r="L4" s="15">
        <f>'FU 0.8'!$C4</f>
        <v>43.369993860000001</v>
      </c>
      <c r="M4" s="15">
        <f>'FU 0.81'!$C4</f>
        <v>43.897304939999998</v>
      </c>
      <c r="N4" s="15">
        <f>'FU 0.82'!$C4</f>
        <v>44.424629430000003</v>
      </c>
      <c r="O4" s="15">
        <f>'FU 0.83'!$C4</f>
        <v>44.95196773</v>
      </c>
      <c r="P4" s="15">
        <f>'FU 0.84'!$C4</f>
        <v>45.479320270000002</v>
      </c>
      <c r="Q4" s="15">
        <f>'FU 0.85'!$C4</f>
        <v>46.00668752</v>
      </c>
    </row>
    <row r="5" spans="1:17" x14ac:dyDescent="0.25">
      <c r="A5">
        <f>'FU 0.7'!A5</f>
        <v>0.63</v>
      </c>
      <c r="B5" s="15">
        <f>'FU 0.7'!$C5</f>
        <v>38.786298680000002</v>
      </c>
      <c r="C5" s="15">
        <f t="shared" si="0"/>
        <v>39.323343135000002</v>
      </c>
      <c r="D5" s="15">
        <f>'FU 0.72'!$C5</f>
        <v>39.860387590000002</v>
      </c>
      <c r="E5" s="15">
        <f>'FU 0.73'!$C5</f>
        <v>40.397447649999997</v>
      </c>
      <c r="F5" s="15">
        <f>'FU 0.74'!$C5</f>
        <v>40.934518590000003</v>
      </c>
      <c r="G5" s="15">
        <f>'FU 0.75'!$C5</f>
        <v>41.47160075</v>
      </c>
      <c r="H5" s="15">
        <f>'FU 0.76'!$C5</f>
        <v>42.008694480000003</v>
      </c>
      <c r="I5" s="15">
        <f>'FU 0.77'!$C5</f>
        <v>42.545800130000003</v>
      </c>
      <c r="J5" s="15">
        <f>'FU 0.78'!$C5</f>
        <v>43.082918050000004</v>
      </c>
      <c r="K5" s="15">
        <f>'FU 0.79'!$C5</f>
        <v>43.620048580000002</v>
      </c>
      <c r="L5" s="15">
        <f>'FU 0.8'!$C5</f>
        <v>44.157192100000003</v>
      </c>
      <c r="M5" s="15">
        <f>'FU 0.81'!$C5</f>
        <v>44.694348980000001</v>
      </c>
      <c r="N5" s="15">
        <f>'FU 0.82'!$C5</f>
        <v>45.231519609999999</v>
      </c>
      <c r="O5" s="15">
        <f>'FU 0.83'!$C5</f>
        <v>45.76870444</v>
      </c>
      <c r="P5" s="15">
        <f>'FU 0.84'!$C5</f>
        <v>46.305903909999998</v>
      </c>
      <c r="Q5" s="15">
        <f>'FU 0.85'!$C5</f>
        <v>46.843118140000001</v>
      </c>
    </row>
    <row r="6" spans="1:17" x14ac:dyDescent="0.25">
      <c r="A6">
        <f>'FU 0.7'!A6</f>
        <v>0.64</v>
      </c>
      <c r="B6" s="15">
        <f>'FU 0.7'!$C6</f>
        <v>39.475102300000003</v>
      </c>
      <c r="C6" s="15">
        <f t="shared" si="0"/>
        <v>40.021991215</v>
      </c>
      <c r="D6" s="15">
        <f>'FU 0.72'!$C6</f>
        <v>40.568880129999997</v>
      </c>
      <c r="E6" s="15">
        <f>'FU 0.73'!$C6</f>
        <v>41.115784980000001</v>
      </c>
      <c r="F6" s="15">
        <f>'FU 0.74'!$C6</f>
        <v>41.662700960000002</v>
      </c>
      <c r="G6" s="15">
        <f>'FU 0.75'!$C6</f>
        <v>42.209628420000001</v>
      </c>
      <c r="H6" s="15">
        <f>'FU 0.76'!$C6</f>
        <v>42.75656772</v>
      </c>
      <c r="I6" s="15">
        <f>'FU 0.77'!$C6</f>
        <v>43.303519209999997</v>
      </c>
      <c r="J6" s="15">
        <f>'FU 0.78'!$C6</f>
        <v>43.850483279999999</v>
      </c>
      <c r="K6" s="15">
        <f>'FU 0.79'!$C6</f>
        <v>44.397460279999997</v>
      </c>
      <c r="L6" s="15">
        <f>'FU 0.8'!$C6</f>
        <v>44.944450600000003</v>
      </c>
      <c r="M6" s="15">
        <f>'FU 0.81'!$C6</f>
        <v>45.491454650000001</v>
      </c>
      <c r="N6" s="15">
        <f>'FU 0.82'!$C6</f>
        <v>46.038472859999999</v>
      </c>
      <c r="O6" s="15">
        <f>'FU 0.83'!$C6</f>
        <v>46.585505670000003</v>
      </c>
      <c r="P6" s="15">
        <f>'FU 0.84'!$C6</f>
        <v>47.132553590000001</v>
      </c>
      <c r="Q6" s="15">
        <f>'FU 0.85'!$C6</f>
        <v>47.67961674</v>
      </c>
    </row>
    <row r="7" spans="1:17" x14ac:dyDescent="0.25">
      <c r="A7">
        <f>'FU 0.7'!A7</f>
        <v>0.65</v>
      </c>
      <c r="B7" s="15">
        <f>'FU 0.7'!$C7</f>
        <v>40.16395893</v>
      </c>
      <c r="C7" s="15">
        <f t="shared" si="0"/>
        <v>40.720693515000001</v>
      </c>
      <c r="D7" s="15">
        <f>'FU 0.72'!$C7</f>
        <v>41.277428100000002</v>
      </c>
      <c r="E7" s="15">
        <f>'FU 0.73'!$C7</f>
        <v>41.83417901</v>
      </c>
      <c r="F7" s="15">
        <f>'FU 0.74'!$C7</f>
        <v>42.390941310000002</v>
      </c>
      <c r="G7" s="15">
        <f>'FU 0.75'!$C7</f>
        <v>42.947715379999998</v>
      </c>
      <c r="H7" s="15">
        <f>'FU 0.76'!$C7</f>
        <v>43.504501589999997</v>
      </c>
      <c r="I7" s="15">
        <f>'FU 0.77'!$C7</f>
        <v>44.06130031</v>
      </c>
      <c r="J7" s="15">
        <f>'FU 0.78'!$C7</f>
        <v>44.618111939999999</v>
      </c>
      <c r="K7" s="15">
        <f>'FU 0.79'!$C7</f>
        <v>45.174936860000003</v>
      </c>
      <c r="L7" s="15">
        <f>'FU 0.8'!$C7</f>
        <v>45.731775489999997</v>
      </c>
      <c r="M7" s="15">
        <f>'FU 0.81'!$C7</f>
        <v>46.288628260000003</v>
      </c>
      <c r="N7" s="15">
        <f>'FU 0.82'!$C7</f>
        <v>46.845495620000001</v>
      </c>
      <c r="O7" s="15">
        <f>'FU 0.83'!$C7</f>
        <v>47.402378069999997</v>
      </c>
      <c r="P7" s="15">
        <f>'FU 0.84'!$C7</f>
        <v>47.959276150000001</v>
      </c>
      <c r="Q7" s="15">
        <f>'FU 0.85'!$C7</f>
        <v>48.516189969999999</v>
      </c>
    </row>
    <row r="8" spans="1:17" x14ac:dyDescent="0.25">
      <c r="A8">
        <f>'FU 0.7'!A8</f>
        <v>0.66</v>
      </c>
      <c r="B8" s="15">
        <f>'FU 0.7'!$C8</f>
        <v>40.852873930000001</v>
      </c>
      <c r="C8" s="15">
        <f t="shared" si="0"/>
        <v>41.419455545000005</v>
      </c>
      <c r="D8" s="15">
        <f>'FU 0.72'!$C8</f>
        <v>41.986037160000002</v>
      </c>
      <c r="E8" s="15">
        <f>'FU 0.73'!$C8</f>
        <v>42.552635530000003</v>
      </c>
      <c r="F8" s="15">
        <f>'FU 0.74'!$C8</f>
        <v>43.119245589999998</v>
      </c>
      <c r="G8" s="15">
        <f>'FU 0.75'!$C8</f>
        <v>43.685867739999999</v>
      </c>
      <c r="H8" s="15">
        <f>'FU 0.76'!$C8</f>
        <v>44.252502370000002</v>
      </c>
      <c r="I8" s="15">
        <f>'FU 0.77'!$C8</f>
        <v>44.819149869999997</v>
      </c>
      <c r="J8" s="15">
        <f>'FU 0.78'!$C8</f>
        <v>45.385810650000003</v>
      </c>
      <c r="K8" s="15">
        <f>'FU 0.79'!$C8</f>
        <v>45.95248514</v>
      </c>
      <c r="L8" s="15">
        <f>'FU 0.8'!$C8</f>
        <v>46.519173760000001</v>
      </c>
      <c r="M8" s="15">
        <f>'FU 0.81'!$C8</f>
        <v>47.085876980000002</v>
      </c>
      <c r="N8" s="15">
        <f>'FU 0.82'!$C8</f>
        <v>47.652595300000002</v>
      </c>
      <c r="O8" s="15">
        <f>'FU 0.83'!$C8</f>
        <v>48.219329250000001</v>
      </c>
      <c r="P8" s="15">
        <f>'FU 0.84'!$C8</f>
        <v>48.786078969999998</v>
      </c>
      <c r="Q8" s="15">
        <f>'FU 0.85'!$C8</f>
        <v>49.35284592</v>
      </c>
    </row>
    <row r="9" spans="1:17" x14ac:dyDescent="0.25">
      <c r="A9">
        <f>'FU 0.7'!A9</f>
        <v>0.67</v>
      </c>
      <c r="B9" s="15">
        <f>'FU 0.7'!$C9</f>
        <v>41.541853410000002</v>
      </c>
      <c r="C9" s="15">
        <f t="shared" si="0"/>
        <v>42.118283579999996</v>
      </c>
      <c r="D9" s="15">
        <f>'FU 0.72'!$C9</f>
        <v>42.694713749999998</v>
      </c>
      <c r="E9" s="15">
        <f>'FU 0.73'!$C9</f>
        <v>43.271161159999998</v>
      </c>
      <c r="F9" s="15">
        <f>'FU 0.74'!$C9</f>
        <v>43.847620599999999</v>
      </c>
      <c r="G9" s="15">
        <f>'FU 0.75'!$C9</f>
        <v>44.424092479999999</v>
      </c>
      <c r="H9" s="15">
        <f>'FU 0.76'!$C9</f>
        <v>45.000577229999998</v>
      </c>
      <c r="I9" s="15">
        <f>'FU 0.77'!$C9</f>
        <v>45.57707525</v>
      </c>
      <c r="J9" s="15">
        <f>'FU 0.78'!$C9</f>
        <v>46.153586990000001</v>
      </c>
      <c r="K9" s="15">
        <f>'FU 0.79'!$C9</f>
        <v>46.730112890000001</v>
      </c>
      <c r="L9" s="15">
        <f>'FU 0.8'!$C9</f>
        <v>47.306653420000004</v>
      </c>
      <c r="M9" s="15">
        <f>'FU 0.81'!$C9</f>
        <v>47.883209069999999</v>
      </c>
      <c r="N9" s="15">
        <f>'FU 0.82'!$C9</f>
        <v>48.459780389999999</v>
      </c>
      <c r="O9" s="15">
        <f>'FU 0.83'!$C9</f>
        <v>49.036367949999999</v>
      </c>
      <c r="P9" s="15">
        <f>'FU 0.84'!$C9</f>
        <v>49.612971909999999</v>
      </c>
      <c r="Q9" s="15">
        <f>'FU 0.85'!$C9</f>
        <v>50.189593879999997</v>
      </c>
    </row>
    <row r="10" spans="1:17" x14ac:dyDescent="0.25">
      <c r="A10">
        <f>'FU 0.7'!A10</f>
        <v>0.68</v>
      </c>
      <c r="B10" s="15">
        <f>'FU 0.7'!$C10</f>
        <v>42.230904389999999</v>
      </c>
      <c r="C10" s="15">
        <f t="shared" si="0"/>
        <v>42.817184830000002</v>
      </c>
      <c r="D10" s="15">
        <f>'FU 0.72'!$C10</f>
        <v>43.403465269999998</v>
      </c>
      <c r="E10" s="15">
        <f>'FU 0.73'!$C10</f>
        <v>43.989763490000001</v>
      </c>
      <c r="F10" s="15">
        <f>'FU 0.74'!$C10</f>
        <v>44.576074140000003</v>
      </c>
      <c r="G10" s="15">
        <f>'FU 0.75'!$C10</f>
        <v>45.162397640000002</v>
      </c>
      <c r="H10" s="15">
        <f>'FU 0.76'!$C10</f>
        <v>45.748734429999999</v>
      </c>
      <c r="I10" s="15">
        <f>'FU 0.77'!$C10</f>
        <v>46.335084960000003</v>
      </c>
      <c r="J10" s="15">
        <f>'FU 0.78'!$C10</f>
        <v>46.921449699999997</v>
      </c>
      <c r="K10" s="15">
        <f>'FU 0.79'!$C10</f>
        <v>47.507829110000003</v>
      </c>
      <c r="L10" s="15">
        <f>'FU 0.8'!$C10</f>
        <v>48.094223720000002</v>
      </c>
      <c r="M10" s="15">
        <f>'FU 0.81'!$C10</f>
        <v>48.680634050000002</v>
      </c>
      <c r="N10" s="15">
        <f>'FU 0.82'!$C10</f>
        <v>49.267060700000002</v>
      </c>
      <c r="O10" s="15">
        <f>'FU 0.83'!$C10</f>
        <v>49.853503840000002</v>
      </c>
      <c r="P10" s="15">
        <f>'FU 0.84'!$C10</f>
        <v>50.439965030000003</v>
      </c>
      <c r="Q10" s="15">
        <f>'FU 0.85'!$C10</f>
        <v>51.026444650000002</v>
      </c>
    </row>
    <row r="11" spans="1:17" x14ac:dyDescent="0.25">
      <c r="A11">
        <f>'FU 0.7'!A11</f>
        <v>0.69</v>
      </c>
      <c r="B11" s="15">
        <f>'FU 0.7'!$C11</f>
        <v>42.920034940000001</v>
      </c>
      <c r="C11" s="15">
        <f t="shared" si="0"/>
        <v>43.516167600000003</v>
      </c>
      <c r="D11" s="15">
        <f>'FU 0.72'!$C11</f>
        <v>44.112300259999998</v>
      </c>
      <c r="E11" s="15">
        <f>'FU 0.73'!$C11</f>
        <v>44.708451320000002</v>
      </c>
      <c r="F11" s="15">
        <f>'FU 0.74'!$C11</f>
        <v>45.304615239999997</v>
      </c>
      <c r="G11" s="15">
        <f>'FU 0.75'!$C11</f>
        <v>45.900792490000001</v>
      </c>
      <c r="H11" s="15">
        <f>'FU 0.76'!$C11</f>
        <v>46.496983530000001</v>
      </c>
      <c r="I11" s="15">
        <f>'FU 0.77'!$C11</f>
        <v>47.093188830000003</v>
      </c>
      <c r="J11" s="15">
        <f>'FU 0.78'!$C11</f>
        <v>47.689408890000003</v>
      </c>
      <c r="K11" s="15">
        <f>'FU 0.79'!$C11</f>
        <v>48.285644230000003</v>
      </c>
      <c r="L11" s="15">
        <f>'FU 0.8'!$C11</f>
        <v>48.881895399999998</v>
      </c>
      <c r="M11" s="15">
        <f>'FU 0.81'!$C11</f>
        <v>49.478163000000002</v>
      </c>
      <c r="N11" s="15">
        <f>'FU 0.82'!$C11</f>
        <v>50.074447659999997</v>
      </c>
      <c r="O11" s="15">
        <f>'FU 0.83'!$C11</f>
        <v>50.670749579999999</v>
      </c>
      <c r="P11" s="15">
        <f>'FU 0.84'!$C11</f>
        <v>51.267070480000001</v>
      </c>
      <c r="Q11" s="15">
        <f>'FU 0.85'!$C11</f>
        <v>51.863410790000003</v>
      </c>
    </row>
    <row r="12" spans="1:17" x14ac:dyDescent="0.25">
      <c r="A12">
        <f>'FU 0.7'!A12</f>
        <v>0.7</v>
      </c>
      <c r="B12" s="15">
        <f>'FU 0.7'!$C12</f>
        <v>43.60925443</v>
      </c>
      <c r="C12" s="15">
        <f t="shared" si="0"/>
        <v>44.215241524999996</v>
      </c>
      <c r="D12" s="15">
        <f>'FU 0.72'!$C12</f>
        <v>44.821228619999999</v>
      </c>
      <c r="E12" s="15">
        <f>'FU 0.73'!$C12</f>
        <v>45.427234820000002</v>
      </c>
      <c r="F12" s="15">
        <f>'FU 0.74'!$C12</f>
        <v>46.033254399999997</v>
      </c>
      <c r="G12" s="15">
        <f>'FU 0.75'!$C12</f>
        <v>46.639287830000001</v>
      </c>
      <c r="H12" s="15">
        <f>'FU 0.76'!$C12</f>
        <v>47.245335619999999</v>
      </c>
      <c r="I12" s="15">
        <f>'FU 0.77'!$C12</f>
        <v>47.851398279999998</v>
      </c>
      <c r="J12" s="15">
        <f>'FU 0.78'!$C12</f>
        <v>48.45747635</v>
      </c>
      <c r="K12" s="15">
        <f>'FU 0.79'!$C12</f>
        <v>49.063570390000002</v>
      </c>
      <c r="L12" s="15">
        <f>'FU 0.8'!$C12</f>
        <v>49.669681009999998</v>
      </c>
      <c r="M12" s="15">
        <f>'FU 0.81'!$C12</f>
        <v>50.275808849999997</v>
      </c>
      <c r="N12" s="15">
        <f>'FU 0.82'!$C12</f>
        <v>50.881954129999997</v>
      </c>
      <c r="O12" s="15">
        <f>'FU 0.83'!$C12</f>
        <v>51.488118540000002</v>
      </c>
      <c r="P12" s="15">
        <f>'FU 0.84'!$C12</f>
        <v>52.09430253</v>
      </c>
      <c r="Q12" s="15">
        <f>'FU 0.85'!$C12</f>
        <v>52.700507080000001</v>
      </c>
    </row>
    <row r="13" spans="1:17" x14ac:dyDescent="0.25">
      <c r="A13">
        <f>'FU 0.7'!A13</f>
        <v>0.71</v>
      </c>
      <c r="B13" s="15">
        <f>'FU 0.7'!$C13</f>
        <v>44.298573750000003</v>
      </c>
      <c r="C13" s="15">
        <f t="shared" si="0"/>
        <v>44.914417825000001</v>
      </c>
      <c r="D13" s="15">
        <f>'FU 0.72'!$C13</f>
        <v>45.530261899999999</v>
      </c>
      <c r="E13" s="15">
        <f>'FU 0.73'!$C13</f>
        <v>46.146125900000001</v>
      </c>
      <c r="F13" s="15">
        <f>'FU 0.74'!$C13</f>
        <v>46.762003849999999</v>
      </c>
      <c r="G13" s="15">
        <f>'FU 0.75'!$C13</f>
        <v>47.377896290000002</v>
      </c>
      <c r="H13" s="15">
        <f>'FU 0.76'!$C13</f>
        <v>47.993803730000003</v>
      </c>
      <c r="I13" s="15">
        <f>'FU 0.77'!$C13</f>
        <v>48.60972675</v>
      </c>
      <c r="J13" s="15">
        <f>'FU 0.78'!$C13</f>
        <v>49.225665929999998</v>
      </c>
      <c r="K13" s="15">
        <f>'FU 0.79'!$C13</f>
        <v>49.841621869999997</v>
      </c>
      <c r="L13" s="15">
        <f>'FU 0.8'!$C13</f>
        <v>50.457595259999998</v>
      </c>
      <c r="M13" s="15">
        <f>'FU 0.81'!$C13</f>
        <v>51.073586810000002</v>
      </c>
      <c r="N13" s="15">
        <f>'FU 0.82'!$C13</f>
        <v>51.689596770000001</v>
      </c>
      <c r="O13" s="15">
        <f>'FU 0.83'!$C13</f>
        <v>52.305627010000002</v>
      </c>
      <c r="P13" s="15">
        <f>'FU 0.84'!$C13</f>
        <v>52.921678040000003</v>
      </c>
      <c r="Q13" s="15">
        <f>'FU 0.85'!$C13</f>
        <v>53.537750989999999</v>
      </c>
    </row>
    <row r="14" spans="1:17" x14ac:dyDescent="0.25">
      <c r="A14">
        <f>'FU 0.7'!A14</f>
        <v>0.72</v>
      </c>
      <c r="B14" s="15">
        <f>'FU 0.7'!$C14</f>
        <v>44.988005719999997</v>
      </c>
      <c r="C14" s="15">
        <f t="shared" si="0"/>
        <v>45.613709704999998</v>
      </c>
      <c r="D14" s="15">
        <f>'FU 0.72'!$C14</f>
        <v>46.239413689999999</v>
      </c>
      <c r="E14" s="15">
        <f>'FU 0.73'!$C14</f>
        <v>46.865138549999998</v>
      </c>
      <c r="F14" s="15">
        <f>'FU 0.74'!$C14</f>
        <v>47.490878039999998</v>
      </c>
      <c r="G14" s="15">
        <f>'FU 0.75'!$C14</f>
        <v>48.116632729999999</v>
      </c>
      <c r="H14" s="15">
        <f>'FU 0.76'!$C14</f>
        <v>48.742403199999998</v>
      </c>
      <c r="I14" s="15">
        <f>'FU 0.77'!$C14</f>
        <v>49.368190060000003</v>
      </c>
      <c r="J14" s="15">
        <f>'FU 0.78'!$C14</f>
        <v>49.993993959999997</v>
      </c>
      <c r="K14" s="15">
        <f>'FU 0.79'!$C14</f>
        <v>50.61981557</v>
      </c>
      <c r="L14" s="15">
        <f>'FU 0.8'!$C14</f>
        <v>51.245655630000002</v>
      </c>
      <c r="M14" s="15">
        <f>'FU 0.81'!$C14</f>
        <v>51.871514429999998</v>
      </c>
      <c r="N14" s="15">
        <f>'FU 0.82'!$C14</f>
        <v>52.497393819999999</v>
      </c>
      <c r="O14" s="15">
        <f>'FU 0.83'!$C14</f>
        <v>53.12329433</v>
      </c>
      <c r="P14" s="15">
        <f>'FU 0.84'!$C14</f>
        <v>53.749217090000002</v>
      </c>
      <c r="Q14" s="15">
        <f>'FU 0.85'!$C14</f>
        <v>54.375163360000002</v>
      </c>
    </row>
    <row r="15" spans="1:17" x14ac:dyDescent="0.25">
      <c r="A15">
        <f>'FU 0.7'!A15</f>
        <v>0.73</v>
      </c>
      <c r="B15" s="15">
        <f>'FU 0.7'!$C15</f>
        <v>45.677565469999998</v>
      </c>
      <c r="C15" s="15">
        <f t="shared" si="0"/>
        <v>46.313132769999996</v>
      </c>
      <c r="D15" s="15">
        <f>'FU 0.72'!$C15</f>
        <v>46.948700070000001</v>
      </c>
      <c r="E15" s="15">
        <f>'FU 0.73'!$C15</f>
        <v>47.584289349999999</v>
      </c>
      <c r="F15" s="15">
        <f>'FU 0.74'!$C15</f>
        <v>48.219894060000001</v>
      </c>
      <c r="G15" s="15">
        <f>'FU 0.75'!$C15</f>
        <v>48.855514820000003</v>
      </c>
      <c r="H15" s="15">
        <f>'FU 0.76'!$C15</f>
        <v>49.49115226</v>
      </c>
      <c r="I15" s="15">
        <f>'FU 0.77'!$C15</f>
        <v>50.126807059999997</v>
      </c>
      <c r="J15" s="15">
        <f>'FU 0.78'!$C15</f>
        <v>50.762479919999997</v>
      </c>
      <c r="K15" s="15">
        <f>'FU 0.79'!$C15</f>
        <v>51.398171599999998</v>
      </c>
      <c r="L15" s="15">
        <f>'FU 0.8'!$C15</f>
        <v>52.033882949999999</v>
      </c>
      <c r="M15" s="15">
        <f>'FU 0.81'!$C15</f>
        <v>52.669614269999997</v>
      </c>
      <c r="N15" s="15">
        <f>'FU 0.82'!$C15</f>
        <v>53.305367660000002</v>
      </c>
      <c r="O15" s="15">
        <f>'FU 0.83'!$C15</f>
        <v>53.941143740000001</v>
      </c>
      <c r="P15" s="15">
        <f>'FU 0.84'!$C15</f>
        <v>54.576943800000002</v>
      </c>
      <c r="Q15" s="15">
        <f>'FU 0.85'!$C15</f>
        <v>55.212769299999998</v>
      </c>
    </row>
    <row r="16" spans="1:17" x14ac:dyDescent="0.25">
      <c r="A16">
        <f>'FU 0.7'!A16</f>
        <v>0.74</v>
      </c>
      <c r="B16" s="15">
        <f>'FU 0.7'!$C16</f>
        <v>46.367271000000002</v>
      </c>
      <c r="C16" s="15">
        <f t="shared" si="0"/>
        <v>47.012705609999998</v>
      </c>
      <c r="D16" s="15">
        <f>'FU 0.72'!$C16</f>
        <v>47.65814022</v>
      </c>
      <c r="E16" s="15">
        <f>'FU 0.73'!$C16</f>
        <v>48.303598119999997</v>
      </c>
      <c r="F16" s="15">
        <f>'FU 0.74'!$C16</f>
        <v>48.949072389999998</v>
      </c>
      <c r="G16" s="15">
        <f>'FU 0.75'!$C16</f>
        <v>49.594563710000003</v>
      </c>
      <c r="H16" s="15">
        <f>'FU 0.76'!$C16</f>
        <v>50.240072769999998</v>
      </c>
      <c r="I16" s="15">
        <f>'FU 0.77'!$C16</f>
        <v>50.885600340000003</v>
      </c>
      <c r="J16" s="15">
        <f>'FU 0.78'!$C16</f>
        <v>51.531147199999999</v>
      </c>
      <c r="K16" s="15">
        <f>'FU 0.79'!$C16</f>
        <v>52.176714220000001</v>
      </c>
      <c r="L16" s="15">
        <f>'FU 0.8'!$C16</f>
        <v>52.822301750000001</v>
      </c>
      <c r="M16" s="15">
        <f>'FU 0.81'!$C16</f>
        <v>53.467911909999998</v>
      </c>
      <c r="N16" s="15">
        <f>'FU 0.82'!$C16</f>
        <v>54.113545350000003</v>
      </c>
      <c r="O16" s="15">
        <f>'FU 0.83'!$C16</f>
        <v>54.759203370000002</v>
      </c>
      <c r="P16" s="15">
        <f>'FU 0.84'!$C16</f>
        <v>55.404887449999997</v>
      </c>
      <c r="Q16" s="15">
        <f>'FU 0.85'!$C16</f>
        <v>56.050599339999998</v>
      </c>
    </row>
    <row r="17" spans="1:17" x14ac:dyDescent="0.25">
      <c r="A17">
        <f>'FU 0.7'!A17</f>
        <v>0.75</v>
      </c>
      <c r="B17" s="15">
        <f>'FU 0.7'!$C17</f>
        <v>47.057143959999998</v>
      </c>
      <c r="C17" s="15">
        <f t="shared" si="0"/>
        <v>47.712450599999997</v>
      </c>
      <c r="D17" s="15">
        <f>'FU 0.72'!$C17</f>
        <v>48.367757240000003</v>
      </c>
      <c r="E17" s="15">
        <f>'FU 0.73'!$C17</f>
        <v>49.023088719999997</v>
      </c>
      <c r="F17" s="15">
        <f>'FU 0.74'!$C17</f>
        <v>49.678437700000003</v>
      </c>
      <c r="G17" s="15">
        <f>'FU 0.75'!$C17</f>
        <v>50.333804919999999</v>
      </c>
      <c r="H17" s="15">
        <f>'FU 0.76'!$C17</f>
        <v>50.989191179999999</v>
      </c>
      <c r="I17" s="15">
        <f>'FU 0.77'!$C17</f>
        <v>51.644597300000001</v>
      </c>
      <c r="J17" s="15">
        <f>'FU 0.78'!$C17</f>
        <v>52.300024209999997</v>
      </c>
      <c r="K17" s="15">
        <f>'FU 0.79'!$C17</f>
        <v>52.955472280000002</v>
      </c>
      <c r="L17" s="15">
        <f>'FU 0.8'!$C17</f>
        <v>53.6109437</v>
      </c>
      <c r="M17" s="15">
        <f>'FU 0.81'!$C17</f>
        <v>54.266439140000003</v>
      </c>
      <c r="N17" s="15">
        <f>'FU 0.82'!$C17</f>
        <v>54.921959950000002</v>
      </c>
      <c r="O17" s="15">
        <f>'FU 0.83'!$C17</f>
        <v>55.577507660000002</v>
      </c>
      <c r="P17" s="15">
        <f>'FU 0.84'!$C17</f>
        <v>56.233083999999998</v>
      </c>
      <c r="Q17" s="15">
        <f>'FU 0.85'!$C17</f>
        <v>56.888691029999997</v>
      </c>
    </row>
    <row r="18" spans="1:17" x14ac:dyDescent="0.25">
      <c r="A18">
        <f>'FU 0.7'!A18</f>
        <v>0.76</v>
      </c>
      <c r="B18" s="15">
        <f>'FU 0.7'!$C18</f>
        <v>47.747210619999997</v>
      </c>
      <c r="C18" s="15">
        <f t="shared" si="0"/>
        <v>48.412394919999997</v>
      </c>
      <c r="D18" s="15">
        <f>'FU 0.72'!$C18</f>
        <v>49.077579219999997</v>
      </c>
      <c r="E18" s="15">
        <f>'FU 0.73'!$C18</f>
        <v>49.742790239999998</v>
      </c>
      <c r="F18" s="15">
        <f>'FU 0.74'!$C18</f>
        <v>50.408020110000002</v>
      </c>
      <c r="G18" s="15">
        <f>'FU 0.75'!$C18</f>
        <v>51.073269660000001</v>
      </c>
      <c r="H18" s="15">
        <f>'FU 0.76'!$C18</f>
        <v>51.738539809999999</v>
      </c>
      <c r="I18" s="15">
        <f>'FU 0.77'!$C18</f>
        <v>52.403831500000003</v>
      </c>
      <c r="J18" s="15">
        <f>'FU 0.78'!$C18</f>
        <v>53.069145769999999</v>
      </c>
      <c r="K18" s="15">
        <f>'FU 0.79'!$C18</f>
        <v>53.734483079999997</v>
      </c>
      <c r="L18" s="15">
        <f>'FU 0.8'!$C18</f>
        <v>54.39984596</v>
      </c>
      <c r="M18" s="15">
        <f>'FU 0.81'!$C18</f>
        <v>55.065235199999996</v>
      </c>
      <c r="N18" s="15">
        <f>'FU 0.82'!$C18</f>
        <v>55.730652390000003</v>
      </c>
      <c r="O18" s="15">
        <f>'FU 0.83'!$C18</f>
        <v>56.396099339999999</v>
      </c>
      <c r="P18" s="15">
        <f>'FU 0.84'!$C18</f>
        <v>57.061578150000003</v>
      </c>
      <c r="Q18" s="15">
        <f>'FU 0.85'!$C18</f>
        <v>57.727091270000003</v>
      </c>
    </row>
    <row r="19" spans="1:17" x14ac:dyDescent="0.25">
      <c r="A19">
        <f>'FU 0.7'!A19</f>
        <v>0.77</v>
      </c>
      <c r="B19" s="15">
        <f>'FU 0.7'!$C19</f>
        <v>48.437503169999999</v>
      </c>
      <c r="C19" s="15">
        <f t="shared" si="0"/>
        <v>49.112571939999995</v>
      </c>
      <c r="D19" s="15">
        <f>'FU 0.72'!$C19</f>
        <v>49.787640709999998</v>
      </c>
      <c r="E19" s="15">
        <f>'FU 0.73'!$C19</f>
        <v>50.462738459999997</v>
      </c>
      <c r="F19" s="15">
        <f>'FU 0.74'!$C19</f>
        <v>51.137856730000003</v>
      </c>
      <c r="G19" s="15">
        <f>'FU 0.75'!$C19</f>
        <v>51.812996470000002</v>
      </c>
      <c r="H19" s="15">
        <f>'FU 0.76'!$C19</f>
        <v>52.488158689999999</v>
      </c>
      <c r="I19" s="15">
        <f>'FU 0.77'!$C19</f>
        <v>53.163344530000003</v>
      </c>
      <c r="J19" s="15">
        <f>'FU 0.78'!$C19</f>
        <v>53.838554479999999</v>
      </c>
      <c r="K19" s="15">
        <f>'FU 0.79'!$C19</f>
        <v>54.513791189999999</v>
      </c>
      <c r="L19" s="15">
        <f>'FU 0.8'!$C19</f>
        <v>55.189055519999997</v>
      </c>
      <c r="M19" s="15">
        <f>'FU 0.81'!$C19</f>
        <v>55.864349150000002</v>
      </c>
      <c r="N19" s="15">
        <f>'FU 0.82'!$C19</f>
        <v>56.539673970000003</v>
      </c>
      <c r="O19" s="15">
        <f>'FU 0.83'!$C19</f>
        <v>57.215032180000001</v>
      </c>
      <c r="P19" s="15">
        <f>'FU 0.84'!$C19</f>
        <v>57.890426320000003</v>
      </c>
      <c r="Q19" s="15">
        <f>'FU 0.85'!$C19</f>
        <v>58.565859379999999</v>
      </c>
    </row>
    <row r="20" spans="1:17" x14ac:dyDescent="0.25">
      <c r="A20">
        <f>'FU 0.7'!A20</f>
        <v>0.78</v>
      </c>
      <c r="B20" s="15">
        <f>'FU 0.7'!$C20</f>
        <v>49.128061590000002</v>
      </c>
      <c r="C20" s="15">
        <f t="shared" si="0"/>
        <v>49.813023145000003</v>
      </c>
      <c r="D20" s="15">
        <f>'FU 0.72'!$C20</f>
        <v>50.497984700000003</v>
      </c>
      <c r="E20" s="15">
        <f>'FU 0.73'!$C20</f>
        <v>51.182978050000003</v>
      </c>
      <c r="F20" s="15">
        <f>'FU 0.74'!$C20</f>
        <v>51.867993970000001</v>
      </c>
      <c r="G20" s="15">
        <f>'FU 0.75'!$C20</f>
        <v>52.553033569999997</v>
      </c>
      <c r="H20" s="15">
        <f>'FU 0.76'!$C20</f>
        <v>53.238098039999997</v>
      </c>
      <c r="I20" s="15">
        <f>'FU 0.77'!$C20</f>
        <v>53.923187980000002</v>
      </c>
      <c r="J20" s="15">
        <f>'FU 0.78'!$C20</f>
        <v>54.608306159999998</v>
      </c>
      <c r="K20" s="15">
        <f>'FU 0.79'!$C20</f>
        <v>55.293453550000002</v>
      </c>
      <c r="L20" s="15">
        <f>'FU 0.8'!$C20</f>
        <v>55.97863194</v>
      </c>
      <c r="M20" s="15">
        <f>'FU 0.81'!$C20</f>
        <v>56.66384335</v>
      </c>
      <c r="N20" s="15">
        <f>'FU 0.82'!$C20</f>
        <v>57.34909012</v>
      </c>
      <c r="O20" s="15">
        <f>'FU 0.83'!$C20</f>
        <v>58.034374939999999</v>
      </c>
      <c r="P20" s="15">
        <f>'FU 0.84'!$C20</f>
        <v>58.719700959999997</v>
      </c>
      <c r="Q20" s="15">
        <f>'FU 0.85'!$C20</f>
        <v>59.405071929999998</v>
      </c>
    </row>
    <row r="21" spans="1:17" x14ac:dyDescent="0.25">
      <c r="A21">
        <f>'FU 0.7'!A21</f>
        <v>0.79</v>
      </c>
      <c r="B21" s="15">
        <f>'FU 0.7'!$C21</f>
        <v>49.818936209999997</v>
      </c>
      <c r="C21" s="15">
        <f t="shared" si="0"/>
        <v>50.513800864999993</v>
      </c>
      <c r="D21" s="15">
        <f>'FU 0.72'!$C21</f>
        <v>51.208665519999997</v>
      </c>
      <c r="E21" s="15">
        <f>'FU 0.73'!$C21</f>
        <v>51.903565530000002</v>
      </c>
      <c r="F21" s="15">
        <f>'FU 0.74'!$C21</f>
        <v>52.598490689999998</v>
      </c>
      <c r="G21" s="15">
        <f>'FU 0.75'!$C21</f>
        <v>53.293442319999997</v>
      </c>
      <c r="H21" s="15">
        <f>'FU 0.76'!$C21</f>
        <v>53.988421080000002</v>
      </c>
      <c r="I21" s="15">
        <f>'FU 0.77'!$C21</f>
        <v>54.68342998</v>
      </c>
      <c r="J21" s="15">
        <f>'FU 0.78'!$C21</f>
        <v>55.37847009</v>
      </c>
      <c r="K21" s="15">
        <f>'FU 0.79'!$C21</f>
        <v>56.073543350000001</v>
      </c>
      <c r="L21" s="15">
        <f>'FU 0.8'!$C21</f>
        <v>56.768651970000001</v>
      </c>
      <c r="M21" s="15">
        <f>'FU 0.81'!$C21</f>
        <v>57.463798480000001</v>
      </c>
      <c r="N21" s="15">
        <f>'FU 0.82'!$C21</f>
        <v>58.158985790000003</v>
      </c>
      <c r="O21" s="15">
        <f>'FU 0.83'!$C21</f>
        <v>58.85421728</v>
      </c>
      <c r="P21" s="15">
        <f>'FU 0.84'!$C21</f>
        <v>59.549496980000001</v>
      </c>
      <c r="Q21" s="15">
        <f>'FU 0.85'!$C21</f>
        <v>60.244829709999998</v>
      </c>
    </row>
    <row r="22" spans="1:17" x14ac:dyDescent="0.25">
      <c r="A22">
        <f>'FU 0.7'!A22</f>
        <v>0.8</v>
      </c>
      <c r="B22" s="15">
        <f>'FU 0.7'!$C22</f>
        <v>50.510191370000001</v>
      </c>
      <c r="C22" s="15">
        <f t="shared" si="0"/>
        <v>51.214972175</v>
      </c>
      <c r="D22" s="15">
        <f>'FU 0.72'!$C22</f>
        <v>51.919752979999998</v>
      </c>
      <c r="E22" s="15">
        <f>'FU 0.73'!$C22</f>
        <v>52.624573669999997</v>
      </c>
      <c r="F22" s="15">
        <f>'FU 0.74'!$C22</f>
        <v>53.329422829999999</v>
      </c>
      <c r="G22" s="15">
        <f>'FU 0.75'!$C22</f>
        <v>54.034301259999999</v>
      </c>
      <c r="H22" s="15">
        <f>'FU 0.76'!$C22</f>
        <v>54.739212219999999</v>
      </c>
      <c r="I22" s="15">
        <f>'FU 0.77'!$C22</f>
        <v>55.444156929999998</v>
      </c>
      <c r="J22" s="15">
        <f>'FU 0.78'!$C22</f>
        <v>56.149137549999999</v>
      </c>
      <c r="K22" s="15">
        <f>'FU 0.79'!$C22</f>
        <v>56.854156529999997</v>
      </c>
      <c r="L22" s="15">
        <f>'FU 0.8'!$C22</f>
        <v>57.559216669999998</v>
      </c>
      <c r="M22" s="15">
        <f>'FU 0.81'!$C22</f>
        <v>58.264321170000002</v>
      </c>
      <c r="N22" s="15">
        <f>'FU 0.82'!$C22</f>
        <v>58.969473790000002</v>
      </c>
      <c r="O22" s="15">
        <f>'FU 0.83'!$C22</f>
        <v>59.674678929999999</v>
      </c>
      <c r="P22" s="15">
        <f>'FU 0.84'!$C22</f>
        <v>60.379941860000002</v>
      </c>
      <c r="Q22" s="15">
        <f>'FU 0.85'!$C22</f>
        <v>61.085268960000001</v>
      </c>
    </row>
    <row r="23" spans="1:17" x14ac:dyDescent="0.25">
      <c r="A23">
        <f>'FU 0.7'!A23</f>
        <v>0.81</v>
      </c>
      <c r="B23" s="15">
        <f>'FU 0.7'!$C23</f>
        <v>51.201910949999998</v>
      </c>
      <c r="C23" s="15">
        <f t="shared" si="0"/>
        <v>51.916624714999998</v>
      </c>
      <c r="D23" s="15">
        <f>'FU 0.72'!$C23</f>
        <v>52.631338479999997</v>
      </c>
      <c r="E23" s="15">
        <f>'FU 0.73'!$C23</f>
        <v>53.34609725</v>
      </c>
      <c r="F23" s="15">
        <f>'FU 0.74'!$C23</f>
        <v>54.060889580000001</v>
      </c>
      <c r="G23" s="15">
        <f>'FU 0.75'!$C23</f>
        <v>54.775716750000001</v>
      </c>
      <c r="H23" s="15">
        <f>'FU 0.76'!$C23</f>
        <v>55.490580940000001</v>
      </c>
      <c r="I23" s="15">
        <f>'FU 0.77'!$C23</f>
        <v>56.205484609999999</v>
      </c>
      <c r="J23" s="15">
        <f>'FU 0.78'!$C23</f>
        <v>56.920430539999998</v>
      </c>
      <c r="K23" s="15">
        <f>'FU 0.79'!$C23</f>
        <v>57.635421899999997</v>
      </c>
      <c r="L23" s="15">
        <f>'FU 0.8'!$C23</f>
        <v>58.350462309999998</v>
      </c>
      <c r="M23" s="15">
        <f>'FU 0.81'!$C23</f>
        <v>59.065556020000002</v>
      </c>
      <c r="N23" s="15">
        <f>'FU 0.82'!$C23</f>
        <v>59.780708019999999</v>
      </c>
      <c r="O23" s="15">
        <f>'FU 0.83'!$C23</f>
        <v>60.495924240000001</v>
      </c>
      <c r="P23" s="15">
        <f>'FU 0.84'!$C23</f>
        <v>61.21121187</v>
      </c>
      <c r="Q23" s="15">
        <f>'FU 0.85'!$C23</f>
        <v>61.926578800000001</v>
      </c>
    </row>
    <row r="24" spans="1:17" x14ac:dyDescent="0.25">
      <c r="A24">
        <f>'FU 0.7'!A24</f>
        <v>0.82</v>
      </c>
      <c r="B24" s="15">
        <f>'FU 0.7'!$C24</f>
        <v>51.894206689999997</v>
      </c>
      <c r="C24" s="15">
        <f t="shared" si="0"/>
        <v>52.618875160000002</v>
      </c>
      <c r="D24" s="15">
        <f>'FU 0.72'!$C24</f>
        <v>53.343543629999999</v>
      </c>
      <c r="E24" s="15">
        <f>'FU 0.73'!$C24</f>
        <v>54.068266190000003</v>
      </c>
      <c r="F24" s="15">
        <f>'FU 0.74'!$C24</f>
        <v>54.793027539999997</v>
      </c>
      <c r="G24" s="15">
        <f>'FU 0.75'!$C24</f>
        <v>55.51783022</v>
      </c>
      <c r="H24" s="15">
        <f>'FU 0.76'!$C24</f>
        <v>56.242677090000001</v>
      </c>
      <c r="I24" s="15">
        <f>'FU 0.77'!$C24</f>
        <v>56.967571360000001</v>
      </c>
      <c r="J24" s="15">
        <f>'FU 0.78'!$C24</f>
        <v>57.69251672</v>
      </c>
      <c r="K24" s="15">
        <f>'FU 0.79'!$C24</f>
        <v>58.417517420000003</v>
      </c>
      <c r="L24" s="15">
        <f>'FU 0.8'!$C24</f>
        <v>59.142578389999997</v>
      </c>
      <c r="M24" s="15">
        <f>'FU 0.81'!$C24</f>
        <v>59.867705450000003</v>
      </c>
      <c r="N24" s="15">
        <f>'FU 0.82'!$C24</f>
        <v>60.592905549999998</v>
      </c>
      <c r="O24" s="15">
        <f>'FU 0.83'!$C24</f>
        <v>61.318187039999998</v>
      </c>
      <c r="P24" s="15">
        <f>'FU 0.84'!$C24</f>
        <v>62.043559199999997</v>
      </c>
      <c r="Q24" s="15">
        <f>'FU 0.85'!$C24</f>
        <v>62.769036550000003</v>
      </c>
    </row>
    <row r="25" spans="1:17" x14ac:dyDescent="0.25">
      <c r="A25">
        <f>'FU 0.7'!A25</f>
        <v>0.83</v>
      </c>
      <c r="B25" s="15">
        <f>'FU 0.7'!$C25</f>
        <v>52.587230550000001</v>
      </c>
      <c r="C25" s="15">
        <f t="shared" si="0"/>
        <v>53.321884670000003</v>
      </c>
      <c r="D25" s="15">
        <f>'FU 0.72'!$C25</f>
        <v>54.056538789999998</v>
      </c>
      <c r="E25" s="15">
        <f>'FU 0.73'!$C25</f>
        <v>54.791257700000003</v>
      </c>
      <c r="F25" s="15">
        <f>'FU 0.74'!$C25</f>
        <v>55.526023719999998</v>
      </c>
      <c r="G25" s="15">
        <f>'FU 0.75'!$C25</f>
        <v>56.260840260000002</v>
      </c>
      <c r="H25" s="15">
        <f>'FU 0.76'!$C25</f>
        <v>56.995711180000001</v>
      </c>
      <c r="I25" s="15">
        <f>'FU 0.77'!$C25</f>
        <v>57.730640889999997</v>
      </c>
      <c r="J25" s="15">
        <f>'FU 0.78'!$C25</f>
        <v>58.465634530000003</v>
      </c>
      <c r="K25" s="15">
        <f>'FU 0.79'!$C25</f>
        <v>59.200698060000001</v>
      </c>
      <c r="L25" s="15">
        <f>'FU 0.8'!$C25</f>
        <v>59.935838529999998</v>
      </c>
      <c r="M25" s="15">
        <f>'FU 0.81'!$C25</f>
        <v>60.671064360000003</v>
      </c>
      <c r="N25" s="15">
        <f>'FU 0.82'!$C25</f>
        <v>61.406384840000001</v>
      </c>
      <c r="O25" s="15">
        <f>'FU 0.83'!$C25</f>
        <v>62.141814109999999</v>
      </c>
      <c r="P25" s="15">
        <f>'FU 0.84'!$C25</f>
        <v>62.877367079999999</v>
      </c>
      <c r="Q25" s="15">
        <f>'FU 0.85'!$C25</f>
        <v>63.613063760000003</v>
      </c>
    </row>
    <row r="26" spans="1:17" x14ac:dyDescent="0.25">
      <c r="A26">
        <f>'FU 0.7'!A26</f>
        <v>0.84</v>
      </c>
      <c r="B26" s="15">
        <f>'FU 0.7'!$C26</f>
        <v>53.28120011</v>
      </c>
      <c r="C26" s="15">
        <f t="shared" si="0"/>
        <v>54.025882095</v>
      </c>
      <c r="D26" s="15">
        <f>'FU 0.72'!$C26</f>
        <v>54.77056408</v>
      </c>
      <c r="E26" s="15">
        <f>'FU 0.73'!$C26</f>
        <v>55.515326870000003</v>
      </c>
      <c r="F26" s="15">
        <f>'FU 0.74'!$C26</f>
        <v>56.260148970000003</v>
      </c>
      <c r="G26" s="15">
        <f>'FU 0.75'!$C26</f>
        <v>57.005035169999999</v>
      </c>
      <c r="H26" s="15">
        <f>'FU 0.76'!$C26</f>
        <v>57.749991010000002</v>
      </c>
      <c r="I26" s="15">
        <f>'FU 0.77'!$C26</f>
        <v>58.495022900000002</v>
      </c>
      <c r="J26" s="15">
        <f>'FU 0.78'!$C26</f>
        <v>59.240138379999998</v>
      </c>
      <c r="K26" s="15">
        <f>'FU 0.79'!$C26</f>
        <v>59.985346409999998</v>
      </c>
      <c r="L26" s="15">
        <f>'FU 0.8'!$C26</f>
        <v>60.730657739999998</v>
      </c>
      <c r="M26" s="15">
        <f>'FU 0.81'!$C26</f>
        <v>61.47608434</v>
      </c>
      <c r="N26" s="15">
        <f>'FU 0.82'!$C26</f>
        <v>62.22164437</v>
      </c>
      <c r="O26" s="15">
        <f>'FU 0.83'!$C26</f>
        <v>62.967357329999999</v>
      </c>
      <c r="P26" s="15">
        <f>'FU 0.84'!$C26</f>
        <v>63.713249490000003</v>
      </c>
      <c r="Q26" s="15">
        <f>'FU 0.85'!$C26</f>
        <v>64.459355500000001</v>
      </c>
    </row>
    <row r="27" spans="1:17" x14ac:dyDescent="0.25">
      <c r="A27">
        <f>'FU 0.7'!A27</f>
        <v>0.85</v>
      </c>
      <c r="B27" s="15">
        <f>'FU 0.7'!$C27</f>
        <v>53.976432860000003</v>
      </c>
      <c r="C27" s="15">
        <f t="shared" si="0"/>
        <v>54.731205709999998</v>
      </c>
      <c r="D27" s="15">
        <f>'FU 0.72'!$C27</f>
        <v>55.48597856</v>
      </c>
      <c r="E27" s="15">
        <f>'FU 0.73'!$C27</f>
        <v>56.240856710000003</v>
      </c>
      <c r="F27" s="15">
        <f>'FU 0.74'!$C27</f>
        <v>56.995813079999998</v>
      </c>
      <c r="G27" s="15">
        <f>'FU 0.75'!$C27</f>
        <v>57.750854949999997</v>
      </c>
      <c r="H27" s="15">
        <f>'FU 0.76'!$C27</f>
        <v>58.505990789999998</v>
      </c>
      <c r="I27" s="15">
        <f>'FU 0.77'!$C27</f>
        <v>59.261230670000003</v>
      </c>
      <c r="J27" s="15">
        <f>'FU 0.78'!$C27</f>
        <v>60.016586650000001</v>
      </c>
      <c r="K27" s="15">
        <f>'FU 0.79'!$C27</f>
        <v>60.772072180000002</v>
      </c>
      <c r="L27" s="15">
        <f>'FU 0.8'!$C27</f>
        <v>61.527707300000003</v>
      </c>
      <c r="M27" s="15">
        <f>'FU 0.81'!$C27</f>
        <v>62.283513589999998</v>
      </c>
      <c r="N27" s="15">
        <f>'FU 0.82'!$C27</f>
        <v>63.039519839999997</v>
      </c>
      <c r="O27" s="15">
        <f>'FU 0.83'!$C27</f>
        <v>63.795763690000001</v>
      </c>
      <c r="P27" s="15">
        <f>'FU 0.84'!$C27</f>
        <v>64.552295740000005</v>
      </c>
      <c r="Q27" s="15">
        <f>'FU 0.85'!$C27</f>
        <v>65.309186400000002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I11" sqref="I11"/>
    </sheetView>
  </sheetViews>
  <sheetFormatPr defaultRowHeight="15" x14ac:dyDescent="0.25"/>
  <sheetData>
    <row r="1" spans="1:12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 x14ac:dyDescent="0.25">
      <c r="A2">
        <f>0.6</f>
        <v>0.6</v>
      </c>
      <c r="B2">
        <f>46.38920553</f>
        <v>46.389205529999998</v>
      </c>
      <c r="C2">
        <f>43.82632779</f>
        <v>43.826327790000001</v>
      </c>
      <c r="D2">
        <f>5.42368587</f>
        <v>5.4236858699999999</v>
      </c>
      <c r="E2">
        <f>49.25001366</f>
        <v>49.25001366</v>
      </c>
      <c r="F2">
        <f>44.87214945</f>
        <v>44.872149450000002</v>
      </c>
      <c r="G2">
        <f>42.39308494</f>
        <v>42.393084940000001</v>
      </c>
      <c r="H2">
        <f>-0.8329696529</f>
        <v>-0.83296965290000002</v>
      </c>
      <c r="I2">
        <f>41.56011529</f>
        <v>41.560115289999999</v>
      </c>
      <c r="J2">
        <f>149.78682</f>
        <v>149.78682000000001</v>
      </c>
      <c r="K2">
        <f>6.800924</f>
        <v>6.8009240000000002</v>
      </c>
      <c r="L2">
        <f>8187.864</f>
        <v>8187.8639999999996</v>
      </c>
    </row>
    <row r="3" spans="1:12" x14ac:dyDescent="0.25">
      <c r="A3">
        <f>0.61</f>
        <v>0.61</v>
      </c>
      <c r="B3">
        <f>47.16235895</f>
        <v>47.162358949999998</v>
      </c>
      <c r="C3">
        <f>44.65279665</f>
        <v>44.652796649999999</v>
      </c>
      <c r="D3">
        <f>5.239919849</f>
        <v>5.2399198489999996</v>
      </c>
      <c r="E3">
        <f>49.8927165</f>
        <v>49.892716499999999</v>
      </c>
      <c r="F3">
        <f>45.6200186</f>
        <v>45.620018600000002</v>
      </c>
      <c r="G3">
        <f>43.19252597</f>
        <v>43.192525969999998</v>
      </c>
      <c r="H3">
        <f>-0.8320366277</f>
        <v>-0.83203662769999998</v>
      </c>
      <c r="I3">
        <f>42.36048935</f>
        <v>42.360489350000002</v>
      </c>
      <c r="J3">
        <f>147.92802</f>
        <v>147.92802</v>
      </c>
      <c r="K3">
        <f>6.9462465</f>
        <v>6.9462465</v>
      </c>
      <c r="L3">
        <f>7953.694</f>
        <v>7953.6940000000004</v>
      </c>
    </row>
    <row r="4" spans="1:12" x14ac:dyDescent="0.25">
      <c r="A4">
        <f>0.62</f>
        <v>0.62</v>
      </c>
      <c r="B4">
        <f>47.93551238</f>
        <v>47.935512379999999</v>
      </c>
      <c r="C4">
        <f>45.47932027</f>
        <v>45.479320270000002</v>
      </c>
      <c r="D4">
        <f>5.055968155</f>
        <v>5.0559681550000004</v>
      </c>
      <c r="E4">
        <f>50.53528842</f>
        <v>50.535288420000001</v>
      </c>
      <c r="F4">
        <f>46.36788776</f>
        <v>46.367887760000002</v>
      </c>
      <c r="G4">
        <f>43.99201996</f>
        <v>43.99201996</v>
      </c>
      <c r="H4">
        <f>-0.8310765215</f>
        <v>-0.8310765215</v>
      </c>
      <c r="I4">
        <f>43.16094344</f>
        <v>43.160943439999997</v>
      </c>
      <c r="J4">
        <f>145.92308</f>
        <v>145.92308</v>
      </c>
      <c r="K4">
        <f>7.0980742</f>
        <v>7.0980742000000001</v>
      </c>
      <c r="L4">
        <f>7719.3471</f>
        <v>7719.3471</v>
      </c>
    </row>
    <row r="5" spans="1:12" x14ac:dyDescent="0.25">
      <c r="A5">
        <f>0.63</f>
        <v>0.63</v>
      </c>
      <c r="B5">
        <f>48.7086658</f>
        <v>48.708665799999999</v>
      </c>
      <c r="C5">
        <f>46.30590391</f>
        <v>46.305903909999998</v>
      </c>
      <c r="D5">
        <f>4.871812778</f>
        <v>4.8718127779999998</v>
      </c>
      <c r="E5">
        <f>51.17771669</f>
        <v>51.177716689999997</v>
      </c>
      <c r="F5">
        <f>47.11575692</f>
        <v>47.115756920000003</v>
      </c>
      <c r="G5">
        <f>44.79157203</f>
        <v>44.791572029999998</v>
      </c>
      <c r="H5">
        <f>-0.8300874435</f>
        <v>-0.83008744349999997</v>
      </c>
      <c r="I5">
        <f>43.96148458</f>
        <v>43.961484579999997</v>
      </c>
      <c r="J5">
        <f>143.77151</f>
        <v>143.77151000000001</v>
      </c>
      <c r="K5">
        <f>7.2568698</f>
        <v>7.2568697999999996</v>
      </c>
      <c r="L5">
        <f>7484.8062</f>
        <v>7484.8062</v>
      </c>
    </row>
    <row r="6" spans="1:12" x14ac:dyDescent="0.25">
      <c r="A6">
        <f>0.64</f>
        <v>0.64</v>
      </c>
      <c r="B6">
        <f>49.48181923</f>
        <v>49.481819229999999</v>
      </c>
      <c r="C6">
        <f>47.13255359</f>
        <v>47.132553590000001</v>
      </c>
      <c r="D6">
        <f>4.687433271</f>
        <v>4.6874332709999997</v>
      </c>
      <c r="E6">
        <f>51.81998686</f>
        <v>51.81998686</v>
      </c>
      <c r="F6">
        <f>47.86362608</f>
        <v>47.863626080000003</v>
      </c>
      <c r="G6">
        <f>45.59118796</f>
        <v>45.591187959999999</v>
      </c>
      <c r="H6">
        <f>-0.8290673129</f>
        <v>-0.82906731290000002</v>
      </c>
      <c r="I6">
        <f>44.76212065</f>
        <v>44.76212065</v>
      </c>
      <c r="J6">
        <f>141.47275</f>
        <v>141.47274999999999</v>
      </c>
      <c r="K6">
        <f>7.423143</f>
        <v>7.4231429999999996</v>
      </c>
      <c r="L6">
        <f>7250.0517</f>
        <v>7250.0517</v>
      </c>
    </row>
    <row r="7" spans="1:12" x14ac:dyDescent="0.25">
      <c r="A7">
        <f>0.65</f>
        <v>0.65</v>
      </c>
      <c r="B7">
        <f>50.25497265</f>
        <v>50.254972649999999</v>
      </c>
      <c r="C7">
        <f>47.95927615</f>
        <v>47.959276150000001</v>
      </c>
      <c r="D7">
        <f>4.502806311</f>
        <v>4.5028063109999996</v>
      </c>
      <c r="E7">
        <f>52.46208246</f>
        <v>52.462082459999998</v>
      </c>
      <c r="F7">
        <f>48.61149523</f>
        <v>48.611495230000003</v>
      </c>
      <c r="G7">
        <f>46.39087439</f>
        <v>46.39087439</v>
      </c>
      <c r="H7">
        <f>-0.8280138334</f>
        <v>-0.82801383340000001</v>
      </c>
      <c r="I7">
        <f>45.56286056</f>
        <v>45.562860559999997</v>
      </c>
      <c r="J7">
        <f>139.02617</f>
        <v>139.02617000000001</v>
      </c>
      <c r="K7">
        <f>7.597457</f>
        <v>7.5974570000000003</v>
      </c>
      <c r="L7">
        <f>7015.0613</f>
        <v>7015.0613000000003</v>
      </c>
    </row>
    <row r="8" spans="1:12" x14ac:dyDescent="0.25">
      <c r="A8">
        <f>0.66</f>
        <v>0.66</v>
      </c>
      <c r="B8">
        <f>51.02812608</f>
        <v>51.02812608</v>
      </c>
      <c r="C8">
        <f>48.78607897</f>
        <v>48.786078969999998</v>
      </c>
      <c r="D8">
        <f>4.317906712</f>
        <v>4.3179067120000001</v>
      </c>
      <c r="E8">
        <f>53.10398568</f>
        <v>53.103985680000001</v>
      </c>
      <c r="F8">
        <f>49.35936439</f>
        <v>49.359364390000003</v>
      </c>
      <c r="G8">
        <f>47.19063846</f>
        <v>47.190638460000002</v>
      </c>
      <c r="H8">
        <f>-0.8269244713</f>
        <v>-0.82692447130000002</v>
      </c>
      <c r="I8">
        <f>46.36371398</f>
        <v>46.36371398</v>
      </c>
      <c r="J8">
        <f>136.4327</f>
        <v>136.43270000000001</v>
      </c>
      <c r="K8">
        <f>7.7804349</f>
        <v>7.7804349000000004</v>
      </c>
      <c r="L8">
        <f>6779.8924</f>
        <v>6779.8923999999997</v>
      </c>
    </row>
    <row r="9" spans="1:12" x14ac:dyDescent="0.25">
      <c r="A9">
        <f>0.67</f>
        <v>0.67</v>
      </c>
      <c r="B9">
        <f>51.80127951</f>
        <v>51.801279510000001</v>
      </c>
      <c r="C9">
        <f>49.61297191</f>
        <v>49.612971909999999</v>
      </c>
      <c r="D9">
        <f>4.132700772</f>
        <v>4.1327007719999997</v>
      </c>
      <c r="E9">
        <f>53.74567268</f>
        <v>53.745672679999998</v>
      </c>
      <c r="F9">
        <f>50.10723355</f>
        <v>50.107233549999997</v>
      </c>
      <c r="G9">
        <f>47.9904897</f>
        <v>47.990489699999998</v>
      </c>
      <c r="H9">
        <f>-0.8257963839</f>
        <v>-0.82579638389999999</v>
      </c>
      <c r="I9">
        <f>47.16469332</f>
        <v>47.164693319999998</v>
      </c>
      <c r="J9">
        <f>133.68823</f>
        <v>133.68823</v>
      </c>
      <c r="K9">
        <f>7.9727746</f>
        <v>7.9727746000000002</v>
      </c>
      <c r="L9">
        <f>6544.352</f>
        <v>6544.3519999999999</v>
      </c>
    </row>
    <row r="10" spans="1:12" x14ac:dyDescent="0.25">
      <c r="A10">
        <f>0.68</f>
        <v>0.68</v>
      </c>
      <c r="B10">
        <f>52.57443293</f>
        <v>52.57443293</v>
      </c>
      <c r="C10">
        <f>50.43996503</f>
        <v>50.439965030000003</v>
      </c>
      <c r="D10">
        <f>3.947154238</f>
        <v>3.947154238</v>
      </c>
      <c r="E10">
        <f>54.38711926</f>
        <v>54.387119259999999</v>
      </c>
      <c r="F10">
        <f>50.85510271</f>
        <v>50.855102709999997</v>
      </c>
      <c r="G10">
        <f>48.79043784</f>
        <v>48.790437840000003</v>
      </c>
      <c r="H10">
        <f>-0.8246264265</f>
        <v>-0.82462642649999995</v>
      </c>
      <c r="I10">
        <f>47.96581141</f>
        <v>47.965811410000001</v>
      </c>
      <c r="J10">
        <f>130.7934</f>
        <v>130.79339999999999</v>
      </c>
      <c r="K10">
        <f>8.1752511</f>
        <v>8.1752511000000005</v>
      </c>
      <c r="L10">
        <f>6308.4867</f>
        <v>6308.4867000000004</v>
      </c>
    </row>
    <row r="11" spans="1:12" x14ac:dyDescent="0.25">
      <c r="A11">
        <f>0.69</f>
        <v>0.69</v>
      </c>
      <c r="B11">
        <f>53.34758636</f>
        <v>53.347586360000001</v>
      </c>
      <c r="C11">
        <f>51.26707048</f>
        <v>51.267070480000001</v>
      </c>
      <c r="D11">
        <f>3.761225557</f>
        <v>3.7612255569999999</v>
      </c>
      <c r="E11">
        <f>55.02829603</f>
        <v>55.02829603</v>
      </c>
      <c r="F11">
        <f>51.60297186</f>
        <v>51.602971859999997</v>
      </c>
      <c r="G11">
        <f>49.59049464</f>
        <v>49.590494640000003</v>
      </c>
      <c r="H11">
        <f>-0.8234110667</f>
        <v>-0.82341106669999997</v>
      </c>
      <c r="I11">
        <f>48.76708357</f>
        <v>48.767083569999997</v>
      </c>
      <c r="J11">
        <f>127.74707</f>
        <v>127.74706999999999</v>
      </c>
      <c r="K11">
        <f>8.388736</f>
        <v>8.3887359999999997</v>
      </c>
      <c r="L11">
        <f>6072.2567</f>
        <v>6072.2566999999999</v>
      </c>
    </row>
    <row r="12" spans="1:12" x14ac:dyDescent="0.25">
      <c r="A12">
        <f>0.7</f>
        <v>0.7</v>
      </c>
      <c r="B12">
        <f>54.12073978</f>
        <v>54.120739780000001</v>
      </c>
      <c r="C12">
        <f>52.09430253</f>
        <v>52.09430253</v>
      </c>
      <c r="D12">
        <f>3.574865977</f>
        <v>3.574865977</v>
      </c>
      <c r="E12">
        <f>55.6691685</f>
        <v>55.669168499999998</v>
      </c>
      <c r="F12">
        <f>52.35084102</f>
        <v>52.350841019999997</v>
      </c>
      <c r="G12">
        <f>50.3906739</f>
        <v>50.390673900000003</v>
      </c>
      <c r="H12">
        <f>-0.8221463269</f>
        <v>-0.8221463269</v>
      </c>
      <c r="I12">
        <f>49.56852758</f>
        <v>49.568527580000001</v>
      </c>
      <c r="J12">
        <f>124.5479</f>
        <v>124.5479</v>
      </c>
      <c r="K12">
        <f>8.6142115</f>
        <v>8.6142114999999997</v>
      </c>
      <c r="L12">
        <f>5835.6151</f>
        <v>5835.6151</v>
      </c>
    </row>
    <row r="13" spans="1:12" x14ac:dyDescent="0.25">
      <c r="A13">
        <f>0.71</f>
        <v>0.71</v>
      </c>
      <c r="B13">
        <f>54.89389321</f>
        <v>54.893893210000002</v>
      </c>
      <c r="C13">
        <f>52.92167804</f>
        <v>52.921678040000003</v>
      </c>
      <c r="D13">
        <f>3.388017886</f>
        <v>3.3880178860000001</v>
      </c>
      <c r="E13">
        <f>56.30969593</f>
        <v>56.309695929999997</v>
      </c>
      <c r="F13">
        <f>53.09871018</f>
        <v>53.098710179999998</v>
      </c>
      <c r="G13">
        <f>51.19099193</f>
        <v>51.190991930000003</v>
      </c>
      <c r="H13">
        <f>-0.8208277048</f>
        <v>-0.8208277048</v>
      </c>
      <c r="I13">
        <f>50.37016423</f>
        <v>50.37016423</v>
      </c>
      <c r="J13">
        <f>121.19432</f>
        <v>121.19432</v>
      </c>
      <c r="K13">
        <f>8.8527913</f>
        <v>8.8527912999999998</v>
      </c>
      <c r="L13">
        <f>5598.5064</f>
        <v>5598.5064000000002</v>
      </c>
    </row>
    <row r="14" spans="1:12" x14ac:dyDescent="0.25">
      <c r="A14">
        <f>0.72</f>
        <v>0.72</v>
      </c>
      <c r="B14">
        <f>55.66704663</f>
        <v>55.667046630000002</v>
      </c>
      <c r="C14">
        <f>53.74921709</f>
        <v>53.749217090000002</v>
      </c>
      <c r="D14">
        <f>3.200612638</f>
        <v>3.200612638</v>
      </c>
      <c r="E14">
        <f>56.94982973</f>
        <v>56.949829729999998</v>
      </c>
      <c r="F14">
        <f>53.84657934</f>
        <v>53.846579339999998</v>
      </c>
      <c r="G14">
        <f>51.99146815</f>
        <v>51.991468150000003</v>
      </c>
      <c r="H14">
        <f>-0.8194500729</f>
        <v>-0.81945007290000005</v>
      </c>
      <c r="I14">
        <f>51.17201808</f>
        <v>51.172018080000001</v>
      </c>
      <c r="J14">
        <f>117.68444</f>
        <v>117.68444</v>
      </c>
      <c r="K14">
        <f>9.1057453</f>
        <v>9.1057453000000006</v>
      </c>
      <c r="L14">
        <f>5360.8644</f>
        <v>5360.8644000000004</v>
      </c>
    </row>
    <row r="15" spans="1:12" x14ac:dyDescent="0.25">
      <c r="A15">
        <f>0.73</f>
        <v>0.73</v>
      </c>
      <c r="B15">
        <f>56.44020006</f>
        <v>56.440200060000002</v>
      </c>
      <c r="C15">
        <f>54.5769438</f>
        <v>54.576943800000002</v>
      </c>
      <c r="D15">
        <f>3.012567713</f>
        <v>3.0125677130000001</v>
      </c>
      <c r="E15">
        <f>57.58951151</f>
        <v>57.589511510000001</v>
      </c>
      <c r="F15">
        <f>54.59444849</f>
        <v>54.594448489999998</v>
      </c>
      <c r="G15">
        <f>52.7921259</f>
        <v>52.792125900000002</v>
      </c>
      <c r="H15">
        <f>-0.8180075523</f>
        <v>-0.8180075523</v>
      </c>
      <c r="I15">
        <f>51.97411835</f>
        <v>51.974118349999998</v>
      </c>
      <c r="J15">
        <f>114.016</f>
        <v>114.01600000000001</v>
      </c>
      <c r="K15">
        <f>9.3745314</f>
        <v>9.3745314000000004</v>
      </c>
      <c r="L15">
        <f>5122.6092</f>
        <v>5122.6091999999999</v>
      </c>
    </row>
    <row r="16" spans="1:12" x14ac:dyDescent="0.25">
      <c r="A16">
        <f>0.74</f>
        <v>0.74</v>
      </c>
      <c r="B16">
        <f>57.21335348</f>
        <v>57.213353480000002</v>
      </c>
      <c r="C16">
        <f>55.40488745</f>
        <v>55.404887449999997</v>
      </c>
      <c r="D16">
        <f>2.823782906</f>
        <v>2.8237829059999999</v>
      </c>
      <c r="E16">
        <f>58.22867036</f>
        <v>58.228670360000002</v>
      </c>
      <c r="F16">
        <f>55.34231765</f>
        <v>55.342317649999998</v>
      </c>
      <c r="G16">
        <f>53.59299349</f>
        <v>53.592993489999998</v>
      </c>
      <c r="H16">
        <f>-0.8164933492</f>
        <v>-0.81649334920000005</v>
      </c>
      <c r="I16">
        <f>52.77650014</f>
        <v>52.776500140000003</v>
      </c>
      <c r="J16">
        <f>110.18625</f>
        <v>110.18625</v>
      </c>
      <c r="K16">
        <f>9.6608365</f>
        <v>9.6608365000000003</v>
      </c>
      <c r="L16">
        <f>4883.6436</f>
        <v>4883.6436000000003</v>
      </c>
    </row>
    <row r="17" spans="1:12" x14ac:dyDescent="0.25">
      <c r="A17">
        <f>0.75</f>
        <v>0.75</v>
      </c>
      <c r="B17">
        <f>57.98650691</f>
        <v>57.986506910000003</v>
      </c>
      <c r="C17">
        <f>56.233084</f>
        <v>56.233083999999998</v>
      </c>
      <c r="D17">
        <f>2.634135151</f>
        <v>2.6341351510000002</v>
      </c>
      <c r="E17">
        <f>58.86721915</f>
        <v>58.867219149999997</v>
      </c>
      <c r="F17">
        <f>56.09018681</f>
        <v>56.090186809999999</v>
      </c>
      <c r="G17">
        <f>54.39410571</f>
        <v>54.394105709999998</v>
      </c>
      <c r="H17">
        <f>-0.8148995421</f>
        <v>-0.81489954210000004</v>
      </c>
      <c r="I17">
        <f>53.57920617</f>
        <v>53.579206169999999</v>
      </c>
      <c r="J17">
        <f>106.1918</f>
        <v>106.1918</v>
      </c>
      <c r="K17">
        <f>9.9666296</f>
        <v>9.9666295999999992</v>
      </c>
      <c r="L17">
        <f>4643.8481</f>
        <v>4643.8481000000002</v>
      </c>
    </row>
    <row r="18" spans="1:12" x14ac:dyDescent="0.25">
      <c r="A18">
        <f>0.76</f>
        <v>0.76</v>
      </c>
      <c r="B18">
        <f>58.75966034</f>
        <v>58.759660340000003</v>
      </c>
      <c r="C18">
        <f>57.06157815</f>
        <v>57.061578150000003</v>
      </c>
      <c r="D18">
        <f>2.44347135</f>
        <v>2.4434713499999998</v>
      </c>
      <c r="E18">
        <f>59.5050495</f>
        <v>59.505049499999998</v>
      </c>
      <c r="F18">
        <f>56.83805597</f>
        <v>56.838055969999999</v>
      </c>
      <c r="G18">
        <f>55.19550579</f>
        <v>55.195505789999999</v>
      </c>
      <c r="H18">
        <f>-0.8132167977</f>
        <v>-0.81321679769999999</v>
      </c>
      <c r="I18">
        <f>54.382289</f>
        <v>54.382289</v>
      </c>
      <c r="J18">
        <f>102.02844</f>
        <v>102.02844</v>
      </c>
      <c r="K18">
        <f>10.294233</f>
        <v>10.294233</v>
      </c>
      <c r="L18">
        <f>4403.0732</f>
        <v>4403.0731999999998</v>
      </c>
    </row>
    <row r="19" spans="1:12" x14ac:dyDescent="0.25">
      <c r="A19">
        <f>0.77</f>
        <v>0.77</v>
      </c>
      <c r="B19">
        <f>59.53281376</f>
        <v>59.532813760000003</v>
      </c>
      <c r="C19">
        <f>57.89042632</f>
        <v>57.890426320000003</v>
      </c>
      <c r="D19">
        <f>2.251598204</f>
        <v>2.251598204</v>
      </c>
      <c r="E19">
        <f>60.14202452</f>
        <v>60.14202452</v>
      </c>
      <c r="F19">
        <f>57.58592512</f>
        <v>57.585925119999999</v>
      </c>
      <c r="G19">
        <f>55.99724832</f>
        <v>55.997248319999997</v>
      </c>
      <c r="H19">
        <f>-0.8114339814</f>
        <v>-0.8114339814</v>
      </c>
      <c r="I19">
        <f>55.18581434</f>
        <v>55.18581434</v>
      </c>
      <c r="J19">
        <f>97.690809</f>
        <v>97.690809000000002</v>
      </c>
      <c r="K19">
        <f>10.646421</f>
        <v>10.646421</v>
      </c>
      <c r="L19">
        <f>4161.1297</f>
        <v>4161.1297000000004</v>
      </c>
    </row>
    <row r="20" spans="1:12" x14ac:dyDescent="0.25">
      <c r="A20">
        <f>0.78</f>
        <v>0.78</v>
      </c>
      <c r="B20">
        <f>60.30596719</f>
        <v>60.305967189999997</v>
      </c>
      <c r="C20">
        <f>58.71970096</f>
        <v>58.719700959999997</v>
      </c>
      <c r="D20">
        <f>2.058267422</f>
        <v>2.0582674220000001</v>
      </c>
      <c r="E20">
        <f>60.77796838</f>
        <v>60.777968379999997</v>
      </c>
      <c r="F20">
        <f>58.33379428</f>
        <v>58.333794279999999</v>
      </c>
      <c r="G20">
        <f>56.79940337</f>
        <v>56.79940337</v>
      </c>
      <c r="H20">
        <f>-0.8095376126</f>
        <v>-0.80953761260000001</v>
      </c>
      <c r="I20">
        <f>55.98986576</f>
        <v>55.989865760000001</v>
      </c>
      <c r="J20">
        <f>93.172054</f>
        <v>93.172054000000003</v>
      </c>
      <c r="K20">
        <f>11.02655</f>
        <v>11.02655</v>
      </c>
      <c r="L20">
        <f>3917.7736</f>
        <v>3917.7736</v>
      </c>
    </row>
    <row r="21" spans="1:12" x14ac:dyDescent="0.25">
      <c r="A21">
        <f>0.79</f>
        <v>0.79</v>
      </c>
      <c r="B21">
        <f>61.07912061</f>
        <v>61.079120609999997</v>
      </c>
      <c r="C21">
        <f>59.54949698</f>
        <v>59.549496980000001</v>
      </c>
      <c r="D21">
        <f>1.863153539</f>
        <v>1.863153539</v>
      </c>
      <c r="E21">
        <f>61.41265052</f>
        <v>61.41265052</v>
      </c>
      <c r="F21">
        <f>59.08166344</f>
        <v>59.08166344</v>
      </c>
      <c r="G21">
        <f>57.60206276</f>
        <v>57.602062760000003</v>
      </c>
      <c r="H21">
        <f>-0.8075110742</f>
        <v>-0.80751107420000001</v>
      </c>
      <c r="I21">
        <f>56.79455168</f>
        <v>56.794551679999998</v>
      </c>
      <c r="J21">
        <f>88.46314</f>
        <v>88.463139999999996</v>
      </c>
      <c r="K21">
        <f>11.438765</f>
        <v>11.438765</v>
      </c>
      <c r="L21">
        <f>3672.6838</f>
        <v>3672.6837999999998</v>
      </c>
    </row>
    <row r="22" spans="1:12" x14ac:dyDescent="0.25">
      <c r="A22">
        <f>0.8</f>
        <v>0.8</v>
      </c>
      <c r="B22">
        <f>61.85227404</f>
        <v>61.852274039999998</v>
      </c>
      <c r="C22">
        <f>60.37994186</f>
        <v>60.379941860000002</v>
      </c>
      <c r="D22">
        <f>1.665819421</f>
        <v>1.6658194209999999</v>
      </c>
      <c r="E22">
        <f>62.04576128</f>
        <v>62.045761280000001</v>
      </c>
      <c r="F22">
        <f>59.8295326</f>
        <v>59.8295326</v>
      </c>
      <c r="G22">
        <f>58.40534977</f>
        <v>58.405349770000001</v>
      </c>
      <c r="H22">
        <f>-0.8053334225</f>
        <v>-0.80533342249999995</v>
      </c>
      <c r="I22">
        <f>57.60001635</f>
        <v>57.600016349999997</v>
      </c>
      <c r="J22">
        <f>83.551911</f>
        <v>83.551911000000004</v>
      </c>
      <c r="K22">
        <f>11.888286</f>
        <v>11.888286000000001</v>
      </c>
      <c r="L22">
        <f>3425.4266</f>
        <v>3425.4265999999998</v>
      </c>
    </row>
    <row r="23" spans="1:12" x14ac:dyDescent="0.25">
      <c r="A23">
        <f>0.81</f>
        <v>0.81</v>
      </c>
      <c r="B23">
        <f>62.62542746</f>
        <v>62.625427459999997</v>
      </c>
      <c r="C23">
        <f>61.21121187</f>
        <v>61.21121187</v>
      </c>
      <c r="D23">
        <f>1.465660174</f>
        <v>1.4656601739999999</v>
      </c>
      <c r="E23">
        <f>62.67687205</f>
        <v>62.67687205</v>
      </c>
      <c r="F23">
        <f>60.57740175</f>
        <v>60.57740175</v>
      </c>
      <c r="G23">
        <f>59.20943495</f>
        <v>59.209434950000002</v>
      </c>
      <c r="H23">
        <f>-0.8029775108</f>
        <v>-0.80297751080000002</v>
      </c>
      <c r="I23">
        <f>58.40645744</f>
        <v>58.406457439999997</v>
      </c>
      <c r="J23">
        <f>78.421498</f>
        <v>78.421498</v>
      </c>
      <c r="K23">
        <f>12.381877</f>
        <v>12.381876999999999</v>
      </c>
      <c r="L23">
        <f>3175.3996</f>
        <v>3175.3996000000002</v>
      </c>
    </row>
    <row r="24" spans="1:12" x14ac:dyDescent="0.25">
      <c r="A24">
        <f>0.82</f>
        <v>0.82</v>
      </c>
      <c r="B24">
        <f>63.39858089</f>
        <v>63.398580889999998</v>
      </c>
      <c r="C24">
        <f>62.0435592</f>
        <v>62.043559199999997</v>
      </c>
      <c r="D24">
        <f>1.261810322</f>
        <v>1.2618103220000001</v>
      </c>
      <c r="E24">
        <f>63.30536952</f>
        <v>63.305369519999999</v>
      </c>
      <c r="F24">
        <f>61.32527091</f>
        <v>61.32527091</v>
      </c>
      <c r="G24">
        <f>60.0145622</f>
        <v>60.0145622</v>
      </c>
      <c r="H24">
        <f>-0.8004069015</f>
        <v>-0.80040690150000005</v>
      </c>
      <c r="I24">
        <f>59.2141553</f>
        <v>59.214155300000002</v>
      </c>
      <c r="J24">
        <f>73.048493</f>
        <v>73.048492999999993</v>
      </c>
      <c r="K24">
        <f>12.928613</f>
        <v>12.928613</v>
      </c>
      <c r="L24">
        <f>2921.7677</f>
        <v>2921.7676999999999</v>
      </c>
    </row>
    <row r="25" spans="1:12" x14ac:dyDescent="0.25">
      <c r="A25">
        <f>0.83</f>
        <v>0.83</v>
      </c>
      <c r="B25">
        <f>64.17173431</f>
        <v>64.171734310000005</v>
      </c>
      <c r="C25">
        <f>62.87736708</f>
        <v>62.877367079999999</v>
      </c>
      <c r="D25">
        <f>1.052954011</f>
        <v>1.052954011</v>
      </c>
      <c r="E25">
        <f>63.93032109</f>
        <v>63.93032109</v>
      </c>
      <c r="F25">
        <f>62.07314007</f>
        <v>62.073140070000001</v>
      </c>
      <c r="G25">
        <f>60.82110224</f>
        <v>60.821102240000002</v>
      </c>
      <c r="H25">
        <f>-0.797570081</f>
        <v>-0.79757008100000004</v>
      </c>
      <c r="I25">
        <f>60.02353216</f>
        <v>60.023532160000002</v>
      </c>
      <c r="J25">
        <f>67.394691</f>
        <v>67.394690999999995</v>
      </c>
      <c r="K25">
        <f>13.541297</f>
        <v>13.541297</v>
      </c>
      <c r="L25">
        <f>2663.1515</f>
        <v>2663.1514999999999</v>
      </c>
    </row>
    <row r="26" spans="1:12" x14ac:dyDescent="0.25">
      <c r="A26">
        <f>0.84</f>
        <v>0.84</v>
      </c>
      <c r="B26">
        <f>64.94488774</f>
        <v>64.944887739999999</v>
      </c>
      <c r="C26">
        <f>63.71324949</f>
        <v>63.713249490000003</v>
      </c>
      <c r="D26">
        <f>0.836983348</f>
        <v>0.83698334799999996</v>
      </c>
      <c r="E26">
        <f>64.55023284</f>
        <v>64.550232840000007</v>
      </c>
      <c r="F26">
        <f>62.82100923</f>
        <v>62.821009230000001</v>
      </c>
      <c r="G26">
        <f>61.62964898</f>
        <v>61.629648979999999</v>
      </c>
      <c r="H26">
        <f>-0.7943893594</f>
        <v>-0.79438935939999999</v>
      </c>
      <c r="I26">
        <f>60.83525962</f>
        <v>60.835259620000002</v>
      </c>
      <c r="J26">
        <f>61.401706</f>
        <v>61.401705999999997</v>
      </c>
      <c r="K26">
        <f>14.239167</f>
        <v>14.239167</v>
      </c>
      <c r="L26">
        <f>2397.4493</f>
        <v>2397.4493000000002</v>
      </c>
    </row>
    <row r="27" spans="1:12" x14ac:dyDescent="0.25">
      <c r="A27">
        <f>0.85</f>
        <v>0.85</v>
      </c>
      <c r="B27">
        <f>65.71804116</f>
        <v>65.718041159999999</v>
      </c>
      <c r="C27">
        <f>64.55229574</f>
        <v>64.552295740000005</v>
      </c>
      <c r="D27">
        <f>0.6101556406</f>
        <v>0.61015564060000005</v>
      </c>
      <c r="E27">
        <f>65.16245138</f>
        <v>65.162451379999993</v>
      </c>
      <c r="F27">
        <f>63.56887838</f>
        <v>63.568878380000001</v>
      </c>
      <c r="G27">
        <f>62.44125608</f>
        <v>62.441256080000002</v>
      </c>
      <c r="H27">
        <f>-0.7907358792</f>
        <v>-0.79073587919999999</v>
      </c>
      <c r="I27">
        <f>61.6505202</f>
        <v>61.650520200000003</v>
      </c>
      <c r="J27">
        <f>54.964997</f>
        <v>54.964996999999997</v>
      </c>
      <c r="K27">
        <f>15.054134</f>
        <v>15.054133999999999</v>
      </c>
      <c r="L27">
        <f>2120.8774</f>
        <v>2120.8773999999999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K32" sqref="K32"/>
    </sheetView>
  </sheetViews>
  <sheetFormatPr defaultRowHeight="15" x14ac:dyDescent="0.25"/>
  <sheetData>
    <row r="1" spans="1:1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</row>
    <row r="2" spans="1:12" x14ac:dyDescent="0.25">
      <c r="A2">
        <f>0.6</f>
        <v>0.6</v>
      </c>
      <c r="B2">
        <f>46.94145797</f>
        <v>46.941457970000002</v>
      </c>
      <c r="C2">
        <f>44.33400432</f>
        <v>44.334004319999998</v>
      </c>
      <c r="D2">
        <f>4.310384143</f>
        <v>4.3103841430000003</v>
      </c>
      <c r="E2">
        <f>48.64438846</f>
        <v>48.644388460000002</v>
      </c>
      <c r="F2">
        <f>45.4063417</f>
        <v>45.406341699999999</v>
      </c>
      <c r="G2">
        <f>42.88415904</f>
        <v>42.88415904</v>
      </c>
      <c r="H2">
        <f>-1.107615304</f>
        <v>-1.1076153040000001</v>
      </c>
      <c r="I2">
        <f>41.77654373</f>
        <v>41.77654373</v>
      </c>
      <c r="J2">
        <f>149.35253</f>
        <v>149.35253</v>
      </c>
      <c r="K2">
        <f>6.7635814</f>
        <v>6.7635813999999996</v>
      </c>
      <c r="L2">
        <f>8164.1242</f>
        <v>8164.1242000000002</v>
      </c>
    </row>
    <row r="3" spans="1:12" x14ac:dyDescent="0.25">
      <c r="A3">
        <f>0.61</f>
        <v>0.61</v>
      </c>
      <c r="B3">
        <f>47.72381561</f>
        <v>47.723815610000003</v>
      </c>
      <c r="C3">
        <f>45.17031792</f>
        <v>45.170317920000002</v>
      </c>
      <c r="D3">
        <f>4.124407959</f>
        <v>4.124407959</v>
      </c>
      <c r="E3">
        <f>49.29472588</f>
        <v>49.294725880000001</v>
      </c>
      <c r="F3">
        <f>46.16311406</f>
        <v>46.163114059999998</v>
      </c>
      <c r="G3">
        <f>43.69312286</f>
        <v>43.693122860000003</v>
      </c>
      <c r="H3">
        <f>-1.106212044</f>
        <v>-1.1062120440000001</v>
      </c>
      <c r="I3">
        <f>42.58691081</f>
        <v>42.586910809999999</v>
      </c>
      <c r="J3">
        <f>147.48417</f>
        <v>147.48417000000001</v>
      </c>
      <c r="K3">
        <f>6.9073114</f>
        <v>6.9073114000000002</v>
      </c>
      <c r="L3">
        <f>7929.8294</f>
        <v>7929.8293999999996</v>
      </c>
    </row>
    <row r="4" spans="1:12" x14ac:dyDescent="0.25">
      <c r="A4">
        <f>0.62</f>
        <v>0.62</v>
      </c>
      <c r="B4">
        <f>48.50617324</f>
        <v>48.506173240000003</v>
      </c>
      <c r="C4">
        <f>46.00668752</f>
        <v>46.00668752</v>
      </c>
      <c r="D4">
        <f>3.938241714</f>
        <v>3.9382417140000001</v>
      </c>
      <c r="E4">
        <f>49.94492923</f>
        <v>49.94492923</v>
      </c>
      <c r="F4">
        <f>46.91988643</f>
        <v>46.919886429999998</v>
      </c>
      <c r="G4">
        <f>44.50214084</f>
        <v>44.502140840000003</v>
      </c>
      <c r="H4">
        <f>-1.104761287</f>
        <v>-1.1047612870000001</v>
      </c>
      <c r="I4">
        <f>43.39737955</f>
        <v>43.397379549999997</v>
      </c>
      <c r="J4">
        <f>145.46942</f>
        <v>145.46942000000001</v>
      </c>
      <c r="K4">
        <f>7.0574417</f>
        <v>7.0574417</v>
      </c>
      <c r="L4">
        <f>7695.3487</f>
        <v>7695.3486999999996</v>
      </c>
    </row>
    <row r="5" spans="1:12" x14ac:dyDescent="0.25">
      <c r="A5">
        <f>0.63</f>
        <v>0.63</v>
      </c>
      <c r="B5">
        <f>49.28853087</f>
        <v>49.288530870000002</v>
      </c>
      <c r="C5">
        <f>46.84311814</f>
        <v>46.843118140000001</v>
      </c>
      <c r="D5">
        <f>3.751868286</f>
        <v>3.7518682860000001</v>
      </c>
      <c r="E5">
        <f>50.59498643</f>
        <v>50.594986429999999</v>
      </c>
      <c r="F5">
        <f>47.67665879</f>
        <v>47.676658789999998</v>
      </c>
      <c r="G5">
        <f>45.31121785</f>
        <v>45.311217849999998</v>
      </c>
      <c r="H5">
        <f>-1.10325973</f>
        <v>-1.10325973</v>
      </c>
      <c r="I5">
        <f>44.20795812</f>
        <v>44.207958120000001</v>
      </c>
      <c r="J5">
        <f>143.30951</f>
        <v>143.30950999999999</v>
      </c>
      <c r="K5">
        <f>7.2144242</f>
        <v>7.2144241999999998</v>
      </c>
      <c r="L5">
        <f>7460.7544</f>
        <v>7460.7543999999998</v>
      </c>
    </row>
    <row r="6" spans="1:12" x14ac:dyDescent="0.25">
      <c r="A6">
        <f>0.64</f>
        <v>0.64</v>
      </c>
      <c r="B6">
        <f>50.07088851</f>
        <v>50.070888510000003</v>
      </c>
      <c r="C6">
        <f>47.67961674</f>
        <v>47.67961674</v>
      </c>
      <c r="D6">
        <f>3.565263945</f>
        <v>3.5652639449999999</v>
      </c>
      <c r="E6">
        <f>51.24488068</f>
        <v>51.244880680000001</v>
      </c>
      <c r="F6">
        <f>48.43343115</f>
        <v>48.433431149999997</v>
      </c>
      <c r="G6">
        <f>46.12036062</f>
        <v>46.12036062</v>
      </c>
      <c r="H6">
        <f>-1.101703705</f>
        <v>-1.101703705</v>
      </c>
      <c r="I6">
        <f>45.01865691</f>
        <v>45.018656909999997</v>
      </c>
      <c r="J6">
        <f>141.00044</f>
        <v>141.00044</v>
      </c>
      <c r="K6">
        <f>7.3787604</f>
        <v>7.3787604</v>
      </c>
      <c r="L6">
        <f>7225.8472</f>
        <v>7225.8472000000002</v>
      </c>
    </row>
    <row r="7" spans="1:12" x14ac:dyDescent="0.25">
      <c r="A7">
        <f>0.65</f>
        <v>0.65</v>
      </c>
      <c r="B7">
        <f>50.85324614</f>
        <v>50.853246140000003</v>
      </c>
      <c r="C7">
        <f>48.51618997</f>
        <v>48.516189969999999</v>
      </c>
      <c r="D7">
        <f>3.378405957</f>
        <v>3.378405957</v>
      </c>
      <c r="E7">
        <f>51.89459593</f>
        <v>51.894595930000001</v>
      </c>
      <c r="F7">
        <f>49.19020351</f>
        <v>49.190203510000003</v>
      </c>
      <c r="G7">
        <f>46.92957558</f>
        <v>46.929575579999998</v>
      </c>
      <c r="H7">
        <f>-1.100089197</f>
        <v>-1.100089197</v>
      </c>
      <c r="I7">
        <f>45.82948638</f>
        <v>45.829486379999999</v>
      </c>
      <c r="J7">
        <f>138.54321</f>
        <v>138.54320999999999</v>
      </c>
      <c r="K7">
        <f>7.5510004</f>
        <v>7.5510004000000004</v>
      </c>
      <c r="L7">
        <f>6990.6918</f>
        <v>6990.6917999999996</v>
      </c>
    </row>
    <row r="8" spans="1:12" x14ac:dyDescent="0.25">
      <c r="A8">
        <f>0.66</f>
        <v>0.66</v>
      </c>
      <c r="B8">
        <f>51.63560377</f>
        <v>51.635603770000003</v>
      </c>
      <c r="C8">
        <f>49.35284592</f>
        <v>49.35284592</v>
      </c>
      <c r="D8">
        <f>3.191266769</f>
        <v>3.1912667689999998</v>
      </c>
      <c r="E8">
        <f>52.54411269</f>
        <v>52.544112689999999</v>
      </c>
      <c r="F8">
        <f>49.94697587</f>
        <v>49.946975870000003</v>
      </c>
      <c r="G8">
        <f>47.73887055</f>
        <v>47.738870550000001</v>
      </c>
      <c r="H8">
        <f>-1.098411753</f>
        <v>-1.0984117529999999</v>
      </c>
      <c r="I8">
        <f>46.6404588</f>
        <v>46.640458799999998</v>
      </c>
      <c r="J8">
        <f>135.93704</f>
        <v>135.93704</v>
      </c>
      <c r="K8">
        <f>7.7317557</f>
        <v>7.7317556999999999</v>
      </c>
      <c r="L8">
        <f>6755.2611</f>
        <v>6755.2610999999997</v>
      </c>
    </row>
    <row r="9" spans="1:12" x14ac:dyDescent="0.25">
      <c r="A9">
        <f>0.67</f>
        <v>0.67</v>
      </c>
      <c r="B9">
        <f>52.4179614</f>
        <v>52.417961400000003</v>
      </c>
      <c r="C9">
        <f>50.18959388</f>
        <v>50.189593879999997</v>
      </c>
      <c r="D9">
        <f>3.003814612</f>
        <v>3.0038146120000002</v>
      </c>
      <c r="E9">
        <f>53.1934085</f>
        <v>53.193408499999997</v>
      </c>
      <c r="F9">
        <f>50.70374823</f>
        <v>50.703748230000002</v>
      </c>
      <c r="G9">
        <f>48.54825453</f>
        <v>48.548254530000001</v>
      </c>
      <c r="H9">
        <f>-1.096666418</f>
        <v>-1.0966664180000001</v>
      </c>
      <c r="I9">
        <f>47.45158811</f>
        <v>47.451588110000003</v>
      </c>
      <c r="J9">
        <f>133.18104</f>
        <v>133.18104</v>
      </c>
      <c r="K9">
        <f>7.9217063</f>
        <v>7.9217063000000003</v>
      </c>
      <c r="L9">
        <f>6519.5237</f>
        <v>6519.5236999999997</v>
      </c>
    </row>
    <row r="10" spans="1:12" x14ac:dyDescent="0.25">
      <c r="A10">
        <f>0.68</f>
        <v>0.68</v>
      </c>
      <c r="B10">
        <f>53.20031904</f>
        <v>53.200319039999997</v>
      </c>
      <c r="C10">
        <f>51.02644465</f>
        <v>51.026444650000002</v>
      </c>
      <c r="D10">
        <f>2.816012649</f>
        <v>2.8160126490000001</v>
      </c>
      <c r="E10">
        <f>53.8424573</f>
        <v>53.8424573</v>
      </c>
      <c r="F10">
        <f>51.4605206</f>
        <v>51.460520600000002</v>
      </c>
      <c r="G10">
        <f>49.35773795</f>
        <v>49.357737950000001</v>
      </c>
      <c r="H10">
        <f>-1.094847668</f>
        <v>-1.0948476680000001</v>
      </c>
      <c r="I10">
        <f>48.26289028</f>
        <v>48.262890280000001</v>
      </c>
      <c r="J10">
        <f>130.27418</f>
        <v>130.27418</v>
      </c>
      <c r="K10">
        <f>8.1216118</f>
        <v>8.1216118000000002</v>
      </c>
      <c r="L10">
        <f>6283.4433</f>
        <v>6283.4432999999999</v>
      </c>
    </row>
    <row r="11" spans="1:12" x14ac:dyDescent="0.25">
      <c r="A11">
        <f>0.69</f>
        <v>0.69</v>
      </c>
      <c r="B11">
        <f>53.98267667</f>
        <v>53.982676669999996</v>
      </c>
      <c r="C11">
        <f>51.86341079</f>
        <v>51.863410790000003</v>
      </c>
      <c r="D11">
        <f>2.627817899</f>
        <v>2.6278178990000001</v>
      </c>
      <c r="E11">
        <f>54.49122869</f>
        <v>54.49122869</v>
      </c>
      <c r="F11">
        <f>52.21729296</f>
        <v>52.217292960000002</v>
      </c>
      <c r="G11">
        <f>50.16733297</f>
        <v>50.167332969999997</v>
      </c>
      <c r="H11">
        <f>-1.092949313</f>
        <v>-1.0929493130000001</v>
      </c>
      <c r="I11">
        <f>49.07438365</f>
        <v>49.074383650000001</v>
      </c>
      <c r="J11">
        <f>127.21524</f>
        <v>127.21523999999999</v>
      </c>
      <c r="K11">
        <f>8.3323245</f>
        <v>8.3323245000000004</v>
      </c>
      <c r="L11">
        <f>6046.9772</f>
        <v>6046.9772000000003</v>
      </c>
    </row>
    <row r="12" spans="1:12" x14ac:dyDescent="0.25">
      <c r="A12">
        <f>0.7</f>
        <v>0.7</v>
      </c>
      <c r="B12">
        <f>54.7650343</f>
        <v>54.765034300000003</v>
      </c>
      <c r="C12">
        <f>52.70050708</f>
        <v>52.700507080000001</v>
      </c>
      <c r="D12">
        <f>2.439179872</f>
        <v>2.439179872</v>
      </c>
      <c r="E12">
        <f>55.13968695</f>
        <v>55.139686949999998</v>
      </c>
      <c r="F12">
        <f>52.97406532</f>
        <v>52.974065320000001</v>
      </c>
      <c r="G12">
        <f>50.97705388</f>
        <v>50.97705388</v>
      </c>
      <c r="H12">
        <f>-1.090964379</f>
        <v>-1.0909643790000001</v>
      </c>
      <c r="I12">
        <f>49.8860895</f>
        <v>49.886089499999997</v>
      </c>
      <c r="J12">
        <f>124.00281</f>
        <v>124.00281</v>
      </c>
      <c r="K12">
        <f>8.5548053</f>
        <v>8.5548052999999999</v>
      </c>
      <c r="L12">
        <f>5810.0754</f>
        <v>5810.0753999999997</v>
      </c>
    </row>
    <row r="13" spans="1:12" x14ac:dyDescent="0.25">
      <c r="A13">
        <f>0.71</f>
        <v>0.71</v>
      </c>
      <c r="B13">
        <f>55.54739194</f>
        <v>55.547391939999997</v>
      </c>
      <c r="C13">
        <f>53.53775099</f>
        <v>53.537750989999999</v>
      </c>
      <c r="D13">
        <f>2.250038811</f>
        <v>2.250038811</v>
      </c>
      <c r="E13">
        <f>55.7877898</f>
        <v>55.787789799999999</v>
      </c>
      <c r="F13">
        <f>53.73083768</f>
        <v>53.73083768</v>
      </c>
      <c r="G13">
        <f>51.78691758</f>
        <v>51.786917580000001</v>
      </c>
      <c r="H13">
        <f>-1.088884973</f>
        <v>-1.0888849730000001</v>
      </c>
      <c r="I13">
        <f>50.69803261</f>
        <v>50.698032609999998</v>
      </c>
      <c r="J13">
        <f>120.6352</f>
        <v>120.6352</v>
      </c>
      <c r="K13">
        <f>8.7901432</f>
        <v>8.7901431999999993</v>
      </c>
      <c r="L13">
        <f>5572.6784</f>
        <v>5572.6783999999998</v>
      </c>
    </row>
    <row r="14" spans="1:12" x14ac:dyDescent="0.25">
      <c r="A14">
        <f>0.72</f>
        <v>0.72</v>
      </c>
      <c r="B14">
        <f>56.32974957</f>
        <v>56.329749569999997</v>
      </c>
      <c r="C14">
        <f>54.37516336</f>
        <v>54.375163360000002</v>
      </c>
      <c r="D14">
        <f>2.0603234</f>
        <v>2.0603234000000001</v>
      </c>
      <c r="E14">
        <f>56.43548676</f>
        <v>56.435486760000003</v>
      </c>
      <c r="F14">
        <f>54.48761004</f>
        <v>54.48761004</v>
      </c>
      <c r="G14">
        <f>52.59694424</f>
        <v>52.596944239999999</v>
      </c>
      <c r="H14">
        <f>-1.086702105</f>
        <v>-1.0867021050000001</v>
      </c>
      <c r="I14">
        <f>51.51024214</f>
        <v>51.510242140000003</v>
      </c>
      <c r="J14">
        <f>117.1104</f>
        <v>117.1104</v>
      </c>
      <c r="K14">
        <f>9.0395803</f>
        <v>9.0395803000000008</v>
      </c>
      <c r="L14">
        <f>5334.7151</f>
        <v>5334.7151000000003</v>
      </c>
    </row>
    <row r="15" spans="1:12" x14ac:dyDescent="0.25">
      <c r="A15">
        <f>0.73</f>
        <v>0.73</v>
      </c>
      <c r="B15">
        <f>57.1121072</f>
        <v>57.112107199999997</v>
      </c>
      <c r="C15">
        <f>55.2127693</f>
        <v>55.212769299999998</v>
      </c>
      <c r="D15">
        <f>1.869947748</f>
        <v>1.869947748</v>
      </c>
      <c r="E15">
        <f>57.08271705</f>
        <v>57.082717049999999</v>
      </c>
      <c r="F15">
        <f>55.2443824</f>
        <v>55.244382399999999</v>
      </c>
      <c r="G15">
        <f>53.40715814</f>
        <v>53.40715814</v>
      </c>
      <c r="H15">
        <f>-1.084405461</f>
        <v>-1.084405461</v>
      </c>
      <c r="I15">
        <f>52.32275268</f>
        <v>52.322752680000001</v>
      </c>
      <c r="J15">
        <f>113.42597</f>
        <v>113.42597000000001</v>
      </c>
      <c r="K15">
        <f>9.3045427</f>
        <v>9.3045427000000007</v>
      </c>
      <c r="L15">
        <f>5096.0995</f>
        <v>5096.0995000000003</v>
      </c>
    </row>
    <row r="16" spans="1:12" x14ac:dyDescent="0.25">
      <c r="A16">
        <f>0.74</f>
        <v>0.74</v>
      </c>
      <c r="B16">
        <f>57.89446484</f>
        <v>57.894464839999998</v>
      </c>
      <c r="C16">
        <f>56.05059934</f>
        <v>56.050599339999998</v>
      </c>
      <c r="D16">
        <f>1.678807327</f>
        <v>1.6788073269999999</v>
      </c>
      <c r="E16">
        <f>57.72940666</f>
        <v>57.729406660000002</v>
      </c>
      <c r="F16">
        <f>56.00115477</f>
        <v>56.001154769999999</v>
      </c>
      <c r="G16">
        <f>54.2175888</f>
        <v>54.217588800000001</v>
      </c>
      <c r="H16">
        <f>-1.081983117</f>
        <v>-1.081983117</v>
      </c>
      <c r="I16">
        <f>53.13560568</f>
        <v>53.135605679999998</v>
      </c>
      <c r="J16">
        <f>109.57895</f>
        <v>109.57895000000001</v>
      </c>
      <c r="K16">
        <f>9.5866811</f>
        <v>9.5866810999999998</v>
      </c>
      <c r="L16">
        <f>4856.7268</f>
        <v>4856.7268000000004</v>
      </c>
    </row>
    <row r="17" spans="1:12" x14ac:dyDescent="0.25">
      <c r="A17">
        <f>0.75</f>
        <v>0.75</v>
      </c>
      <c r="B17">
        <f>58.67682247</f>
        <v>58.676822469999998</v>
      </c>
      <c r="C17">
        <f>56.88869103</f>
        <v>56.888691029999997</v>
      </c>
      <c r="D17">
        <f>1.486773443</f>
        <v>1.4867734429999999</v>
      </c>
      <c r="E17">
        <f>58.37546448</f>
        <v>58.375464479999998</v>
      </c>
      <c r="F17">
        <f>56.75792713</f>
        <v>56.757927129999999</v>
      </c>
      <c r="G17">
        <f>55.02827257</f>
        <v>55.028272569999999</v>
      </c>
      <c r="H17">
        <f>-1.079421161</f>
        <v>-1.079421161</v>
      </c>
      <c r="I17">
        <f>53.94885141</f>
        <v>53.948851410000003</v>
      </c>
      <c r="J17">
        <f>105.56568</f>
        <v>105.56568</v>
      </c>
      <c r="K17">
        <f>9.8879236</f>
        <v>9.8879236000000006</v>
      </c>
      <c r="L17">
        <f>4616.4672</f>
        <v>4616.4672</v>
      </c>
    </row>
    <row r="18" spans="1:12" x14ac:dyDescent="0.25">
      <c r="A18">
        <f>0.76</f>
        <v>0.76</v>
      </c>
      <c r="B18">
        <f>59.4591801</f>
        <v>59.459180099999998</v>
      </c>
      <c r="C18">
        <f>57.72709127</f>
        <v>57.727091270000003</v>
      </c>
      <c r="D18">
        <f>1.293685523</f>
        <v>1.2936855229999999</v>
      </c>
      <c r="E18">
        <f>59.02077679</f>
        <v>59.020776789999999</v>
      </c>
      <c r="F18">
        <f>57.51469949</f>
        <v>57.514699489999998</v>
      </c>
      <c r="G18">
        <f>55.83925478</f>
        <v>55.839254779999997</v>
      </c>
      <c r="H18">
        <f>-1.076703187</f>
        <v>-1.0767031869999999</v>
      </c>
      <c r="I18">
        <f>54.76255159</f>
        <v>54.762551590000001</v>
      </c>
      <c r="J18">
        <f>101.38159</f>
        <v>101.38159</v>
      </c>
      <c r="K18">
        <f>10.210546</f>
        <v>10.210546000000001</v>
      </c>
      <c r="L18">
        <f>4375.1584</f>
        <v>4375.1584000000003</v>
      </c>
    </row>
    <row r="19" spans="1:12" x14ac:dyDescent="0.25">
      <c r="A19">
        <f>0.77</f>
        <v>0.77</v>
      </c>
      <c r="B19">
        <f>60.24153773</f>
        <v>60.241537729999997</v>
      </c>
      <c r="C19">
        <f>58.56585938</f>
        <v>58.565859379999999</v>
      </c>
      <c r="D19">
        <f>1.099340114</f>
        <v>1.0993401140000001</v>
      </c>
      <c r="E19">
        <f>59.6651995</f>
        <v>59.6651995</v>
      </c>
      <c r="F19">
        <f>58.27147185</f>
        <v>58.271471849999998</v>
      </c>
      <c r="G19">
        <f>56.65059284</f>
        <v>56.650592840000002</v>
      </c>
      <c r="H19">
        <f>-1.073809595</f>
        <v>-1.073809595</v>
      </c>
      <c r="I19">
        <f>55.57678325</f>
        <v>55.576783249999998</v>
      </c>
      <c r="J19">
        <f>97.020869</f>
        <v>97.020869000000005</v>
      </c>
      <c r="K19">
        <f>10.557269</f>
        <v>10.557269</v>
      </c>
      <c r="L19">
        <f>4132.5937</f>
        <v>4132.5937000000004</v>
      </c>
    </row>
    <row r="20" spans="1:12" x14ac:dyDescent="0.25">
      <c r="A20">
        <f>0.78</f>
        <v>0.78</v>
      </c>
      <c r="B20">
        <f>61.02389537</f>
        <v>61.023895369999998</v>
      </c>
      <c r="C20">
        <f>59.40507193</f>
        <v>59.405071929999998</v>
      </c>
      <c r="D20">
        <f>0.9034747777</f>
        <v>0.90347477769999995</v>
      </c>
      <c r="E20">
        <f>60.3085467</f>
        <v>60.308546700000001</v>
      </c>
      <c r="F20">
        <f>59.02824421</f>
        <v>59.028244209999997</v>
      </c>
      <c r="G20">
        <f>57.4623608</f>
        <v>57.462360799999999</v>
      </c>
      <c r="H20">
        <f>-1.070716615</f>
        <v>-1.070716615</v>
      </c>
      <c r="I20">
        <f>56.39164419</f>
        <v>56.391644190000001</v>
      </c>
      <c r="J20">
        <f>92.475995</f>
        <v>92.475994999999998</v>
      </c>
      <c r="K20">
        <f>10.931394</f>
        <v>10.931393999999999</v>
      </c>
      <c r="L20">
        <f>3888.5052</f>
        <v>3888.5052000000001</v>
      </c>
    </row>
    <row r="21" spans="1:12" x14ac:dyDescent="0.25">
      <c r="A21">
        <f>0.79</f>
        <v>0.79</v>
      </c>
      <c r="B21">
        <f>61.806253</f>
        <v>61.806252999999998</v>
      </c>
      <c r="C21">
        <f>60.24482971</f>
        <v>60.244829709999998</v>
      </c>
      <c r="D21">
        <f>0.7057437157</f>
        <v>0.70574371570000005</v>
      </c>
      <c r="E21">
        <f>60.95057342</f>
        <v>60.950573419999998</v>
      </c>
      <c r="F21">
        <f>59.78501657</f>
        <v>59.785016570000003</v>
      </c>
      <c r="G21">
        <f>58.27465617</f>
        <v>58.27465617</v>
      </c>
      <c r="H21">
        <f>-1.067394874</f>
        <v>-1.0673948740000001</v>
      </c>
      <c r="I21">
        <f>57.20726129</f>
        <v>57.207261289999998</v>
      </c>
      <c r="J21">
        <f>87.737024</f>
        <v>87.737024000000005</v>
      </c>
      <c r="K21">
        <f>11.337004</f>
        <v>11.337004</v>
      </c>
      <c r="L21">
        <f>3642.5379</f>
        <v>3642.5378999999998</v>
      </c>
    </row>
    <row r="22" spans="1:12" x14ac:dyDescent="0.25">
      <c r="A22">
        <f>0.8</f>
        <v>0.8</v>
      </c>
      <c r="B22">
        <f>62.58861063</f>
        <v>62.588610629999998</v>
      </c>
      <c r="C22">
        <f>61.08526896</f>
        <v>61.085268960000001</v>
      </c>
      <c r="D22">
        <f>0.5056794543</f>
        <v>0.50567945430000005</v>
      </c>
      <c r="E22">
        <f>61.59094842</f>
        <v>61.590948419999997</v>
      </c>
      <c r="F22">
        <f>60.54178894</f>
        <v>60.541788940000004</v>
      </c>
      <c r="G22">
        <f>59.08761072</f>
        <v>59.087610720000001</v>
      </c>
      <c r="H22">
        <f>-1.063807218</f>
        <v>-1.063807218</v>
      </c>
      <c r="I22">
        <f>58.0238035</f>
        <v>58.0238035</v>
      </c>
      <c r="J22">
        <f>82.790465</f>
        <v>82.790464999999998</v>
      </c>
      <c r="K22">
        <f>11.779264</f>
        <v>11.779264</v>
      </c>
      <c r="L22">
        <f>3394.2092</f>
        <v>3394.2091999999998</v>
      </c>
    </row>
    <row r="23" spans="1:12" x14ac:dyDescent="0.25">
      <c r="A23">
        <f>0.81</f>
        <v>0.81</v>
      </c>
      <c r="B23">
        <f>63.37096827</f>
        <v>63.370968269999999</v>
      </c>
      <c r="C23">
        <f>61.9265788</f>
        <v>61.926578800000001</v>
      </c>
      <c r="D23">
        <f>0.3026328971</f>
        <v>0.30263289710000002</v>
      </c>
      <c r="E23">
        <f>62.22921169</f>
        <v>62.22921169</v>
      </c>
      <c r="F23">
        <f>61.2985613</f>
        <v>61.298561300000003</v>
      </c>
      <c r="G23">
        <f>59.90140738</f>
        <v>59.901407380000002</v>
      </c>
      <c r="H23">
        <f>-1.059905308</f>
        <v>-1.059905308</v>
      </c>
      <c r="I23">
        <f>58.84150208</f>
        <v>58.841502079999998</v>
      </c>
      <c r="J23">
        <f>77.61832</f>
        <v>77.618319999999997</v>
      </c>
      <c r="K23">
        <f>12.264892</f>
        <v>12.264892</v>
      </c>
      <c r="L23">
        <f>3142.8778</f>
        <v>3142.8778000000002</v>
      </c>
    </row>
    <row r="24" spans="1:12" x14ac:dyDescent="0.25">
      <c r="A24">
        <f>0.82</f>
        <v>0.82</v>
      </c>
      <c r="B24">
        <f>64.1533259</f>
        <v>64.153325899999999</v>
      </c>
      <c r="C24">
        <f>62.76903655</f>
        <v>62.769036550000003</v>
      </c>
      <c r="D24">
        <f>0.09565175324</f>
        <v>9.5651753239999998E-2</v>
      </c>
      <c r="E24">
        <f>62.86468831</f>
        <v>62.864688309999998</v>
      </c>
      <c r="F24">
        <f>62.05533366</f>
        <v>62.055333660000002</v>
      </c>
      <c r="G24">
        <f>60.71631443</f>
        <v>60.716314429999997</v>
      </c>
      <c r="H24">
        <f>-1.055623518</f>
        <v>-1.055623518</v>
      </c>
      <c r="I24">
        <f>59.66069091</f>
        <v>59.66069091</v>
      </c>
      <c r="J24">
        <f>72.191475</f>
        <v>72.191474999999997</v>
      </c>
      <c r="K24">
        <f>12.803004</f>
        <v>12.803004</v>
      </c>
      <c r="L24">
        <f>2887.489</f>
        <v>2887.489</v>
      </c>
    </row>
    <row r="25" spans="1:12" x14ac:dyDescent="0.25">
      <c r="A25">
        <f>0.83</f>
        <v>0.83</v>
      </c>
      <c r="B25">
        <f>64.93568353</f>
        <v>64.935683530000006</v>
      </c>
      <c r="C25">
        <f>63.61306376</f>
        <v>63.613063760000003</v>
      </c>
      <c r="D25">
        <f>-0.1167118122</f>
        <v>-0.1167118122</v>
      </c>
      <c r="E25">
        <f>63.49635195</f>
        <v>63.496351949999998</v>
      </c>
      <c r="F25">
        <f>62.81210602</f>
        <v>62.812106020000002</v>
      </c>
      <c r="G25">
        <f>61.5327396</f>
        <v>61.532739599999999</v>
      </c>
      <c r="H25">
        <f>-1.05086843</f>
        <v>-1.05086843</v>
      </c>
      <c r="I25">
        <f>60.48187117</f>
        <v>60.481871169999998</v>
      </c>
      <c r="J25">
        <f>66.468417</f>
        <v>66.468417000000002</v>
      </c>
      <c r="K25">
        <f>13.406567</f>
        <v>13.406567000000001</v>
      </c>
      <c r="L25">
        <f>2626.549</f>
        <v>2626.549</v>
      </c>
    </row>
    <row r="26" spans="1:12" x14ac:dyDescent="0.25">
      <c r="A26">
        <f>0.84</f>
        <v>0.84</v>
      </c>
      <c r="B26">
        <f>65.71804116</f>
        <v>65.718041159999999</v>
      </c>
      <c r="C26">
        <f>64.4593555</f>
        <v>64.459355500000001</v>
      </c>
      <c r="D26">
        <f>-0.3368451475</f>
        <v>-0.3368451475</v>
      </c>
      <c r="E26">
        <f>64.12251035</f>
        <v>64.122510349999999</v>
      </c>
      <c r="F26">
        <f>63.56887838</f>
        <v>63.568878380000001</v>
      </c>
      <c r="G26">
        <f>62.35135524</f>
        <v>62.351355239999997</v>
      </c>
      <c r="H26">
        <f>-1.045496458</f>
        <v>-1.0454964579999999</v>
      </c>
      <c r="I26">
        <f>61.30585879</f>
        <v>61.305858790000002</v>
      </c>
      <c r="J26">
        <f>60.379421</f>
        <v>60.379421000000001</v>
      </c>
      <c r="K26">
        <f>14.09546</f>
        <v>14.095459999999999</v>
      </c>
      <c r="L26">
        <f>2357.5338</f>
        <v>2357.5338000000002</v>
      </c>
    </row>
    <row r="27" spans="1:12" x14ac:dyDescent="0.25">
      <c r="A27">
        <f>0.85</f>
        <v>0.85</v>
      </c>
      <c r="B27">
        <f>66.5003988</f>
        <v>66.500398799999999</v>
      </c>
      <c r="C27">
        <f>65.3091864</f>
        <v>65.309186400000002</v>
      </c>
      <c r="D27">
        <f>-0.569129093</f>
        <v>-0.56912909300000003</v>
      </c>
      <c r="E27">
        <f>64.74005731</f>
        <v>64.740057309999997</v>
      </c>
      <c r="F27">
        <f>64.32565075</f>
        <v>64.325650749999994</v>
      </c>
      <c r="G27">
        <f>63.17339431</f>
        <v>63.173394309999999</v>
      </c>
      <c r="H27">
        <f>-1.039261914</f>
        <v>-1.0392619139999999</v>
      </c>
      <c r="I27">
        <f>62.1341324</f>
        <v>62.134132399999999</v>
      </c>
      <c r="J27">
        <f>53.796746</f>
        <v>53.796745999999999</v>
      </c>
      <c r="K27">
        <f>14.903674</f>
        <v>14.903674000000001</v>
      </c>
      <c r="L27">
        <f>2075.7993</f>
        <v>2075.7993000000001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C2" sqref="C2:C27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0.7'!$D2</f>
        <v>21.01968359</v>
      </c>
      <c r="C2" s="15">
        <f>(B2+D2)/2</f>
        <v>19.905150389999999</v>
      </c>
      <c r="D2" s="15">
        <f>'FU 0.72'!$D2</f>
        <v>18.790617189999999</v>
      </c>
      <c r="E2" s="15">
        <f>'FU 0.73'!$D2</f>
        <v>17.676208039999999</v>
      </c>
      <c r="F2" s="15">
        <f>'FU 0.74'!$D2</f>
        <v>16.56188483</v>
      </c>
      <c r="G2" s="15">
        <f>'FU 0.75'!$D2</f>
        <v>15.44764943</v>
      </c>
      <c r="H2" s="15">
        <f>'FU 0.76'!$D2</f>
        <v>14.33350351</v>
      </c>
      <c r="I2" s="15">
        <f>'FU 0.77'!$D2</f>
        <v>13.219448529999999</v>
      </c>
      <c r="J2" s="15">
        <f>'FU 0.78'!$D2</f>
        <v>12.10548571</v>
      </c>
      <c r="K2" s="15">
        <f>'FU 0.79'!$D2</f>
        <v>10.99161608</v>
      </c>
      <c r="L2" s="15">
        <f>'FU 0.8'!$D2</f>
        <v>9.8778404349999995</v>
      </c>
      <c r="M2" s="15">
        <f>'FU 0.81'!$D2</f>
        <v>8.7641593570000005</v>
      </c>
      <c r="N2" s="15">
        <f>'FU 0.82'!$D2</f>
        <v>7.6505732030000004</v>
      </c>
      <c r="O2" s="15">
        <f>'FU 0.83'!$D2</f>
        <v>6.5370820859999998</v>
      </c>
      <c r="P2" s="15">
        <f>'FU 0.84'!$D2</f>
        <v>5.4236858699999999</v>
      </c>
      <c r="Q2" s="15">
        <f>'FU 0.85'!$D2</f>
        <v>4.3103841430000003</v>
      </c>
    </row>
    <row r="3" spans="1:17" x14ac:dyDescent="0.25">
      <c r="A3">
        <f>'FU 0.7'!A3</f>
        <v>0.61</v>
      </c>
      <c r="B3" s="15">
        <f>'FU 0.7'!$D3</f>
        <v>20.866772180000002</v>
      </c>
      <c r="C3" s="15">
        <f t="shared" ref="C3:C27" si="0">(B3+D3)/2</f>
        <v>19.750038610000001</v>
      </c>
      <c r="D3" s="15">
        <f>'FU 0.72'!$D3</f>
        <v>18.63330504</v>
      </c>
      <c r="E3" s="15">
        <f>'FU 0.73'!$D3</f>
        <v>17.51669485</v>
      </c>
      <c r="F3" s="15">
        <f>'FU 0.74'!$D3</f>
        <v>16.400170129999999</v>
      </c>
      <c r="G3" s="15">
        <f>'FU 0.75'!$D3</f>
        <v>15.283732710000001</v>
      </c>
      <c r="H3" s="15">
        <f>'FU 0.76'!$D3</f>
        <v>14.16738423</v>
      </c>
      <c r="I3" s="15">
        <f>'FU 0.77'!$D3</f>
        <v>13.05112608</v>
      </c>
      <c r="J3" s="15">
        <f>'FU 0.78'!$D3</f>
        <v>11.93495946</v>
      </c>
      <c r="K3" s="15">
        <f>'FU 0.79'!$D3</f>
        <v>10.81888532</v>
      </c>
      <c r="L3" s="15">
        <f>'FU 0.8'!$D3</f>
        <v>9.7029044070000001</v>
      </c>
      <c r="M3" s="15">
        <f>'FU 0.81'!$D3</f>
        <v>8.5870172480000004</v>
      </c>
      <c r="N3" s="15">
        <f>'FU 0.82'!$D3</f>
        <v>7.4712241209999997</v>
      </c>
      <c r="O3" s="15">
        <f>'FU 0.83'!$D3</f>
        <v>6.3555250650000001</v>
      </c>
      <c r="P3" s="15">
        <f>'FU 0.84'!$D3</f>
        <v>5.2399198489999996</v>
      </c>
      <c r="Q3" s="15">
        <f>'FU 0.85'!$D3</f>
        <v>4.124407959</v>
      </c>
    </row>
    <row r="4" spans="1:17" x14ac:dyDescent="0.25">
      <c r="A4">
        <f>'FU 0.7'!A4</f>
        <v>0.62</v>
      </c>
      <c r="B4" s="15">
        <f>'FU 0.7'!$D4</f>
        <v>20.713726269999999</v>
      </c>
      <c r="C4" s="15">
        <f t="shared" si="0"/>
        <v>19.594789075000001</v>
      </c>
      <c r="D4" s="15">
        <f>'FU 0.72'!$D4</f>
        <v>18.47585188</v>
      </c>
      <c r="E4" s="15">
        <f>'FU 0.73'!$D4</f>
        <v>17.357037330000001</v>
      </c>
      <c r="F4" s="15">
        <f>'FU 0.74'!$D4</f>
        <v>16.238307729999999</v>
      </c>
      <c r="G4" s="15">
        <f>'FU 0.75'!$D4</f>
        <v>15.11966486</v>
      </c>
      <c r="H4" s="15">
        <f>'FU 0.76'!$D4</f>
        <v>14.00111031</v>
      </c>
      <c r="I4" s="15">
        <f>'FU 0.77'!$D4</f>
        <v>12.88264543</v>
      </c>
      <c r="J4" s="15">
        <f>'FU 0.78'!$D4</f>
        <v>11.76427135</v>
      </c>
      <c r="K4" s="15">
        <f>'FU 0.79'!$D4</f>
        <v>10.64598898</v>
      </c>
      <c r="L4" s="15">
        <f>'FU 0.8'!$D4</f>
        <v>9.5277989949999995</v>
      </c>
      <c r="M4" s="15">
        <f>'FU 0.81'!$D4</f>
        <v>8.4097018479999992</v>
      </c>
      <c r="N4" s="15">
        <f>'FU 0.82'!$D4</f>
        <v>7.29169774</v>
      </c>
      <c r="O4" s="15">
        <f>'FU 0.83'!$D4</f>
        <v>6.1737866190000004</v>
      </c>
      <c r="P4" s="15">
        <f>'FU 0.84'!$D4</f>
        <v>5.0559681550000004</v>
      </c>
      <c r="Q4" s="15">
        <f>'FU 0.85'!$D4</f>
        <v>3.9382417140000001</v>
      </c>
    </row>
    <row r="5" spans="1:17" x14ac:dyDescent="0.25">
      <c r="A5">
        <f>'FU 0.7'!A5</f>
        <v>0.63</v>
      </c>
      <c r="B5" s="15">
        <f>'FU 0.7'!$D5</f>
        <v>20.560534749999999</v>
      </c>
      <c r="C5" s="15">
        <f t="shared" si="0"/>
        <v>19.43938971</v>
      </c>
      <c r="D5" s="15">
        <f>'FU 0.72'!$D5</f>
        <v>18.318244669999999</v>
      </c>
      <c r="E5" s="15">
        <f>'FU 0.73'!$D5</f>
        <v>17.19722208</v>
      </c>
      <c r="F5" s="15">
        <f>'FU 0.74'!$D5</f>
        <v>16.07628386</v>
      </c>
      <c r="G5" s="15">
        <f>'FU 0.75'!$D5</f>
        <v>14.95543174</v>
      </c>
      <c r="H5" s="15">
        <f>'FU 0.76'!$D5</f>
        <v>13.83466724</v>
      </c>
      <c r="I5" s="15">
        <f>'FU 0.77'!$D5</f>
        <v>12.71399167</v>
      </c>
      <c r="J5" s="15">
        <f>'FU 0.78'!$D5</f>
        <v>11.59340609</v>
      </c>
      <c r="K5" s="15">
        <f>'FU 0.79'!$D5</f>
        <v>10.47291135</v>
      </c>
      <c r="L5" s="15">
        <f>'FU 0.8'!$D5</f>
        <v>9.3525080579999997</v>
      </c>
      <c r="M5" s="15">
        <f>'FU 0.81'!$D5</f>
        <v>8.2321965749999997</v>
      </c>
      <c r="N5" s="15">
        <f>'FU 0.82'!$D5</f>
        <v>7.1119770190000002</v>
      </c>
      <c r="O5" s="15">
        <f>'FU 0.83'!$D5</f>
        <v>5.9918492350000001</v>
      </c>
      <c r="P5" s="15">
        <f>'FU 0.84'!$D5</f>
        <v>4.8718127779999998</v>
      </c>
      <c r="Q5" s="15">
        <f>'FU 0.85'!$D5</f>
        <v>3.7518682860000001</v>
      </c>
    </row>
    <row r="6" spans="1:17" x14ac:dyDescent="0.25">
      <c r="A6">
        <f>'FU 0.7'!A6</f>
        <v>0.64</v>
      </c>
      <c r="B6" s="15">
        <f>'FU 0.7'!$D6</f>
        <v>20.407181189999999</v>
      </c>
      <c r="C6" s="15">
        <f t="shared" si="0"/>
        <v>19.283824920000001</v>
      </c>
      <c r="D6" s="15">
        <f>'FU 0.72'!$D6</f>
        <v>18.160468649999999</v>
      </c>
      <c r="E6" s="15">
        <f>'FU 0.73'!$D6</f>
        <v>17.037233959999998</v>
      </c>
      <c r="F6" s="15">
        <f>'FU 0.74'!$D6</f>
        <v>15.91408296</v>
      </c>
      <c r="G6" s="15">
        <f>'FU 0.75'!$D6</f>
        <v>14.79101736</v>
      </c>
      <c r="H6" s="15">
        <f>'FU 0.76'!$D6</f>
        <v>13.668038599999999</v>
      </c>
      <c r="I6" s="15">
        <f>'FU 0.77'!$D6</f>
        <v>12.54514794</v>
      </c>
      <c r="J6" s="15">
        <f>'FU 0.78'!$D6</f>
        <v>11.422346360000001</v>
      </c>
      <c r="K6" s="15">
        <f>'FU 0.79'!$D6</f>
        <v>10.29963465</v>
      </c>
      <c r="L6" s="15">
        <f>'FU 0.8'!$D6</f>
        <v>9.1770133109999996</v>
      </c>
      <c r="M6" s="15">
        <f>'FU 0.81'!$D6</f>
        <v>8.0544826369999996</v>
      </c>
      <c r="N6" s="15">
        <f>'FU 0.82'!$D6</f>
        <v>6.9320426350000002</v>
      </c>
      <c r="O6" s="15">
        <f>'FU 0.83'!$D6</f>
        <v>5.8096930389999999</v>
      </c>
      <c r="P6" s="15">
        <f>'FU 0.84'!$D6</f>
        <v>4.6874332709999997</v>
      </c>
      <c r="Q6" s="15">
        <f>'FU 0.85'!$D6</f>
        <v>3.5652639449999999</v>
      </c>
    </row>
    <row r="7" spans="1:17" x14ac:dyDescent="0.25">
      <c r="A7">
        <f>'FU 0.7'!A7</f>
        <v>0.65</v>
      </c>
      <c r="B7" s="15">
        <f>'FU 0.7'!$D7</f>
        <v>20.253650969999999</v>
      </c>
      <c r="C7" s="15">
        <f t="shared" si="0"/>
        <v>19.128079045</v>
      </c>
      <c r="D7" s="15">
        <f>'FU 0.72'!$D7</f>
        <v>18.002507120000001</v>
      </c>
      <c r="E7" s="15">
        <f>'FU 0.73'!$D7</f>
        <v>16.877055779999999</v>
      </c>
      <c r="F7" s="15">
        <f>'FU 0.74'!$D7</f>
        <v>15.7516874</v>
      </c>
      <c r="G7" s="15">
        <f>'FU 0.75'!$D7</f>
        <v>14.6264036</v>
      </c>
      <c r="H7" s="15">
        <f>'FU 0.76'!$D7</f>
        <v>13.501205779999999</v>
      </c>
      <c r="I7" s="15">
        <f>'FU 0.77'!$D7</f>
        <v>12.376095100000001</v>
      </c>
      <c r="J7" s="15">
        <f>'FU 0.78'!$D7</f>
        <v>11.25107249</v>
      </c>
      <c r="K7" s="15">
        <f>'FU 0.79'!$D7</f>
        <v>10.12613863</v>
      </c>
      <c r="L7" s="15">
        <f>'FU 0.8'!$D7</f>
        <v>9.0012939579999998</v>
      </c>
      <c r="M7" s="15">
        <f>'FU 0.81'!$D7</f>
        <v>7.876538644</v>
      </c>
      <c r="N7" s="15">
        <f>'FU 0.82'!$D7</f>
        <v>6.7518725850000001</v>
      </c>
      <c r="O7" s="15">
        <f>'FU 0.83'!$D7</f>
        <v>5.6272953829999999</v>
      </c>
      <c r="P7" s="15">
        <f>'FU 0.84'!$D7</f>
        <v>4.5028063109999996</v>
      </c>
      <c r="Q7" s="15">
        <f>'FU 0.85'!$D7</f>
        <v>3.378405957</v>
      </c>
    </row>
    <row r="8" spans="1:17" x14ac:dyDescent="0.25">
      <c r="A8">
        <f>'FU 0.7'!A8</f>
        <v>0.66</v>
      </c>
      <c r="B8" s="15">
        <f>'FU 0.7'!$D8</f>
        <v>20.099926109999998</v>
      </c>
      <c r="C8" s="15">
        <f t="shared" si="0"/>
        <v>18.972133599999999</v>
      </c>
      <c r="D8" s="15">
        <f>'FU 0.72'!$D8</f>
        <v>17.84434109</v>
      </c>
      <c r="E8" s="15">
        <f>'FU 0.73'!$D8</f>
        <v>16.716668030000001</v>
      </c>
      <c r="F8" s="15">
        <f>'FU 0.74'!$D8</f>
        <v>15.58907709</v>
      </c>
      <c r="G8" s="15">
        <f>'FU 0.75'!$D8</f>
        <v>14.46156981</v>
      </c>
      <c r="H8" s="15">
        <f>'FU 0.76'!$D8</f>
        <v>13.334147529999999</v>
      </c>
      <c r="I8" s="15">
        <f>'FU 0.77'!$D8</f>
        <v>12.20681132</v>
      </c>
      <c r="J8" s="15">
        <f>'FU 0.78'!$D8</f>
        <v>11.079562019999999</v>
      </c>
      <c r="K8" s="15">
        <f>'FU 0.79'!$D8</f>
        <v>9.9524002150000008</v>
      </c>
      <c r="L8" s="15">
        <f>'FU 0.8'!$D8</f>
        <v>8.8253262370000005</v>
      </c>
      <c r="M8" s="15">
        <f>'FU 0.81'!$D8</f>
        <v>7.69834014</v>
      </c>
      <c r="N8" s="15">
        <f>'FU 0.82'!$D8</f>
        <v>6.5714416890000003</v>
      </c>
      <c r="O8" s="15">
        <f>'FU 0.83'!$D8</f>
        <v>5.4446303330000001</v>
      </c>
      <c r="P8" s="15">
        <f>'FU 0.84'!$D8</f>
        <v>4.3179067120000001</v>
      </c>
      <c r="Q8" s="15">
        <f>'FU 0.85'!$D8</f>
        <v>3.1912667689999998</v>
      </c>
    </row>
    <row r="9" spans="1:17" x14ac:dyDescent="0.25">
      <c r="A9">
        <f>'FU 0.7'!A9</f>
        <v>0.67</v>
      </c>
      <c r="B9" s="15">
        <f>'FU 0.7'!$D9</f>
        <v>19.945986080000001</v>
      </c>
      <c r="C9" s="15">
        <f t="shared" si="0"/>
        <v>18.815967450000002</v>
      </c>
      <c r="D9" s="15">
        <f>'FU 0.72'!$D9</f>
        <v>17.68594882</v>
      </c>
      <c r="E9" s="15">
        <f>'FU 0.73'!$D9</f>
        <v>16.556048359999998</v>
      </c>
      <c r="F9" s="15">
        <f>'FU 0.74'!$D9</f>
        <v>15.426229040000001</v>
      </c>
      <c r="G9" s="15">
        <f>'FU 0.75'!$D9</f>
        <v>14.29649236</v>
      </c>
      <c r="H9" s="15">
        <f>'FU 0.76'!$D9</f>
        <v>13.16683954</v>
      </c>
      <c r="I9" s="15">
        <f>'FU 0.77'!$D9</f>
        <v>12.037271580000001</v>
      </c>
      <c r="J9" s="15">
        <f>'FU 0.78'!$D9</f>
        <v>10.9077892</v>
      </c>
      <c r="K9" s="15">
        <f>'FU 0.79'!$D9</f>
        <v>9.7783928959999997</v>
      </c>
      <c r="L9" s="15">
        <f>'FU 0.8'!$D9</f>
        <v>8.6490828640000004</v>
      </c>
      <c r="M9" s="15">
        <f>'FU 0.81'!$D9</f>
        <v>7.5198590259999998</v>
      </c>
      <c r="N9" s="15">
        <f>'FU 0.82'!$D9</f>
        <v>6.3907209939999996</v>
      </c>
      <c r="O9" s="15">
        <f>'FU 0.83'!$D9</f>
        <v>5.2616680430000002</v>
      </c>
      <c r="P9" s="15">
        <f>'FU 0.84'!$D9</f>
        <v>4.1327007719999997</v>
      </c>
      <c r="Q9" s="15">
        <f>'FU 0.85'!$D9</f>
        <v>3.0038146120000002</v>
      </c>
    </row>
    <row r="10" spans="1:17" x14ac:dyDescent="0.25">
      <c r="A10">
        <f>'FU 0.7'!A10</f>
        <v>0.68</v>
      </c>
      <c r="B10" s="15">
        <f>'FU 0.7'!$D10</f>
        <v>19.79180736</v>
      </c>
      <c r="C10" s="15">
        <f t="shared" si="0"/>
        <v>18.659556375000001</v>
      </c>
      <c r="D10" s="15">
        <f>'FU 0.72'!$D10</f>
        <v>17.527305389999999</v>
      </c>
      <c r="E10" s="15">
        <f>'FU 0.73'!$D10</f>
        <v>16.395171090000002</v>
      </c>
      <c r="F10" s="15">
        <f>'FU 0.74'!$D10</f>
        <v>15.263116849999999</v>
      </c>
      <c r="G10" s="15">
        <f>'FU 0.75'!$D10</f>
        <v>14.13114405</v>
      </c>
      <c r="H10" s="15">
        <f>'FU 0.76'!$D10</f>
        <v>12.999253830000001</v>
      </c>
      <c r="I10" s="15">
        <f>'FU 0.77'!$D10</f>
        <v>11.86744706</v>
      </c>
      <c r="J10" s="15">
        <f>'FU 0.78'!$D10</f>
        <v>10.73572437</v>
      </c>
      <c r="K10" s="15">
        <f>'FU 0.79'!$D10</f>
        <v>9.6040861080000006</v>
      </c>
      <c r="L10" s="15">
        <f>'FU 0.8'!$D10</f>
        <v>8.4725323439999993</v>
      </c>
      <c r="M10" s="15">
        <f>'FU 0.81'!$D10</f>
        <v>7.341062838</v>
      </c>
      <c r="N10" s="15">
        <f>'FU 0.82'!$D10</f>
        <v>6.2096770230000002</v>
      </c>
      <c r="O10" s="15">
        <f>'FU 0.83'!$D10</f>
        <v>5.0783755570000002</v>
      </c>
      <c r="P10" s="15">
        <f>'FU 0.84'!$D10</f>
        <v>3.947154238</v>
      </c>
      <c r="Q10" s="15">
        <f>'FU 0.85'!$D10</f>
        <v>2.8160126490000001</v>
      </c>
    </row>
    <row r="11" spans="1:17" x14ac:dyDescent="0.25">
      <c r="A11">
        <f>'FU 0.7'!A11</f>
        <v>0.69</v>
      </c>
      <c r="B11" s="15">
        <f>'FU 0.7'!$D11</f>
        <v>19.637362799999998</v>
      </c>
      <c r="C11" s="15">
        <f t="shared" si="0"/>
        <v>18.502872400000001</v>
      </c>
      <c r="D11" s="15">
        <f>'FU 0.72'!$D11</f>
        <v>17.368382</v>
      </c>
      <c r="E11" s="15">
        <f>'FU 0.73'!$D11</f>
        <v>16.234006600000001</v>
      </c>
      <c r="F11" s="15">
        <f>'FU 0.74'!$D11</f>
        <v>15.099709989999999</v>
      </c>
      <c r="G11" s="15">
        <f>'FU 0.75'!$D11</f>
        <v>13.965493439999999</v>
      </c>
      <c r="H11" s="15">
        <f>'FU 0.76'!$D11</f>
        <v>12.831357990000001</v>
      </c>
      <c r="I11" s="15">
        <f>'FU 0.77'!$D11</f>
        <v>11.697304389999999</v>
      </c>
      <c r="J11" s="15">
        <f>'FU 0.78'!$D11</f>
        <v>10.563333119999999</v>
      </c>
      <c r="K11" s="15">
        <f>'FU 0.79'!$D11</f>
        <v>9.4294443989999994</v>
      </c>
      <c r="L11" s="15">
        <f>'FU 0.8'!$D11</f>
        <v>8.2956381179999994</v>
      </c>
      <c r="M11" s="15">
        <f>'FU 0.81'!$D11</f>
        <v>7.1619138580000001</v>
      </c>
      <c r="N11" s="15">
        <f>'FU 0.82'!$D11</f>
        <v>6.0282708449999998</v>
      </c>
      <c r="O11" s="15">
        <f>'FU 0.83'!$D11</f>
        <v>4.8947096749999996</v>
      </c>
      <c r="P11" s="15">
        <f>'FU 0.84'!$D11</f>
        <v>3.7612255569999999</v>
      </c>
      <c r="Q11" s="15">
        <f>'FU 0.85'!$D11</f>
        <v>2.6278178990000001</v>
      </c>
    </row>
    <row r="12" spans="1:17" x14ac:dyDescent="0.25">
      <c r="A12">
        <f>'FU 0.7'!A12</f>
        <v>0.7</v>
      </c>
      <c r="B12" s="15">
        <f>'FU 0.7'!$D12</f>
        <v>19.482620919999999</v>
      </c>
      <c r="C12" s="15">
        <f t="shared" si="0"/>
        <v>18.345883084999997</v>
      </c>
      <c r="D12" s="15">
        <f>'FU 0.72'!$D12</f>
        <v>17.209145249999999</v>
      </c>
      <c r="E12" s="15">
        <f>'FU 0.73'!$D12</f>
        <v>16.072520440000002</v>
      </c>
      <c r="F12" s="15">
        <f>'FU 0.74'!$D12</f>
        <v>14.93597295</v>
      </c>
      <c r="G12" s="15">
        <f>'FU 0.75'!$D12</f>
        <v>13.79950395</v>
      </c>
      <c r="H12" s="15">
        <f>'FU 0.76'!$D12</f>
        <v>12.663114330000001</v>
      </c>
      <c r="I12" s="15">
        <f>'FU 0.77'!$D12</f>
        <v>11.526804690000001</v>
      </c>
      <c r="J12" s="15">
        <f>'FU 0.78'!$D12</f>
        <v>10.39057536</v>
      </c>
      <c r="K12" s="15">
        <f>'FU 0.79'!$D12</f>
        <v>9.2544263929999993</v>
      </c>
      <c r="L12" s="15">
        <f>'FU 0.8'!$D12</f>
        <v>8.1183574790000002</v>
      </c>
      <c r="M12" s="15">
        <f>'FU 0.81'!$D12</f>
        <v>6.9823679839999997</v>
      </c>
      <c r="N12" s="15">
        <f>'FU 0.82'!$D12</f>
        <v>5.8464585619999996</v>
      </c>
      <c r="O12" s="15">
        <f>'FU 0.83'!$D12</f>
        <v>4.710624717</v>
      </c>
      <c r="P12" s="15">
        <f>'FU 0.84'!$D12</f>
        <v>3.574865977</v>
      </c>
      <c r="Q12" s="15">
        <f>'FU 0.85'!$D12</f>
        <v>2.439179872</v>
      </c>
    </row>
    <row r="13" spans="1:17" x14ac:dyDescent="0.25">
      <c r="A13">
        <f>'FU 0.7'!A13</f>
        <v>0.71</v>
      </c>
      <c r="B13" s="15">
        <f>'FU 0.7'!$D13</f>
        <v>19.327545019999999</v>
      </c>
      <c r="C13" s="15">
        <f t="shared" si="0"/>
        <v>18.188550554999999</v>
      </c>
      <c r="D13" s="15">
        <f>'FU 0.72'!$D13</f>
        <v>17.049556089999999</v>
      </c>
      <c r="E13" s="15">
        <f>'FU 0.73'!$D13</f>
        <v>15.91067236</v>
      </c>
      <c r="F13" s="15">
        <f>'FU 0.74'!$D13</f>
        <v>14.77186425</v>
      </c>
      <c r="G13" s="15">
        <f>'FU 0.75'!$D13</f>
        <v>13.63313277</v>
      </c>
      <c r="H13" s="15">
        <f>'FU 0.76'!$D13</f>
        <v>12.49447866</v>
      </c>
      <c r="I13" s="15">
        <f>'FU 0.77'!$D13</f>
        <v>11.35590236</v>
      </c>
      <c r="J13" s="15">
        <f>'FU 0.78'!$D13</f>
        <v>10.217404030000001</v>
      </c>
      <c r="K13" s="15">
        <f>'FU 0.79'!$D13</f>
        <v>9.0789834789999997</v>
      </c>
      <c r="L13" s="15">
        <f>'FU 0.8'!$D13</f>
        <v>7.9406401979999996</v>
      </c>
      <c r="M13" s="15">
        <f>'FU 0.81'!$D13</f>
        <v>6.802373287</v>
      </c>
      <c r="N13" s="15">
        <f>'FU 0.82'!$D13</f>
        <v>5.6641833149999998</v>
      </c>
      <c r="O13" s="15">
        <f>'FU 0.83'!$D13</f>
        <v>4.5260650770000002</v>
      </c>
      <c r="P13" s="15">
        <f>'FU 0.84'!$D13</f>
        <v>3.3880178860000001</v>
      </c>
      <c r="Q13" s="15">
        <f>'FU 0.85'!$D13</f>
        <v>2.250038811</v>
      </c>
    </row>
    <row r="14" spans="1:17" x14ac:dyDescent="0.25">
      <c r="A14">
        <f>'FU 0.7'!A14</f>
        <v>0.72</v>
      </c>
      <c r="B14" s="15">
        <f>'FU 0.7'!$D14</f>
        <v>19.17209201</v>
      </c>
      <c r="C14" s="15">
        <f t="shared" si="0"/>
        <v>18.030830325</v>
      </c>
      <c r="D14" s="15">
        <f>'FU 0.72'!$D14</f>
        <v>16.88956864</v>
      </c>
      <c r="E14" s="15">
        <f>'FU 0.73'!$D14</f>
        <v>15.748414990000001</v>
      </c>
      <c r="F14" s="15">
        <f>'FU 0.74'!$D14</f>
        <v>14.60733497</v>
      </c>
      <c r="G14" s="15">
        <f>'FU 0.75'!$D14</f>
        <v>13.46632941</v>
      </c>
      <c r="H14" s="15">
        <f>'FU 0.76'!$D14</f>
        <v>12.32539886</v>
      </c>
      <c r="I14" s="15">
        <f>'FU 0.77'!$D14</f>
        <v>11.18454356</v>
      </c>
      <c r="J14" s="15">
        <f>'FU 0.78'!$D14</f>
        <v>10.043763459999999</v>
      </c>
      <c r="K14" s="15">
        <f>'FU 0.79'!$D14</f>
        <v>8.9030581219999991</v>
      </c>
      <c r="L14" s="15">
        <f>'FU 0.8'!$D14</f>
        <v>7.7624267590000002</v>
      </c>
      <c r="M14" s="15">
        <f>'FU 0.81'!$D14</f>
        <v>6.6218699819999998</v>
      </c>
      <c r="N14" s="15">
        <f>'FU 0.82'!$D14</f>
        <v>5.4813827970000002</v>
      </c>
      <c r="O14" s="15">
        <f>'FU 0.83'!$D14</f>
        <v>4.3409646080000002</v>
      </c>
      <c r="P14" s="15">
        <f>'FU 0.84'!$D14</f>
        <v>3.200612638</v>
      </c>
      <c r="Q14" s="15">
        <f>'FU 0.85'!$D14</f>
        <v>2.0603234000000001</v>
      </c>
    </row>
    <row r="15" spans="1:17" x14ac:dyDescent="0.25">
      <c r="A15">
        <f>'FU 0.7'!A15</f>
        <v>0.73</v>
      </c>
      <c r="B15" s="15">
        <f>'FU 0.7'!$D15</f>
        <v>19.016210919999999</v>
      </c>
      <c r="C15" s="15">
        <f t="shared" si="0"/>
        <v>17.872669725000002</v>
      </c>
      <c r="D15" s="15">
        <f>'FU 0.72'!$D15</f>
        <v>16.729128530000001</v>
      </c>
      <c r="E15" s="15">
        <f>'FU 0.73'!$D15</f>
        <v>15.5856922</v>
      </c>
      <c r="F15" s="15">
        <f>'FU 0.74'!$D15</f>
        <v>14.44232712</v>
      </c>
      <c r="G15" s="15">
        <f>'FU 0.75'!$D15</f>
        <v>13.299033919999999</v>
      </c>
      <c r="H15" s="15">
        <f>'FU 0.76'!$D15</f>
        <v>12.15581295</v>
      </c>
      <c r="I15" s="15">
        <f>'FU 0.77'!$D15</f>
        <v>11.0126642</v>
      </c>
      <c r="J15" s="15">
        <f>'FU 0.78'!$D15</f>
        <v>9.8695873499999998</v>
      </c>
      <c r="K15" s="15">
        <f>'FU 0.79'!$D15</f>
        <v>8.7265816760000003</v>
      </c>
      <c r="L15" s="15">
        <f>'FU 0.8'!$D15</f>
        <v>7.583646055</v>
      </c>
      <c r="M15" s="15">
        <f>'FU 0.81'!$D15</f>
        <v>6.440780975</v>
      </c>
      <c r="N15" s="15">
        <f>'FU 0.82'!$D15</f>
        <v>5.2979805600000001</v>
      </c>
      <c r="O15" s="15">
        <f>'FU 0.83'!$D15</f>
        <v>4.1552439249999997</v>
      </c>
      <c r="P15" s="15">
        <f>'FU 0.84'!$D15</f>
        <v>3.0125677130000001</v>
      </c>
      <c r="Q15" s="15">
        <f>'FU 0.85'!$D15</f>
        <v>1.869947748</v>
      </c>
    </row>
    <row r="16" spans="1:17" x14ac:dyDescent="0.25">
      <c r="A16">
        <f>'FU 0.7'!A16</f>
        <v>0.74</v>
      </c>
      <c r="B16" s="15">
        <f>'FU 0.7'!$D16</f>
        <v>18.85984101</v>
      </c>
      <c r="C16" s="15">
        <f t="shared" si="0"/>
        <v>17.71400594</v>
      </c>
      <c r="D16" s="15">
        <f>'FU 0.72'!$D16</f>
        <v>16.568170869999999</v>
      </c>
      <c r="E16" s="15">
        <f>'FU 0.73'!$D16</f>
        <v>15.422436859999999</v>
      </c>
      <c r="F16" s="15">
        <f>'FU 0.74'!$D16</f>
        <v>14.276771269999999</v>
      </c>
      <c r="G16" s="15">
        <f>'FU 0.75'!$D16</f>
        <v>13.131174489999999</v>
      </c>
      <c r="H16" s="15">
        <f>'FU 0.76'!$D16</f>
        <v>11.985646600000001</v>
      </c>
      <c r="I16" s="15">
        <f>'FU 0.77'!$D16</f>
        <v>10.840187309999999</v>
      </c>
      <c r="J16" s="15">
        <f>'FU 0.78'!$D16</f>
        <v>9.6947959679999993</v>
      </c>
      <c r="K16" s="15">
        <f>'FU 0.79'!$D16</f>
        <v>8.5494714920000003</v>
      </c>
      <c r="L16" s="15">
        <f>'FU 0.8'!$D16</f>
        <v>7.4042143930000002</v>
      </c>
      <c r="M16" s="15">
        <f>'FU 0.81'!$D16</f>
        <v>6.2590188820000003</v>
      </c>
      <c r="N16" s="15">
        <f>'FU 0.82'!$D16</f>
        <v>5.113884122</v>
      </c>
      <c r="O16" s="15">
        <f>'FU 0.83'!$D16</f>
        <v>3.9688068240000001</v>
      </c>
      <c r="P16" s="15">
        <f>'FU 0.84'!$D16</f>
        <v>2.8237829059999999</v>
      </c>
      <c r="Q16" s="15">
        <f>'FU 0.85'!$D16</f>
        <v>1.6788073269999999</v>
      </c>
    </row>
    <row r="17" spans="1:17" x14ac:dyDescent="0.25">
      <c r="A17">
        <f>'FU 0.7'!A17</f>
        <v>0.75</v>
      </c>
      <c r="B17" s="15">
        <f>'FU 0.7'!$D17</f>
        <v>18.702909269999999</v>
      </c>
      <c r="C17" s="15">
        <f t="shared" si="0"/>
        <v>17.554763359999999</v>
      </c>
      <c r="D17" s="15">
        <f>'FU 0.72'!$D17</f>
        <v>16.406617449999999</v>
      </c>
      <c r="E17" s="15">
        <f>'FU 0.73'!$D17</f>
        <v>15.258568029999999</v>
      </c>
      <c r="F17" s="15">
        <f>'FU 0.74'!$D17</f>
        <v>14.110583610000001</v>
      </c>
      <c r="G17" s="15">
        <f>'FU 0.75'!$D17</f>
        <v>12.9626643</v>
      </c>
      <c r="H17" s="15">
        <f>'FU 0.76'!$D17</f>
        <v>11.814809840000001</v>
      </c>
      <c r="I17" s="15">
        <f>'FU 0.77'!$D17</f>
        <v>10.6670196</v>
      </c>
      <c r="J17" s="15">
        <f>'FU 0.78'!$D17</f>
        <v>9.5192925119999998</v>
      </c>
      <c r="K17" s="15">
        <f>'FU 0.79'!$D17</f>
        <v>8.3716291030000001</v>
      </c>
      <c r="L17" s="15">
        <f>'FU 0.8'!$D17</f>
        <v>7.2240235730000002</v>
      </c>
      <c r="M17" s="15">
        <f>'FU 0.81'!$D17</f>
        <v>6.0764751009999998</v>
      </c>
      <c r="N17" s="15">
        <f>'FU 0.82'!$D17</f>
        <v>4.9289804070000001</v>
      </c>
      <c r="O17" s="15">
        <f>'FU 0.83'!$D17</f>
        <v>3.781535425</v>
      </c>
      <c r="P17" s="15">
        <f>'FU 0.84'!$D17</f>
        <v>2.6341351510000002</v>
      </c>
      <c r="Q17" s="15">
        <f>'FU 0.85'!$D17</f>
        <v>1.4867734429999999</v>
      </c>
    </row>
    <row r="18" spans="1:17" x14ac:dyDescent="0.25">
      <c r="A18">
        <f>'FU 0.7'!A18</f>
        <v>0.76</v>
      </c>
      <c r="B18" s="15">
        <f>'FU 0.7'!$D18</f>
        <v>18.545327050000001</v>
      </c>
      <c r="C18" s="15">
        <f t="shared" si="0"/>
        <v>17.394850095000002</v>
      </c>
      <c r="D18" s="15">
        <f>'FU 0.72'!$D18</f>
        <v>16.24437314</v>
      </c>
      <c r="E18" s="15">
        <f>'FU 0.73'!$D18</f>
        <v>15.093987090000001</v>
      </c>
      <c r="F18" s="15">
        <f>'FU 0.74'!$D18</f>
        <v>13.943661880000001</v>
      </c>
      <c r="G18" s="15">
        <f>'FU 0.75'!$D18</f>
        <v>12.793397260000001</v>
      </c>
      <c r="H18" s="15">
        <f>'FU 0.76'!$D18</f>
        <v>11.64319257</v>
      </c>
      <c r="I18" s="15">
        <f>'FU 0.77'!$D18</f>
        <v>10.49304671</v>
      </c>
      <c r="J18" s="15">
        <f>'FU 0.78'!$D18</f>
        <v>9.3429581469999992</v>
      </c>
      <c r="K18" s="15">
        <f>'FU 0.79'!$D18</f>
        <v>8.1929271569999997</v>
      </c>
      <c r="L18" s="15">
        <f>'FU 0.8'!$D18</f>
        <v>7.0429467060000004</v>
      </c>
      <c r="M18" s="15">
        <f>'FU 0.81'!$D18</f>
        <v>5.8930155190000004</v>
      </c>
      <c r="N18" s="15">
        <f>'FU 0.82'!$D18</f>
        <v>4.7431294639999999</v>
      </c>
      <c r="O18" s="15">
        <f>'FU 0.83'!$D18</f>
        <v>3.593283472</v>
      </c>
      <c r="P18" s="15">
        <f>'FU 0.84'!$D18</f>
        <v>2.4434713499999998</v>
      </c>
      <c r="Q18" s="15">
        <f>'FU 0.85'!$D18</f>
        <v>1.2936855229999999</v>
      </c>
    </row>
    <row r="19" spans="1:17" x14ac:dyDescent="0.25">
      <c r="A19">
        <f>'FU 0.7'!A19</f>
        <v>0.77</v>
      </c>
      <c r="B19" s="15">
        <f>'FU 0.7'!$D19</f>
        <v>18.38698557</v>
      </c>
      <c r="C19" s="15">
        <f t="shared" si="0"/>
        <v>17.234153214999999</v>
      </c>
      <c r="D19" s="15">
        <f>'FU 0.72'!$D19</f>
        <v>16.081320860000002</v>
      </c>
      <c r="E19" s="15">
        <f>'FU 0.73'!$D19</f>
        <v>14.92857253</v>
      </c>
      <c r="F19" s="15">
        <f>'FU 0.74'!$D19</f>
        <v>13.7758799</v>
      </c>
      <c r="G19" s="15">
        <f>'FU 0.75'!$D19</f>
        <v>12.62324227</v>
      </c>
      <c r="H19" s="15">
        <f>'FU 0.76'!$D19</f>
        <v>11.47065845</v>
      </c>
      <c r="I19" s="15">
        <f>'FU 0.77'!$D19</f>
        <v>10.318126810000001</v>
      </c>
      <c r="J19" s="15">
        <f>'FU 0.78'!$D19</f>
        <v>9.1656475769999997</v>
      </c>
      <c r="K19" s="15">
        <f>'FU 0.79'!$D19</f>
        <v>8.0132134740000005</v>
      </c>
      <c r="L19" s="15">
        <f>'FU 0.8'!$D19</f>
        <v>6.8608231430000002</v>
      </c>
      <c r="M19" s="15">
        <f>'FU 0.81'!$D19</f>
        <v>5.7084722880000003</v>
      </c>
      <c r="N19" s="15">
        <f>'FU 0.82'!$D19</f>
        <v>4.5561556660000004</v>
      </c>
      <c r="O19" s="15">
        <f>'FU 0.83'!$D19</f>
        <v>3.4038668940000001</v>
      </c>
      <c r="P19" s="15">
        <f>'FU 0.84'!$D19</f>
        <v>2.251598204</v>
      </c>
      <c r="Q19" s="15">
        <f>'FU 0.85'!$D19</f>
        <v>1.0993401140000001</v>
      </c>
    </row>
    <row r="20" spans="1:17" x14ac:dyDescent="0.25">
      <c r="A20">
        <f>'FU 0.7'!A20</f>
        <v>0.78</v>
      </c>
      <c r="B20" s="15">
        <f>'FU 0.7'!$D20</f>
        <v>18.227749710000001</v>
      </c>
      <c r="C20" s="15">
        <f t="shared" si="0"/>
        <v>17.072532225</v>
      </c>
      <c r="D20" s="15">
        <f>'FU 0.72'!$D20</f>
        <v>15.91731474</v>
      </c>
      <c r="E20" s="15">
        <f>'FU 0.73'!$D20</f>
        <v>14.76217267</v>
      </c>
      <c r="F20" s="15">
        <f>'FU 0.74'!$D20</f>
        <v>13.607079880000001</v>
      </c>
      <c r="G20" s="15">
        <f>'FU 0.75'!$D20</f>
        <v>12.452035049999999</v>
      </c>
      <c r="H20" s="15">
        <f>'FU 0.76'!$D20</f>
        <v>11.29703636</v>
      </c>
      <c r="I20" s="15">
        <f>'FU 0.77'!$D20</f>
        <v>10.14208395</v>
      </c>
      <c r="J20" s="15">
        <f>'FU 0.78'!$D20</f>
        <v>8.9871701559999995</v>
      </c>
      <c r="K20" s="15">
        <f>'FU 0.79'!$D20</f>
        <v>7.8322934499999999</v>
      </c>
      <c r="L20" s="15">
        <f>'FU 0.8'!$D20</f>
        <v>6.677449266</v>
      </c>
      <c r="M20" s="15">
        <f>'FU 0.81'!$D20</f>
        <v>5.522632046</v>
      </c>
      <c r="N20" s="15">
        <f>'FU 0.82'!$D20</f>
        <v>4.3678350589999999</v>
      </c>
      <c r="O20" s="15">
        <f>'FU 0.83'!$D20</f>
        <v>3.2130501520000001</v>
      </c>
      <c r="P20" s="15">
        <f>'FU 0.84'!$D20</f>
        <v>2.0582674220000001</v>
      </c>
      <c r="Q20" s="15">
        <f>'FU 0.85'!$D20</f>
        <v>0.90347477769999995</v>
      </c>
    </row>
    <row r="21" spans="1:17" x14ac:dyDescent="0.25">
      <c r="A21">
        <f>'FU 0.7'!A21</f>
        <v>0.79</v>
      </c>
      <c r="B21" s="15">
        <f>'FU 0.7'!$D21</f>
        <v>18.067449249999999</v>
      </c>
      <c r="C21" s="15">
        <f t="shared" si="0"/>
        <v>16.909809814999999</v>
      </c>
      <c r="D21" s="15">
        <f>'FU 0.72'!$D21</f>
        <v>15.752170380000001</v>
      </c>
      <c r="E21" s="15">
        <f>'FU 0.73'!$D21</f>
        <v>14.594595419999999</v>
      </c>
      <c r="F21" s="15">
        <f>'FU 0.74'!$D21</f>
        <v>13.43706154</v>
      </c>
      <c r="G21" s="15">
        <f>'FU 0.75'!$D21</f>
        <v>12.27956665</v>
      </c>
      <c r="H21" s="15">
        <f>'FU 0.76'!$D21</f>
        <v>11.122110729999999</v>
      </c>
      <c r="I21" s="15">
        <f>'FU 0.77'!$D21</f>
        <v>9.9646855090000006</v>
      </c>
      <c r="J21" s="15">
        <f>'FU 0.78'!$D21</f>
        <v>8.8072892280000001</v>
      </c>
      <c r="K21" s="15">
        <f>'FU 0.79'!$D21</f>
        <v>7.6499168900000001</v>
      </c>
      <c r="L21" s="15">
        <f>'FU 0.8'!$D21</f>
        <v>6.4925624529999997</v>
      </c>
      <c r="M21" s="15">
        <f>'FU 0.81'!$D21</f>
        <v>5.3352186369999997</v>
      </c>
      <c r="N21" s="15">
        <f>'FU 0.82'!$D21</f>
        <v>4.1778766650000003</v>
      </c>
      <c r="O21" s="15">
        <f>'FU 0.83'!$D21</f>
        <v>3.0205259280000001</v>
      </c>
      <c r="P21" s="15">
        <f>'FU 0.84'!$D21</f>
        <v>1.863153539</v>
      </c>
      <c r="Q21" s="15">
        <f>'FU 0.85'!$D21</f>
        <v>0.70574371570000005</v>
      </c>
    </row>
    <row r="22" spans="1:17" x14ac:dyDescent="0.25">
      <c r="A22">
        <f>'FU 0.7'!A22</f>
        <v>0.8</v>
      </c>
      <c r="B22" s="15">
        <f>'FU 0.7'!$D22</f>
        <v>17.905866320000001</v>
      </c>
      <c r="C22" s="15">
        <f t="shared" si="0"/>
        <v>16.745758540000001</v>
      </c>
      <c r="D22" s="15">
        <f>'FU 0.72'!$D22</f>
        <v>15.58565076</v>
      </c>
      <c r="E22" s="15">
        <f>'FU 0.73'!$D22</f>
        <v>14.42559329</v>
      </c>
      <c r="F22" s="15">
        <f>'FU 0.74'!$D22</f>
        <v>13.26556624</v>
      </c>
      <c r="G22" s="15">
        <f>'FU 0.75'!$D22</f>
        <v>12.105569340000001</v>
      </c>
      <c r="H22" s="15">
        <f>'FU 0.76'!$D22</f>
        <v>10.945593479999999</v>
      </c>
      <c r="I22" s="15">
        <f>'FU 0.77'!$D22</f>
        <v>9.7856365109999999</v>
      </c>
      <c r="J22" s="15">
        <f>'FU 0.78'!$D22</f>
        <v>8.6256928179999992</v>
      </c>
      <c r="K22" s="15">
        <f>'FU 0.79'!$D22</f>
        <v>7.4657556520000004</v>
      </c>
      <c r="L22" s="15">
        <f>'FU 0.8'!$D22</f>
        <v>6.3058169179999997</v>
      </c>
      <c r="M22" s="15">
        <f>'FU 0.81'!$D22</f>
        <v>5.145866904</v>
      </c>
      <c r="N22" s="15">
        <f>'FU 0.82'!$D22</f>
        <v>3.985893924</v>
      </c>
      <c r="O22" s="15">
        <f>'FU 0.83'!$D22</f>
        <v>2.8258838399999999</v>
      </c>
      <c r="P22" s="15">
        <f>'FU 0.84'!$D22</f>
        <v>1.6658194209999999</v>
      </c>
      <c r="Q22" s="15">
        <f>'FU 0.85'!$D22</f>
        <v>0.50567945430000005</v>
      </c>
    </row>
    <row r="23" spans="1:17" x14ac:dyDescent="0.25">
      <c r="A23">
        <f>'FU 0.7'!A23</f>
        <v>0.81</v>
      </c>
      <c r="B23" s="15">
        <f>'FU 0.7'!$D23</f>
        <v>17.74271714</v>
      </c>
      <c r="C23" s="15">
        <f t="shared" si="0"/>
        <v>16.580081334999999</v>
      </c>
      <c r="D23" s="15">
        <f>'FU 0.72'!$D23</f>
        <v>15.41744553</v>
      </c>
      <c r="E23" s="15">
        <f>'FU 0.73'!$D23</f>
        <v>14.25484378</v>
      </c>
      <c r="F23" s="15">
        <f>'FU 0.74'!$D23</f>
        <v>13.092256170000001</v>
      </c>
      <c r="G23" s="15">
        <f>'FU 0.75'!$D23</f>
        <v>11.92968037</v>
      </c>
      <c r="H23" s="15">
        <f>'FU 0.76'!$D23</f>
        <v>10.76711092</v>
      </c>
      <c r="I23" s="15">
        <f>'FU 0.77'!$D23</f>
        <v>9.6045413069999999</v>
      </c>
      <c r="J23" s="15">
        <f>'FU 0.78'!$D23</f>
        <v>8.4419637670000007</v>
      </c>
      <c r="K23" s="15">
        <f>'FU 0.79'!$D23</f>
        <v>7.2793690240000002</v>
      </c>
      <c r="L23" s="15">
        <f>'FU 0.8'!$D23</f>
        <v>6.1167460050000004</v>
      </c>
      <c r="M23" s="15">
        <f>'FU 0.81'!$D23</f>
        <v>4.9540814309999996</v>
      </c>
      <c r="N23" s="15">
        <f>'FU 0.82'!$D23</f>
        <v>3.7913592980000002</v>
      </c>
      <c r="O23" s="15">
        <f>'FU 0.83'!$D23</f>
        <v>2.6285601629999999</v>
      </c>
      <c r="P23" s="15">
        <f>'FU 0.84'!$D23</f>
        <v>1.4656601739999999</v>
      </c>
      <c r="Q23" s="15">
        <f>'FU 0.85'!$D23</f>
        <v>0.30263289710000002</v>
      </c>
    </row>
    <row r="24" spans="1:17" x14ac:dyDescent="0.25">
      <c r="A24">
        <f>'FU 0.7'!A24</f>
        <v>0.82</v>
      </c>
      <c r="B24" s="15">
        <f>'FU 0.7'!$D24</f>
        <v>17.577622550000001</v>
      </c>
      <c r="C24" s="15">
        <f t="shared" si="0"/>
        <v>16.412381700000001</v>
      </c>
      <c r="D24" s="15">
        <f>'FU 0.72'!$D24</f>
        <v>15.247140849999999</v>
      </c>
      <c r="E24" s="15">
        <f>'FU 0.73'!$D24</f>
        <v>14.08190491</v>
      </c>
      <c r="F24" s="15">
        <f>'FU 0.74'!$D24</f>
        <v>12.916665979999999</v>
      </c>
      <c r="G24" s="15">
        <f>'FU 0.75'!$D24</f>
        <v>11.75141745</v>
      </c>
      <c r="H24" s="15">
        <f>'FU 0.76'!$D24</f>
        <v>10.58615153</v>
      </c>
      <c r="I24" s="15">
        <f>'FU 0.77'!$D24</f>
        <v>9.4208586830000005</v>
      </c>
      <c r="J24" s="15">
        <f>'FU 0.78'!$D24</f>
        <v>8.2555285470000008</v>
      </c>
      <c r="K24" s="15">
        <f>'FU 0.79'!$D24</f>
        <v>7.0901477340000003</v>
      </c>
      <c r="L24" s="15">
        <f>'FU 0.8'!$D24</f>
        <v>5.9247006329999996</v>
      </c>
      <c r="M24" s="15">
        <f>'FU 0.81'!$D24</f>
        <v>4.7591684660000002</v>
      </c>
      <c r="N24" s="15">
        <f>'FU 0.82'!$D24</f>
        <v>3.5935284699999999</v>
      </c>
      <c r="O24" s="15">
        <f>'FU 0.83'!$D24</f>
        <v>2.4277527640000001</v>
      </c>
      <c r="P24" s="15">
        <f>'FU 0.84'!$D24</f>
        <v>1.2618103220000001</v>
      </c>
      <c r="Q24" s="15">
        <f>'FU 0.85'!$D24</f>
        <v>9.5651753239999998E-2</v>
      </c>
    </row>
    <row r="25" spans="1:17" x14ac:dyDescent="0.25">
      <c r="A25">
        <f>'FU 0.7'!A25</f>
        <v>0.83</v>
      </c>
      <c r="B25" s="15">
        <f>'FU 0.7'!$D25</f>
        <v>17.410067380000001</v>
      </c>
      <c r="C25" s="15">
        <f t="shared" si="0"/>
        <v>16.242112315</v>
      </c>
      <c r="D25" s="15">
        <f>'FU 0.72'!$D25</f>
        <v>15.074157250000001</v>
      </c>
      <c r="E25" s="15">
        <f>'FU 0.73'!$D25</f>
        <v>13.906172509999999</v>
      </c>
      <c r="F25" s="15">
        <f>'FU 0.74'!$D25</f>
        <v>12.7381574</v>
      </c>
      <c r="G25" s="15">
        <f>'FU 0.75'!$D25</f>
        <v>11.570102240000001</v>
      </c>
      <c r="H25" s="15">
        <f>'FU 0.76'!$D25</f>
        <v>10.40199563</v>
      </c>
      <c r="I25" s="15">
        <f>'FU 0.77'!$D25</f>
        <v>9.2338240779999996</v>
      </c>
      <c r="J25" s="15">
        <f>'FU 0.78'!$D25</f>
        <v>8.0655715939999997</v>
      </c>
      <c r="K25" s="15">
        <f>'FU 0.79'!$D25</f>
        <v>6.8972190810000003</v>
      </c>
      <c r="L25" s="15">
        <f>'FU 0.8'!$D25</f>
        <v>5.7287435899999997</v>
      </c>
      <c r="M25" s="15">
        <f>'FU 0.81'!$D25</f>
        <v>4.5601168740000002</v>
      </c>
      <c r="N25" s="15">
        <f>'FU 0.82'!$D25</f>
        <v>3.3913089209999998</v>
      </c>
      <c r="O25" s="15">
        <f>'FU 0.83'!$D25</f>
        <v>2.222271509</v>
      </c>
      <c r="P25" s="15">
        <f>'FU 0.84'!$D25</f>
        <v>1.052954011</v>
      </c>
      <c r="Q25" s="15">
        <f>'FU 0.85'!$D25</f>
        <v>-0.1167118122</v>
      </c>
    </row>
    <row r="26" spans="1:17" x14ac:dyDescent="0.25">
      <c r="A26">
        <f>'FU 0.7'!A26</f>
        <v>0.84</v>
      </c>
      <c r="B26" s="15">
        <f>'FU 0.7'!$D26</f>
        <v>17.23931323</v>
      </c>
      <c r="C26" s="15">
        <f t="shared" si="0"/>
        <v>16.068495325000001</v>
      </c>
      <c r="D26" s="15">
        <f>'FU 0.72'!$D26</f>
        <v>14.897677420000001</v>
      </c>
      <c r="E26" s="15">
        <f>'FU 0.73'!$D26</f>
        <v>13.72677738</v>
      </c>
      <c r="F26" s="15">
        <f>'FU 0.74'!$D26</f>
        <v>12.55580653</v>
      </c>
      <c r="G26" s="15">
        <f>'FU 0.75'!$D26</f>
        <v>11.384750220000001</v>
      </c>
      <c r="H26" s="15">
        <f>'FU 0.76'!$D26</f>
        <v>10.21359116</v>
      </c>
      <c r="I26" s="15">
        <f>'FU 0.77'!$D26</f>
        <v>9.0423088709999995</v>
      </c>
      <c r="J26" s="15">
        <f>'FU 0.78'!$D26</f>
        <v>7.8708788959999998</v>
      </c>
      <c r="K26" s="15">
        <f>'FU 0.79'!$D26</f>
        <v>6.6992717879999999</v>
      </c>
      <c r="L26" s="15">
        <f>'FU 0.8'!$D26</f>
        <v>5.5274517449999996</v>
      </c>
      <c r="M26" s="15">
        <f>'FU 0.81'!$D26</f>
        <v>4.3553786790000002</v>
      </c>
      <c r="N26" s="15">
        <f>'FU 0.82'!$D26</f>
        <v>3.182991028</v>
      </c>
      <c r="O26" s="15">
        <f>'FU 0.83'!$D26</f>
        <v>2.0102224880000001</v>
      </c>
      <c r="P26" s="15">
        <f>'FU 0.84'!$D26</f>
        <v>0.83698334799999996</v>
      </c>
      <c r="Q26" s="15">
        <f>'FU 0.85'!$D26</f>
        <v>-0.3368451475</v>
      </c>
    </row>
    <row r="27" spans="1:17" x14ac:dyDescent="0.25">
      <c r="A27">
        <f>'FU 0.7'!A27</f>
        <v>0.85</v>
      </c>
      <c r="B27" s="15">
        <f>'FU 0.7'!$D27</f>
        <v>17.06428214</v>
      </c>
      <c r="C27" s="15">
        <f t="shared" si="0"/>
        <v>15.890380345000001</v>
      </c>
      <c r="D27" s="15">
        <f>'FU 0.72'!$D27</f>
        <v>14.71647855</v>
      </c>
      <c r="E27" s="15">
        <f>'FU 0.73'!$D27</f>
        <v>13.5424136</v>
      </c>
      <c r="F27" s="15">
        <f>'FU 0.74'!$D27</f>
        <v>12.36821451</v>
      </c>
      <c r="G27" s="15">
        <f>'FU 0.75'!$D27</f>
        <v>11.19385801</v>
      </c>
      <c r="H27" s="15">
        <f>'FU 0.76'!$D27</f>
        <v>10.019316419999999</v>
      </c>
      <c r="I27" s="15">
        <f>'FU 0.77'!$D27</f>
        <v>8.8445565750000004</v>
      </c>
      <c r="J27" s="15">
        <f>'FU 0.78'!$D27</f>
        <v>7.6695383259999996</v>
      </c>
      <c r="K27" s="15">
        <f>'FU 0.79'!$D27</f>
        <v>6.4942166090000004</v>
      </c>
      <c r="L27" s="15">
        <f>'FU 0.8'!$D27</f>
        <v>5.3185235769999997</v>
      </c>
      <c r="M27" s="15">
        <f>'FU 0.81'!$D27</f>
        <v>4.1423858979999997</v>
      </c>
      <c r="N27" s="15">
        <f>'FU 0.82'!$D27</f>
        <v>2.965705357</v>
      </c>
      <c r="O27" s="15">
        <f>'FU 0.83'!$D27</f>
        <v>1.7883531399999999</v>
      </c>
      <c r="P27" s="15">
        <f>'FU 0.84'!$D27</f>
        <v>0.61015564060000005</v>
      </c>
      <c r="Q27" s="15">
        <f>'FU 0.85'!$D27</f>
        <v>-0.56912909300000003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K2" sqref="K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0.7'!$E2</f>
        <v>57.739845270000004</v>
      </c>
      <c r="C2" s="15">
        <f>(B2+D2)/2</f>
        <v>57.132829145000002</v>
      </c>
      <c r="D2" s="15">
        <f>'FU 0.72'!$E2</f>
        <v>56.525813020000001</v>
      </c>
      <c r="E2" s="15">
        <f>'FU 0.73'!$E2</f>
        <v>55.918935859999998</v>
      </c>
      <c r="F2" s="15">
        <f>'FU 0.74'!$E2</f>
        <v>55.312154909999997</v>
      </c>
      <c r="G2" s="15">
        <f>'FU 0.75'!$E2</f>
        <v>54.705472389999997</v>
      </c>
      <c r="H2" s="15">
        <f>'FU 0.76'!$E2</f>
        <v>54.098890269999998</v>
      </c>
      <c r="I2" s="15">
        <f>'FU 0.77'!$E2</f>
        <v>53.492410309999997</v>
      </c>
      <c r="J2" s="15">
        <f>'FU 0.78'!$E2</f>
        <v>52.886034049999999</v>
      </c>
      <c r="K2" s="15">
        <f>'FU 0.79'!$E2</f>
        <v>52.279762820000002</v>
      </c>
      <c r="L2" s="15">
        <f>'FU 0.8'!$E2</f>
        <v>51.673597729999997</v>
      </c>
      <c r="M2" s="15">
        <f>'FU 0.81'!$E2</f>
        <v>51.067539699999998</v>
      </c>
      <c r="N2" s="15">
        <f>'FU 0.82'!$E2</f>
        <v>50.461589400000001</v>
      </c>
      <c r="O2" s="15">
        <f>'FU 0.83'!$E2</f>
        <v>49.855747309999998</v>
      </c>
      <c r="P2" s="15">
        <f>'FU 0.84'!$E2</f>
        <v>49.25001366</v>
      </c>
      <c r="Q2" s="15">
        <f>'FU 0.85'!$E2</f>
        <v>48.644388460000002</v>
      </c>
    </row>
    <row r="3" spans="1:17" x14ac:dyDescent="0.25">
      <c r="A3">
        <f>'FU 0.7'!A3</f>
        <v>0.61</v>
      </c>
      <c r="B3" s="15">
        <f>'FU 0.7'!E3</f>
        <v>58.275604659999999</v>
      </c>
      <c r="C3" s="15">
        <f t="shared" ref="C3:C27" si="0">(B3+D3)/2</f>
        <v>57.676229634999999</v>
      </c>
      <c r="D3" s="15">
        <f>'FU 0.72'!$E3</f>
        <v>57.076854609999998</v>
      </c>
      <c r="E3" s="15">
        <f>'FU 0.73'!$E3</f>
        <v>56.477618149999998</v>
      </c>
      <c r="F3" s="15">
        <f>'FU 0.74'!$E3</f>
        <v>55.878477619999998</v>
      </c>
      <c r="G3" s="15">
        <f>'FU 0.75'!$E3</f>
        <v>55.279435190000001</v>
      </c>
      <c r="H3" s="15">
        <f>'FU 0.76'!$E3</f>
        <v>54.680492809999997</v>
      </c>
      <c r="I3" s="15">
        <f>'FU 0.77'!$E3</f>
        <v>54.08165219</v>
      </c>
      <c r="J3" s="15">
        <f>'FU 0.78'!$E3</f>
        <v>53.48291485</v>
      </c>
      <c r="K3" s="15">
        <f>'FU 0.79'!$E3</f>
        <v>52.884282059999997</v>
      </c>
      <c r="L3" s="15">
        <f>'FU 0.8'!$E3</f>
        <v>52.285754920000002</v>
      </c>
      <c r="M3" s="15">
        <f>'FU 0.81'!$E3</f>
        <v>51.687334270000001</v>
      </c>
      <c r="N3" s="15">
        <f>'FU 0.82'!$E3</f>
        <v>51.089020750000003</v>
      </c>
      <c r="O3" s="15">
        <f>'FU 0.83'!$E3</f>
        <v>50.49081477</v>
      </c>
      <c r="P3" s="15">
        <f>'FU 0.84'!$E3</f>
        <v>49.892716499999999</v>
      </c>
      <c r="Q3" s="15">
        <f>'FU 0.85'!$E3</f>
        <v>49.294725880000001</v>
      </c>
    </row>
    <row r="4" spans="1:17" x14ac:dyDescent="0.25">
      <c r="A4">
        <f>'FU 0.7'!A4</f>
        <v>0.62</v>
      </c>
      <c r="B4" s="15">
        <f>'FU 0.7'!E4</f>
        <v>58.811269969999998</v>
      </c>
      <c r="C4" s="15">
        <f t="shared" si="0"/>
        <v>58.219533694999996</v>
      </c>
      <c r="D4" s="15">
        <f>'FU 0.72'!$E4</f>
        <v>57.62779742</v>
      </c>
      <c r="E4" s="15">
        <f>'FU 0.73'!$E4</f>
        <v>57.036199259999997</v>
      </c>
      <c r="F4" s="15">
        <f>'FU 0.74'!$E4</f>
        <v>56.444696700000001</v>
      </c>
      <c r="G4" s="15">
        <f>'FU 0.75'!$E4</f>
        <v>55.85329188</v>
      </c>
      <c r="H4" s="15">
        <f>'FU 0.76'!$E4</f>
        <v>55.261986700000001</v>
      </c>
      <c r="I4" s="15">
        <f>'FU 0.77'!$E4</f>
        <v>54.670782850000002</v>
      </c>
      <c r="J4" s="15">
        <f>'FU 0.78'!$E4</f>
        <v>54.079681809999997</v>
      </c>
      <c r="K4" s="15">
        <f>'FU 0.79'!$E4</f>
        <v>53.488684800000001</v>
      </c>
      <c r="L4" s="15">
        <f>'FU 0.8'!$E4</f>
        <v>52.897792860000003</v>
      </c>
      <c r="M4" s="15">
        <f>'FU 0.81'!$E4</f>
        <v>52.307006790000003</v>
      </c>
      <c r="N4" s="15">
        <f>'FU 0.82'!$E4</f>
        <v>51.71632717</v>
      </c>
      <c r="O4" s="15">
        <f>'FU 0.83'!$E4</f>
        <v>51.125754350000001</v>
      </c>
      <c r="P4" s="15">
        <f>'FU 0.84'!$E4</f>
        <v>50.535288420000001</v>
      </c>
      <c r="Q4" s="15">
        <f>'FU 0.85'!$E4</f>
        <v>49.94492923</v>
      </c>
    </row>
    <row r="5" spans="1:17" x14ac:dyDescent="0.25">
      <c r="A5">
        <f>'FU 0.7'!A5</f>
        <v>0.63</v>
      </c>
      <c r="B5" s="15">
        <f>'FU 0.7'!E5</f>
        <v>59.346833429999997</v>
      </c>
      <c r="C5" s="15">
        <f t="shared" si="0"/>
        <v>58.762732845000002</v>
      </c>
      <c r="D5" s="15">
        <f>'FU 0.72'!$E5</f>
        <v>58.178632260000001</v>
      </c>
      <c r="E5" s="15">
        <f>'FU 0.73'!$E5</f>
        <v>57.594669740000001</v>
      </c>
      <c r="F5" s="15">
        <f>'FU 0.74'!$E5</f>
        <v>57.01080245</v>
      </c>
      <c r="G5" s="15">
        <f>'FU 0.75'!$E5</f>
        <v>56.427032490000002</v>
      </c>
      <c r="H5" s="15">
        <f>'FU 0.76'!$E5</f>
        <v>55.843361719999997</v>
      </c>
      <c r="I5" s="15">
        <f>'FU 0.77'!$E5</f>
        <v>55.259791800000002</v>
      </c>
      <c r="J5" s="15">
        <f>'FU 0.78'!$E5</f>
        <v>54.676324139999998</v>
      </c>
      <c r="K5" s="15">
        <f>'FU 0.79'!$E5</f>
        <v>54.09295994</v>
      </c>
      <c r="L5" s="15">
        <f>'FU 0.8'!$E5</f>
        <v>53.509700160000001</v>
      </c>
      <c r="M5" s="15">
        <f>'FU 0.81'!$E5</f>
        <v>52.92654555</v>
      </c>
      <c r="N5" s="15">
        <f>'FU 0.82'!$E5</f>
        <v>52.343496629999997</v>
      </c>
      <c r="O5" s="15">
        <f>'FU 0.83'!$E5</f>
        <v>51.76055367</v>
      </c>
      <c r="P5" s="15">
        <f>'FU 0.84'!$E5</f>
        <v>51.177716689999997</v>
      </c>
      <c r="Q5" s="15">
        <f>'FU 0.85'!$E5</f>
        <v>50.594986429999999</v>
      </c>
    </row>
    <row r="6" spans="1:17" x14ac:dyDescent="0.25">
      <c r="A6">
        <f>'FU 0.7'!A6</f>
        <v>0.64</v>
      </c>
      <c r="B6" s="15">
        <f>'FU 0.7'!E6</f>
        <v>59.882283489999999</v>
      </c>
      <c r="C6" s="15">
        <f t="shared" si="0"/>
        <v>59.305816135000001</v>
      </c>
      <c r="D6" s="15">
        <f>'FU 0.72'!$E6</f>
        <v>58.729348780000002</v>
      </c>
      <c r="E6" s="15">
        <f>'FU 0.73'!$E6</f>
        <v>58.153018940000003</v>
      </c>
      <c r="F6" s="15">
        <f>'FU 0.74'!$E6</f>
        <v>57.576783919999997</v>
      </c>
      <c r="G6" s="15">
        <f>'FU 0.75'!$E6</f>
        <v>57.000645769999998</v>
      </c>
      <c r="H6" s="15">
        <f>'FU 0.76'!$E6</f>
        <v>56.424606320000002</v>
      </c>
      <c r="I6" s="15">
        <f>'FU 0.77'!$E6</f>
        <v>55.848667149999997</v>
      </c>
      <c r="J6" s="15">
        <f>'FU 0.78'!$E6</f>
        <v>55.272829639999998</v>
      </c>
      <c r="K6" s="15">
        <f>'FU 0.79'!$E6</f>
        <v>54.697094929999999</v>
      </c>
      <c r="L6" s="15">
        <f>'FU 0.8'!$E6</f>
        <v>54.121463919999997</v>
      </c>
      <c r="M6" s="15">
        <f>'FU 0.81'!$E6</f>
        <v>53.545937289999998</v>
      </c>
      <c r="N6" s="15">
        <f>'FU 0.82'!$E6</f>
        <v>52.970515489999997</v>
      </c>
      <c r="O6" s="15">
        <f>'FU 0.83'!$E6</f>
        <v>52.395198710000003</v>
      </c>
      <c r="P6" s="15">
        <f>'FU 0.84'!$E6</f>
        <v>51.81998686</v>
      </c>
      <c r="Q6" s="15">
        <f>'FU 0.85'!$E6</f>
        <v>51.244880680000001</v>
      </c>
    </row>
    <row r="7" spans="1:17" x14ac:dyDescent="0.25">
      <c r="A7">
        <f>'FU 0.7'!A7</f>
        <v>0.65</v>
      </c>
      <c r="B7" s="15">
        <f>'FU 0.7'!E7</f>
        <v>60.417609890000001</v>
      </c>
      <c r="C7" s="15">
        <f t="shared" si="0"/>
        <v>59.848772554999996</v>
      </c>
      <c r="D7" s="15">
        <f>'FU 0.72'!$E7</f>
        <v>59.279935219999999</v>
      </c>
      <c r="E7" s="15">
        <f>'FU 0.73'!$E7</f>
        <v>58.7112348</v>
      </c>
      <c r="F7" s="15">
        <f>'FU 0.74'!$E7</f>
        <v>58.142628709999997</v>
      </c>
      <c r="G7" s="15">
        <f>'FU 0.75'!$E7</f>
        <v>57.574118980000001</v>
      </c>
      <c r="H7" s="15">
        <f>'FU 0.76'!$E7</f>
        <v>57.005707370000003</v>
      </c>
      <c r="I7" s="15">
        <f>'FU 0.77'!$E7</f>
        <v>56.437395410000001</v>
      </c>
      <c r="J7" s="15">
        <f>'FU 0.78'!$E7</f>
        <v>55.869184429999997</v>
      </c>
      <c r="K7" s="15">
        <f>'FU 0.79'!$E7</f>
        <v>55.301075500000003</v>
      </c>
      <c r="L7" s="15">
        <f>'FU 0.8'!$E7</f>
        <v>54.733069450000002</v>
      </c>
      <c r="M7" s="15">
        <f>'FU 0.81'!$E7</f>
        <v>54.165166900000003</v>
      </c>
      <c r="N7" s="15">
        <f>'FU 0.82'!$E7</f>
        <v>53.597368209999999</v>
      </c>
      <c r="O7" s="15">
        <f>'FU 0.83'!$E7</f>
        <v>53.029673449999997</v>
      </c>
      <c r="P7" s="15">
        <f>'FU 0.84'!$E7</f>
        <v>52.462082459999998</v>
      </c>
      <c r="Q7" s="15">
        <f>'FU 0.85'!$E7</f>
        <v>51.894595930000001</v>
      </c>
    </row>
    <row r="8" spans="1:17" x14ac:dyDescent="0.25">
      <c r="A8">
        <f>'FU 0.7'!A8</f>
        <v>0.66</v>
      </c>
      <c r="B8" s="15">
        <f>'FU 0.7'!E8</f>
        <v>60.952800029999999</v>
      </c>
      <c r="C8" s="15">
        <f t="shared" si="0"/>
        <v>60.391589140000001</v>
      </c>
      <c r="D8" s="15">
        <f>'FU 0.72'!$E8</f>
        <v>59.830378250000003</v>
      </c>
      <c r="E8" s="15">
        <f>'FU 0.73'!$E8</f>
        <v>59.269303559999997</v>
      </c>
      <c r="F8" s="15">
        <f>'FU 0.74'!$E8</f>
        <v>58.708322680000002</v>
      </c>
      <c r="G8" s="15">
        <f>'FU 0.75'!$E8</f>
        <v>58.147437549999999</v>
      </c>
      <c r="H8" s="15">
        <f>'FU 0.76'!$E8</f>
        <v>57.586649899999998</v>
      </c>
      <c r="I8" s="15">
        <f>'FU 0.77'!$E8</f>
        <v>57.025961189999997</v>
      </c>
      <c r="J8" s="15">
        <f>'FU 0.78'!$E8</f>
        <v>56.465372670000001</v>
      </c>
      <c r="K8" s="15">
        <f>'FU 0.79'!$E8</f>
        <v>55.904885350000001</v>
      </c>
      <c r="L8" s="15">
        <f>'FU 0.8'!$E8</f>
        <v>55.344499999999996</v>
      </c>
      <c r="M8" s="15">
        <f>'FU 0.81'!$E8</f>
        <v>54.784217120000001</v>
      </c>
      <c r="N8" s="15">
        <f>'FU 0.82'!$E8</f>
        <v>54.224036990000002</v>
      </c>
      <c r="O8" s="15">
        <f>'FU 0.83'!$E8</f>
        <v>53.663959579999997</v>
      </c>
      <c r="P8" s="15">
        <f>'FU 0.84'!$E8</f>
        <v>53.103985680000001</v>
      </c>
      <c r="Q8" s="15">
        <f>'FU 0.85'!$E8</f>
        <v>52.544112689999999</v>
      </c>
    </row>
    <row r="9" spans="1:17" x14ac:dyDescent="0.25">
      <c r="A9">
        <f>'FU 0.7'!A9</f>
        <v>0.67</v>
      </c>
      <c r="B9" s="15">
        <f>'FU 0.7'!E9</f>
        <v>61.487839489999999</v>
      </c>
      <c r="C9" s="15">
        <f t="shared" si="0"/>
        <v>60.934251029999999</v>
      </c>
      <c r="D9" s="15">
        <f>'FU 0.72'!$E9</f>
        <v>60.380662569999998</v>
      </c>
      <c r="E9" s="15">
        <f>'FU 0.73'!$E9</f>
        <v>59.827209510000003</v>
      </c>
      <c r="F9" s="15">
        <f>'FU 0.74'!$E9</f>
        <v>59.273849640000002</v>
      </c>
      <c r="G9" s="15">
        <f>'FU 0.75'!$E9</f>
        <v>58.720584840000001</v>
      </c>
      <c r="H9" s="15">
        <f>'FU 0.76'!$E9</f>
        <v>58.167416770000003</v>
      </c>
      <c r="I9" s="15">
        <f>'FU 0.77'!$E9</f>
        <v>57.614346830000002</v>
      </c>
      <c r="J9" s="15">
        <f>'FU 0.78'!$E9</f>
        <v>57.061376189999997</v>
      </c>
      <c r="K9" s="15">
        <f>'FU 0.79'!$E9</f>
        <v>56.508505790000001</v>
      </c>
      <c r="L9" s="15">
        <f>'FU 0.8'!$E9</f>
        <v>55.955736280000004</v>
      </c>
      <c r="M9" s="15">
        <f>'FU 0.81'!$E9</f>
        <v>55.403068089999998</v>
      </c>
      <c r="N9" s="15">
        <f>'FU 0.82'!$E9</f>
        <v>54.850501379999997</v>
      </c>
      <c r="O9" s="15">
        <f>'FU 0.83'!$E9</f>
        <v>54.298035990000002</v>
      </c>
      <c r="P9" s="15">
        <f>'FU 0.84'!$E9</f>
        <v>53.745672679999998</v>
      </c>
      <c r="Q9" s="15">
        <f>'FU 0.85'!$E9</f>
        <v>53.193408499999997</v>
      </c>
    </row>
    <row r="10" spans="1:17" x14ac:dyDescent="0.25">
      <c r="A10">
        <f>'FU 0.7'!A10</f>
        <v>0.68</v>
      </c>
      <c r="B10" s="15">
        <f>'FU 0.7'!E10</f>
        <v>62.022711749999999</v>
      </c>
      <c r="C10" s="15">
        <f t="shared" si="0"/>
        <v>61.476741204999996</v>
      </c>
      <c r="D10" s="15">
        <f>'FU 0.72'!$E10</f>
        <v>60.93077066</v>
      </c>
      <c r="E10" s="15">
        <f>'FU 0.73'!$E10</f>
        <v>60.38493459</v>
      </c>
      <c r="F10" s="15">
        <f>'FU 0.74'!$E10</f>
        <v>59.839190989999999</v>
      </c>
      <c r="G10" s="15">
        <f>'FU 0.75'!$E10</f>
        <v>59.293541689999998</v>
      </c>
      <c r="H10" s="15">
        <f>'FU 0.76'!$E10</f>
        <v>58.74798826</v>
      </c>
      <c r="I10" s="15">
        <f>'FU 0.77'!$E10</f>
        <v>58.20253202</v>
      </c>
      <c r="J10" s="15">
        <f>'FU 0.78'!$E10</f>
        <v>57.657174070000003</v>
      </c>
      <c r="K10" s="15">
        <f>'FU 0.79'!$E10</f>
        <v>57.11191522</v>
      </c>
      <c r="L10" s="15">
        <f>'FU 0.8'!$E10</f>
        <v>56.566756060000003</v>
      </c>
      <c r="M10" s="15">
        <f>'FU 0.81'!$E10</f>
        <v>56.021696890000001</v>
      </c>
      <c r="N10" s="15">
        <f>'FU 0.82'!$E10</f>
        <v>55.476737720000003</v>
      </c>
      <c r="O10" s="15">
        <f>'FU 0.83'!$E10</f>
        <v>54.9318794</v>
      </c>
      <c r="P10" s="15">
        <f>'FU 0.84'!$E10</f>
        <v>54.387119259999999</v>
      </c>
      <c r="Q10" s="15">
        <f>'FU 0.85'!$E10</f>
        <v>53.8424573</v>
      </c>
    </row>
    <row r="11" spans="1:17" x14ac:dyDescent="0.25">
      <c r="A11">
        <f>'FU 0.7'!A11</f>
        <v>0.69</v>
      </c>
      <c r="B11" s="15">
        <f>'FU 0.7'!E11</f>
        <v>62.557397739999999</v>
      </c>
      <c r="C11" s="15">
        <f t="shared" si="0"/>
        <v>62.019040000000004</v>
      </c>
      <c r="D11" s="15">
        <f>'FU 0.72'!$E11</f>
        <v>61.480682260000002</v>
      </c>
      <c r="E11" s="15">
        <f>'FU 0.73'!$E11</f>
        <v>60.942457920000003</v>
      </c>
      <c r="F11" s="15">
        <f>'FU 0.74'!$E11</f>
        <v>60.404325229999998</v>
      </c>
      <c r="G11" s="15">
        <f>'FU 0.75'!$E11</f>
        <v>59.866285929999997</v>
      </c>
      <c r="H11" s="15">
        <f>'FU 0.76'!$E11</f>
        <v>59.328341510000001</v>
      </c>
      <c r="I11" s="15">
        <f>'FU 0.77'!$E11</f>
        <v>58.790493210000001</v>
      </c>
      <c r="J11" s="15">
        <f>'FU 0.78'!$E11</f>
        <v>58.252742009999999</v>
      </c>
      <c r="K11" s="15">
        <f>'FU 0.79'!$E11</f>
        <v>57.715088629999997</v>
      </c>
      <c r="L11" s="15">
        <f>'FU 0.8'!$E11</f>
        <v>57.177533519999997</v>
      </c>
      <c r="M11" s="15">
        <f>'FU 0.81'!$E11</f>
        <v>56.640076860000001</v>
      </c>
      <c r="N11" s="15">
        <f>'FU 0.82'!$E11</f>
        <v>56.102718510000003</v>
      </c>
      <c r="O11" s="15">
        <f>'FU 0.83'!$E11</f>
        <v>55.565459259999997</v>
      </c>
      <c r="P11" s="15">
        <f>'FU 0.84'!$E11</f>
        <v>55.02829603</v>
      </c>
      <c r="Q11" s="15">
        <f>'FU 0.85'!$E11</f>
        <v>54.49122869</v>
      </c>
    </row>
    <row r="12" spans="1:17" x14ac:dyDescent="0.25">
      <c r="A12">
        <f>'FU 0.7'!A12</f>
        <v>0.7</v>
      </c>
      <c r="B12" s="15">
        <f>'FU 0.7'!E12</f>
        <v>63.091875350000002</v>
      </c>
      <c r="C12" s="15">
        <f t="shared" si="0"/>
        <v>62.561124605000003</v>
      </c>
      <c r="D12" s="15">
        <f>'FU 0.72'!$E12</f>
        <v>62.030373859999997</v>
      </c>
      <c r="E12" s="15">
        <f>'FU 0.73'!$E12</f>
        <v>61.499755260000001</v>
      </c>
      <c r="F12" s="15">
        <f>'FU 0.74'!$E12</f>
        <v>60.969227349999997</v>
      </c>
      <c r="G12" s="15">
        <f>'FU 0.75'!$E12</f>
        <v>60.438791780000003</v>
      </c>
      <c r="H12" s="15">
        <f>'FU 0.76'!$E12</f>
        <v>59.908449949999998</v>
      </c>
      <c r="I12" s="15">
        <f>'FU 0.77'!$E12</f>
        <v>59.378202969999997</v>
      </c>
      <c r="J12" s="15">
        <f>'FU 0.78'!$E12</f>
        <v>58.848051720000001</v>
      </c>
      <c r="K12" s="15">
        <f>'FU 0.79'!$E12</f>
        <v>58.317996780000001</v>
      </c>
      <c r="L12" s="15">
        <f>'FU 0.8'!$E12</f>
        <v>57.788038479999997</v>
      </c>
      <c r="M12" s="15">
        <f>'FU 0.81'!$E12</f>
        <v>57.258176829999996</v>
      </c>
      <c r="N12" s="15">
        <f>'FU 0.82'!$E12</f>
        <v>56.7284127</v>
      </c>
      <c r="O12" s="15">
        <f>'FU 0.83'!$E12</f>
        <v>56.198743260000001</v>
      </c>
      <c r="P12" s="15">
        <f>'FU 0.84'!$E12</f>
        <v>55.669168499999998</v>
      </c>
      <c r="Q12" s="15">
        <f>'FU 0.85'!$E12</f>
        <v>55.139686949999998</v>
      </c>
    </row>
    <row r="13" spans="1:17" x14ac:dyDescent="0.25">
      <c r="A13">
        <f>'FU 0.7'!A13</f>
        <v>0.71</v>
      </c>
      <c r="B13" s="15">
        <f>'FU 0.7'!E13</f>
        <v>63.626118779999999</v>
      </c>
      <c r="C13" s="15">
        <f t="shared" si="0"/>
        <v>63.102968384999997</v>
      </c>
      <c r="D13" s="15">
        <f>'FU 0.72'!$E13</f>
        <v>62.579817990000002</v>
      </c>
      <c r="E13" s="15">
        <f>'FU 0.73'!$E13</f>
        <v>62.05679825</v>
      </c>
      <c r="F13" s="15">
        <f>'FU 0.74'!$E13</f>
        <v>61.533868099999999</v>
      </c>
      <c r="G13" s="15">
        <f>'FU 0.75'!$E13</f>
        <v>61.011029049999998</v>
      </c>
      <c r="H13" s="15">
        <f>'FU 0.76'!$E13</f>
        <v>60.488282390000002</v>
      </c>
      <c r="I13" s="15">
        <f>'FU 0.77'!$E13</f>
        <v>59.965629110000002</v>
      </c>
      <c r="J13" s="15">
        <f>'FU 0.78'!$E13</f>
        <v>59.443069950000002</v>
      </c>
      <c r="K13" s="15">
        <f>'FU 0.79'!$E13</f>
        <v>58.920605350000002</v>
      </c>
      <c r="L13" s="15">
        <f>'FU 0.8'!$E13</f>
        <v>58.398235460000002</v>
      </c>
      <c r="M13" s="15">
        <f>'FU 0.81'!$E13</f>
        <v>57.8759601</v>
      </c>
      <c r="N13" s="15">
        <f>'FU 0.82'!$E13</f>
        <v>57.353780090000001</v>
      </c>
      <c r="O13" s="15">
        <f>'FU 0.83'!$E13</f>
        <v>56.831692089999997</v>
      </c>
      <c r="P13" s="15">
        <f>'FU 0.84'!$E13</f>
        <v>56.309695929999997</v>
      </c>
      <c r="Q13" s="15">
        <f>'FU 0.85'!$E13</f>
        <v>55.787789799999999</v>
      </c>
    </row>
    <row r="14" spans="1:17" x14ac:dyDescent="0.25">
      <c r="A14">
        <f>'FU 0.7'!A14</f>
        <v>0.72</v>
      </c>
      <c r="B14" s="15">
        <f>'FU 0.7'!E14</f>
        <v>64.160097739999998</v>
      </c>
      <c r="C14" s="15">
        <f t="shared" si="0"/>
        <v>63.644540034999999</v>
      </c>
      <c r="D14" s="15">
        <f>'FU 0.72'!$E14</f>
        <v>63.128982329999999</v>
      </c>
      <c r="E14" s="15">
        <f>'FU 0.73'!$E14</f>
        <v>62.613553539999998</v>
      </c>
      <c r="F14" s="15">
        <f>'FU 0.74'!$E14</f>
        <v>62.098213010000002</v>
      </c>
      <c r="G14" s="15">
        <f>'FU 0.75'!$E14</f>
        <v>61.582962139999999</v>
      </c>
      <c r="H14" s="15">
        <f>'FU 0.76'!$E14</f>
        <v>61.067802059999998</v>
      </c>
      <c r="I14" s="15">
        <f>'FU 0.77'!$E14</f>
        <v>60.552733629999999</v>
      </c>
      <c r="J14" s="15">
        <f>'FU 0.78'!$E14</f>
        <v>60.037757419999998</v>
      </c>
      <c r="K14" s="15">
        <f>'FU 0.79'!$E14</f>
        <v>59.522873689999997</v>
      </c>
      <c r="L14" s="15">
        <f>'FU 0.8'!$E14</f>
        <v>59.008082389999998</v>
      </c>
      <c r="M14" s="15">
        <f>'FU 0.81'!$E14</f>
        <v>58.493384409999997</v>
      </c>
      <c r="N14" s="15">
        <f>'FU 0.82'!$E14</f>
        <v>57.978776619999998</v>
      </c>
      <c r="O14" s="15">
        <f>'FU 0.83'!$E14</f>
        <v>57.464258940000001</v>
      </c>
      <c r="P14" s="15">
        <f>'FU 0.84'!$E14</f>
        <v>56.949829729999998</v>
      </c>
      <c r="Q14" s="15">
        <f>'FU 0.85'!$E14</f>
        <v>56.435486760000003</v>
      </c>
    </row>
    <row r="15" spans="1:17" x14ac:dyDescent="0.25">
      <c r="A15">
        <f>'FU 0.7'!A15</f>
        <v>0.73</v>
      </c>
      <c r="B15" s="15">
        <f>'FU 0.7'!E15</f>
        <v>64.693776389999996</v>
      </c>
      <c r="C15" s="15">
        <f t="shared" si="0"/>
        <v>64.18580249499999</v>
      </c>
      <c r="D15" s="15">
        <f>'FU 0.72'!$E15</f>
        <v>63.677828599999998</v>
      </c>
      <c r="E15" s="15">
        <f>'FU 0.73'!$E15</f>
        <v>63.169981550000003</v>
      </c>
      <c r="F15" s="15">
        <f>'FU 0.74'!$E15</f>
        <v>62.662221180000003</v>
      </c>
      <c r="G15" s="15">
        <f>'FU 0.75'!$E15</f>
        <v>62.154548740000003</v>
      </c>
      <c r="H15" s="15">
        <f>'FU 0.76'!$E15</f>
        <v>61.646965209999998</v>
      </c>
      <c r="I15" s="15">
        <f>'FU 0.77'!$E15</f>
        <v>61.139471260000001</v>
      </c>
      <c r="J15" s="15">
        <f>'FU 0.78'!$E15</f>
        <v>60.63206727</v>
      </c>
      <c r="K15" s="15">
        <f>'FU 0.79'!$E15</f>
        <v>60.12475328</v>
      </c>
      <c r="L15" s="15">
        <f>'FU 0.8'!$E15</f>
        <v>59.617528999999998</v>
      </c>
      <c r="M15" s="15">
        <f>'FU 0.81'!$E15</f>
        <v>59.110395240000003</v>
      </c>
      <c r="N15" s="15">
        <f>'FU 0.82'!$E15</f>
        <v>58.603348220000001</v>
      </c>
      <c r="O15" s="15">
        <f>'FU 0.83'!$E15</f>
        <v>58.096387669999999</v>
      </c>
      <c r="P15" s="15">
        <f>'FU 0.84'!$E15</f>
        <v>57.589511510000001</v>
      </c>
      <c r="Q15" s="15">
        <f>'FU 0.85'!$E15</f>
        <v>57.082717049999999</v>
      </c>
    </row>
    <row r="16" spans="1:17" x14ac:dyDescent="0.25">
      <c r="A16">
        <f>'FU 0.7'!A16</f>
        <v>0.74</v>
      </c>
      <c r="B16" s="15">
        <f>'FU 0.7'!E16</f>
        <v>65.227112009999999</v>
      </c>
      <c r="C16" s="15">
        <f t="shared" si="0"/>
        <v>64.726711550000005</v>
      </c>
      <c r="D16" s="15">
        <f>'FU 0.72'!$E16</f>
        <v>64.226311089999996</v>
      </c>
      <c r="E16" s="15">
        <f>'FU 0.73'!$E16</f>
        <v>63.726034970000001</v>
      </c>
      <c r="F16" s="15">
        <f>'FU 0.74'!$E16</f>
        <v>63.225843650000002</v>
      </c>
      <c r="G16" s="15">
        <f>'FU 0.75'!$E16</f>
        <v>62.725738200000002</v>
      </c>
      <c r="H16" s="15">
        <f>'FU 0.76'!$E16</f>
        <v>62.22571937</v>
      </c>
      <c r="I16" s="15">
        <f>'FU 0.77'!$E16</f>
        <v>61.725787650000001</v>
      </c>
      <c r="J16" s="15">
        <f>'FU 0.78'!$E16</f>
        <v>61.225943170000001</v>
      </c>
      <c r="K16" s="15">
        <f>'FU 0.79'!$E16</f>
        <v>60.726185710000003</v>
      </c>
      <c r="L16" s="15">
        <f>'FU 0.8'!$E16</f>
        <v>60.226516140000001</v>
      </c>
      <c r="M16" s="15">
        <f>'FU 0.81'!$E16</f>
        <v>59.726930789999997</v>
      </c>
      <c r="N16" s="15">
        <f>'FU 0.82'!$E16</f>
        <v>59.227429469999997</v>
      </c>
      <c r="O16" s="15">
        <f>'FU 0.83'!$E16</f>
        <v>58.728010189999999</v>
      </c>
      <c r="P16" s="15">
        <f>'FU 0.84'!$E16</f>
        <v>58.228670360000002</v>
      </c>
      <c r="Q16" s="15">
        <f>'FU 0.85'!$E16</f>
        <v>57.729406660000002</v>
      </c>
    </row>
    <row r="17" spans="1:17" x14ac:dyDescent="0.25">
      <c r="A17">
        <f>'FU 0.7'!A17</f>
        <v>0.75</v>
      </c>
      <c r="B17" s="15">
        <f>'FU 0.7'!E17</f>
        <v>65.760053229999997</v>
      </c>
      <c r="C17" s="15">
        <f t="shared" si="0"/>
        <v>65.267213964999996</v>
      </c>
      <c r="D17" s="15">
        <f>'FU 0.72'!$E17</f>
        <v>64.774374699999996</v>
      </c>
      <c r="E17" s="15">
        <f>'FU 0.73'!$E17</f>
        <v>64.281656749999996</v>
      </c>
      <c r="F17" s="15">
        <f>'FU 0.74'!$E17</f>
        <v>63.789021310000003</v>
      </c>
      <c r="G17" s="15">
        <f>'FU 0.75'!$E17</f>
        <v>63.296469219999999</v>
      </c>
      <c r="H17" s="15">
        <f>'FU 0.76'!$E17</f>
        <v>62.804001020000001</v>
      </c>
      <c r="I17" s="15">
        <f>'FU 0.77'!$E17</f>
        <v>62.311616899999997</v>
      </c>
      <c r="J17" s="15">
        <f>'FU 0.78'!$E17</f>
        <v>61.819316720000003</v>
      </c>
      <c r="K17" s="15">
        <f>'FU 0.79'!$E17</f>
        <v>61.327101380000002</v>
      </c>
      <c r="L17" s="15">
        <f>'FU 0.8'!$E17</f>
        <v>60.83496727</v>
      </c>
      <c r="M17" s="15">
        <f>'FU 0.81'!$E17</f>
        <v>60.342914239999999</v>
      </c>
      <c r="N17" s="15">
        <f>'FU 0.82'!$E17</f>
        <v>59.850940360000003</v>
      </c>
      <c r="O17" s="15">
        <f>'FU 0.83'!$E17</f>
        <v>59.359043079999999</v>
      </c>
      <c r="P17" s="15">
        <f>'FU 0.84'!$E17</f>
        <v>58.867219149999997</v>
      </c>
      <c r="Q17" s="15">
        <f>'FU 0.85'!$E17</f>
        <v>58.375464479999998</v>
      </c>
    </row>
    <row r="18" spans="1:17" x14ac:dyDescent="0.25">
      <c r="A18">
        <f>'FU 0.7'!A18</f>
        <v>0.76</v>
      </c>
      <c r="B18" s="15">
        <f>'FU 0.7'!E18</f>
        <v>66.292537670000002</v>
      </c>
      <c r="C18" s="15">
        <f t="shared" si="0"/>
        <v>65.807245020000011</v>
      </c>
      <c r="D18" s="15">
        <f>'FU 0.72'!$E18</f>
        <v>65.321952370000005</v>
      </c>
      <c r="E18" s="15">
        <f>'FU 0.73'!$E18</f>
        <v>64.836777330000004</v>
      </c>
      <c r="F18" s="15">
        <f>'FU 0.74'!$E18</f>
        <v>64.351681990000003</v>
      </c>
      <c r="G18" s="15">
        <f>'FU 0.75'!$E18</f>
        <v>63.866666930000001</v>
      </c>
      <c r="H18" s="15">
        <f>'FU 0.76'!$E18</f>
        <v>63.381732380000003</v>
      </c>
      <c r="I18" s="15">
        <f>'FU 0.77'!$E18</f>
        <v>62.896878209999997</v>
      </c>
      <c r="J18" s="15">
        <f>'FU 0.78'!$E18</f>
        <v>62.41210392</v>
      </c>
      <c r="K18" s="15">
        <f>'FU 0.79'!$E18</f>
        <v>61.92741024</v>
      </c>
      <c r="L18" s="15">
        <f>'FU 0.8'!$E18</f>
        <v>61.442792660000002</v>
      </c>
      <c r="M18" s="15">
        <f>'FU 0.81'!$E18</f>
        <v>60.958250720000002</v>
      </c>
      <c r="N18" s="15">
        <f>'FU 0.82'!$E18</f>
        <v>60.473781850000002</v>
      </c>
      <c r="O18" s="15">
        <f>'FU 0.83'!$E18</f>
        <v>59.989382820000003</v>
      </c>
      <c r="P18" s="15">
        <f>'FU 0.84'!$E18</f>
        <v>59.505049499999998</v>
      </c>
      <c r="Q18" s="15">
        <f>'FU 0.85'!$E18</f>
        <v>59.020776789999999</v>
      </c>
    </row>
    <row r="19" spans="1:17" x14ac:dyDescent="0.25">
      <c r="A19">
        <f>'FU 0.7'!A19</f>
        <v>0.77</v>
      </c>
      <c r="B19" s="15">
        <f>'FU 0.7'!E19</f>
        <v>66.82448875</v>
      </c>
      <c r="C19" s="15">
        <f t="shared" si="0"/>
        <v>66.346725160000005</v>
      </c>
      <c r="D19" s="15">
        <f>'FU 0.72'!$E19</f>
        <v>65.868961569999996</v>
      </c>
      <c r="E19" s="15">
        <f>'FU 0.73'!$E19</f>
        <v>65.391310989999994</v>
      </c>
      <c r="F19" s="15">
        <f>'FU 0.74'!$E19</f>
        <v>64.913736639999996</v>
      </c>
      <c r="G19" s="15">
        <f>'FU 0.75'!$E19</f>
        <v>64.436238729999999</v>
      </c>
      <c r="H19" s="15">
        <f>'FU 0.76'!$E19</f>
        <v>63.958817150000002</v>
      </c>
      <c r="I19" s="15">
        <f>'FU 0.77'!$E19</f>
        <v>63.481471339999999</v>
      </c>
      <c r="J19" s="15">
        <f>'FU 0.78'!$E19</f>
        <v>63.004202059999997</v>
      </c>
      <c r="K19" s="15">
        <f>'FU 0.79'!$E19</f>
        <v>62.527004660000003</v>
      </c>
      <c r="L19" s="15">
        <f>'FU 0.8'!$E19</f>
        <v>62.049878659999997</v>
      </c>
      <c r="M19" s="15">
        <f>'FU 0.81'!$E19</f>
        <v>61.572821439999998</v>
      </c>
      <c r="N19" s="15">
        <f>'FU 0.82'!$E19</f>
        <v>61.095829639999998</v>
      </c>
      <c r="O19" s="15">
        <f>'FU 0.83'!$E19</f>
        <v>60.618899079999998</v>
      </c>
      <c r="P19" s="15">
        <f>'FU 0.84'!$E19</f>
        <v>60.14202452</v>
      </c>
      <c r="Q19" s="15">
        <f>'FU 0.85'!$E19</f>
        <v>59.6651995</v>
      </c>
    </row>
    <row r="20" spans="1:17" x14ac:dyDescent="0.25">
      <c r="A20">
        <f>'FU 0.7'!A20</f>
        <v>0.78</v>
      </c>
      <c r="B20" s="15">
        <f>'FU 0.7'!E20</f>
        <v>67.355811310000007</v>
      </c>
      <c r="C20" s="15">
        <f t="shared" si="0"/>
        <v>66.885555374999996</v>
      </c>
      <c r="D20" s="15">
        <f>'FU 0.72'!$E20</f>
        <v>66.415299439999998</v>
      </c>
      <c r="E20" s="15">
        <f>'FU 0.73'!$E20</f>
        <v>65.945150729999995</v>
      </c>
      <c r="F20" s="15">
        <f>'FU 0.74'!$E20</f>
        <v>65.475073850000001</v>
      </c>
      <c r="G20" s="15">
        <f>'FU 0.75'!$E20</f>
        <v>65.005068620000003</v>
      </c>
      <c r="H20" s="15">
        <f>'FU 0.76'!$E20</f>
        <v>64.535134409999998</v>
      </c>
      <c r="I20" s="15">
        <f>'FU 0.77'!$E20</f>
        <v>64.065271929999994</v>
      </c>
      <c r="J20" s="15">
        <f>'FU 0.78'!$E20</f>
        <v>63.595476310000002</v>
      </c>
      <c r="K20" s="15">
        <f>'FU 0.79'!$E20</f>
        <v>63.125746999999997</v>
      </c>
      <c r="L20" s="15">
        <f>'FU 0.8'!$E20</f>
        <v>62.656081200000003</v>
      </c>
      <c r="M20" s="15">
        <f>'FU 0.81'!$E20</f>
        <v>62.186475399999999</v>
      </c>
      <c r="N20" s="15">
        <f>'FU 0.82'!$E20</f>
        <v>61.716925179999997</v>
      </c>
      <c r="O20" s="15">
        <f>'FU 0.83'!$E20</f>
        <v>61.24742509</v>
      </c>
      <c r="P20" s="15">
        <f>'FU 0.84'!$E20</f>
        <v>60.777968379999997</v>
      </c>
      <c r="Q20" s="15">
        <f>'FU 0.85'!$E20</f>
        <v>60.308546700000001</v>
      </c>
    </row>
    <row r="21" spans="1:17" x14ac:dyDescent="0.25">
      <c r="A21">
        <f>'FU 0.7'!A21</f>
        <v>0.79</v>
      </c>
      <c r="B21" s="15">
        <f>'FU 0.7'!E21</f>
        <v>67.88638546</v>
      </c>
      <c r="C21" s="15">
        <f t="shared" si="0"/>
        <v>67.423610679999996</v>
      </c>
      <c r="D21" s="15">
        <f>'FU 0.72'!$E21</f>
        <v>66.960835900000006</v>
      </c>
      <c r="E21" s="15">
        <f>'FU 0.73'!$E21</f>
        <v>66.498160949999999</v>
      </c>
      <c r="F21" s="15">
        <f>'FU 0.74'!$E21</f>
        <v>66.035552229999993</v>
      </c>
      <c r="G21" s="15">
        <f>'FU 0.75'!$E21</f>
        <v>65.573008970000004</v>
      </c>
      <c r="H21" s="15">
        <f>'FU 0.76'!$E21</f>
        <v>65.110531809999998</v>
      </c>
      <c r="I21" s="15">
        <f>'FU 0.77'!$E21</f>
        <v>64.648115489999995</v>
      </c>
      <c r="J21" s="15">
        <f>'FU 0.78'!$E21</f>
        <v>64.185759320000003</v>
      </c>
      <c r="K21" s="15">
        <f>'FU 0.79'!$E21</f>
        <v>63.723460240000001</v>
      </c>
      <c r="L21" s="15">
        <f>'FU 0.8'!$E21</f>
        <v>63.261214430000003</v>
      </c>
      <c r="M21" s="15">
        <f>'FU 0.81'!$E21</f>
        <v>62.799017120000002</v>
      </c>
      <c r="N21" s="15">
        <f>'FU 0.82'!$E21</f>
        <v>62.336862449999998</v>
      </c>
      <c r="O21" s="15">
        <f>'FU 0.83'!$E21</f>
        <v>61.874743209999998</v>
      </c>
      <c r="P21" s="15">
        <f>'FU 0.84'!$E21</f>
        <v>61.41265052</v>
      </c>
      <c r="Q21" s="15">
        <f>'FU 0.85'!$E21</f>
        <v>60.950573419999998</v>
      </c>
    </row>
    <row r="22" spans="1:17" x14ac:dyDescent="0.25">
      <c r="A22">
        <f>'FU 0.7'!A22</f>
        <v>0.8</v>
      </c>
      <c r="B22" s="15">
        <f>'FU 0.7'!E22</f>
        <v>68.416057690000002</v>
      </c>
      <c r="C22" s="15">
        <f t="shared" si="0"/>
        <v>67.960730720000001</v>
      </c>
      <c r="D22" s="15">
        <f>'FU 0.72'!$E22</f>
        <v>67.505403749999999</v>
      </c>
      <c r="E22" s="15">
        <f>'FU 0.73'!$E22</f>
        <v>67.050166959999999</v>
      </c>
      <c r="F22" s="15">
        <f>'FU 0.74'!$E22</f>
        <v>66.594989080000005</v>
      </c>
      <c r="G22" s="15">
        <f>'FU 0.75'!$E22</f>
        <v>66.139870599999995</v>
      </c>
      <c r="H22" s="15">
        <f>'FU 0.76'!$E22</f>
        <v>65.684805699999998</v>
      </c>
      <c r="I22" s="15">
        <f>'FU 0.77'!$E22</f>
        <v>65.229793439999995</v>
      </c>
      <c r="J22" s="15">
        <f>'FU 0.78'!$E22</f>
        <v>64.774830370000004</v>
      </c>
      <c r="K22" s="15">
        <f>'FU 0.79'!$E22</f>
        <v>64.319912180000003</v>
      </c>
      <c r="L22" s="15">
        <f>'FU 0.8'!$E22</f>
        <v>63.865033590000003</v>
      </c>
      <c r="M22" s="15">
        <f>'FU 0.81'!$E22</f>
        <v>63.410188079999998</v>
      </c>
      <c r="N22" s="15">
        <f>'FU 0.82'!$E22</f>
        <v>62.955367709999997</v>
      </c>
      <c r="O22" s="15">
        <f>'FU 0.83'!$E22</f>
        <v>62.500562770000002</v>
      </c>
      <c r="P22" s="15">
        <f>'FU 0.84'!$E22</f>
        <v>62.045761280000001</v>
      </c>
      <c r="Q22" s="15">
        <f>'FU 0.85'!$E22</f>
        <v>61.590948419999997</v>
      </c>
    </row>
    <row r="23" spans="1:17" x14ac:dyDescent="0.25">
      <c r="A23">
        <f>'FU 0.7'!A23</f>
        <v>0.81</v>
      </c>
      <c r="B23" s="15">
        <f>'FU 0.7'!E23</f>
        <v>68.944628089999995</v>
      </c>
      <c r="C23" s="15">
        <f t="shared" si="0"/>
        <v>68.49670605</v>
      </c>
      <c r="D23" s="15">
        <f>'FU 0.72'!$E23</f>
        <v>68.048784010000006</v>
      </c>
      <c r="E23" s="15">
        <f>'FU 0.73'!$E23</f>
        <v>67.600941019999993</v>
      </c>
      <c r="F23" s="15">
        <f>'FU 0.74'!$E23</f>
        <v>67.153145749999993</v>
      </c>
      <c r="G23" s="15">
        <f>'FU 0.75'!$E23</f>
        <v>66.705397110000007</v>
      </c>
      <c r="H23" s="15">
        <f>'FU 0.76'!$E23</f>
        <v>66.25769185</v>
      </c>
      <c r="I23" s="15">
        <f>'FU 0.77'!$E23</f>
        <v>65.810025920000001</v>
      </c>
      <c r="J23" s="15">
        <f>'FU 0.78'!$E23</f>
        <v>65.362394309999999</v>
      </c>
      <c r="K23" s="15">
        <f>'FU 0.79'!$E23</f>
        <v>64.914790920000002</v>
      </c>
      <c r="L23" s="15">
        <f>'FU 0.8'!$E23</f>
        <v>64.467208319999997</v>
      </c>
      <c r="M23" s="15">
        <f>'FU 0.81'!$E23</f>
        <v>64.019637459999998</v>
      </c>
      <c r="N23" s="15">
        <f>'FU 0.82'!$E23</f>
        <v>63.572067320000002</v>
      </c>
      <c r="O23" s="15">
        <f>'FU 0.83'!$E23</f>
        <v>63.124484410000001</v>
      </c>
      <c r="P23" s="15">
        <f>'FU 0.84'!$E23</f>
        <v>62.67687205</v>
      </c>
      <c r="Q23" s="15">
        <f>'FU 0.85'!$E23</f>
        <v>62.22921169</v>
      </c>
    </row>
    <row r="24" spans="1:17" x14ac:dyDescent="0.25">
      <c r="A24">
        <f>'FU 0.7'!A24</f>
        <v>0.82</v>
      </c>
      <c r="B24" s="15">
        <f>'FU 0.7'!E24</f>
        <v>69.471829240000005</v>
      </c>
      <c r="C24" s="15">
        <f t="shared" si="0"/>
        <v>69.031256859999999</v>
      </c>
      <c r="D24" s="15">
        <f>'FU 0.72'!$E24</f>
        <v>68.590684479999993</v>
      </c>
      <c r="E24" s="15">
        <f>'FU 0.73'!$E24</f>
        <v>68.150171099999994</v>
      </c>
      <c r="F24" s="15">
        <f>'FU 0.74'!$E24</f>
        <v>67.709693520000002</v>
      </c>
      <c r="G24" s="15">
        <f>'FU 0.75'!$E24</f>
        <v>67.269247669999999</v>
      </c>
      <c r="H24" s="15">
        <f>'FU 0.76'!$E24</f>
        <v>66.828828619999996</v>
      </c>
      <c r="I24" s="15">
        <f>'FU 0.77'!$E24</f>
        <v>66.388430040000003</v>
      </c>
      <c r="J24" s="15">
        <f>'FU 0.78'!$E24</f>
        <v>65.948045269999994</v>
      </c>
      <c r="K24" s="15">
        <f>'FU 0.79'!$E24</f>
        <v>65.507665149999994</v>
      </c>
      <c r="L24" s="15">
        <f>'FU 0.8'!$E24</f>
        <v>65.067279020000001</v>
      </c>
      <c r="M24" s="15">
        <f>'FU 0.81'!$E24</f>
        <v>64.626873919999994</v>
      </c>
      <c r="N24" s="15">
        <f>'FU 0.82'!$E24</f>
        <v>64.186434019999993</v>
      </c>
      <c r="O24" s="15">
        <f>'FU 0.83'!$E24</f>
        <v>63.745939810000003</v>
      </c>
      <c r="P24" s="15">
        <f>'FU 0.84'!$E24</f>
        <v>63.305369519999999</v>
      </c>
      <c r="Q24" s="15">
        <f>'FU 0.85'!$E24</f>
        <v>62.864688309999998</v>
      </c>
    </row>
    <row r="25" spans="1:17" x14ac:dyDescent="0.25">
      <c r="A25">
        <f>'FU 0.7'!A25</f>
        <v>0.83</v>
      </c>
      <c r="B25" s="15">
        <f>'FU 0.7'!E25</f>
        <v>69.997297930000002</v>
      </c>
      <c r="C25" s="15">
        <f t="shared" si="0"/>
        <v>69.563996985000003</v>
      </c>
      <c r="D25" s="15">
        <f>'FU 0.72'!$E25</f>
        <v>69.130696040000004</v>
      </c>
      <c r="E25" s="15">
        <f>'FU 0.73'!$E25</f>
        <v>68.697430209999993</v>
      </c>
      <c r="F25" s="15">
        <f>'FU 0.74'!$E25</f>
        <v>68.264181120000003</v>
      </c>
      <c r="G25" s="15">
        <f>'FU 0.75'!$E25</f>
        <v>67.830942500000006</v>
      </c>
      <c r="H25" s="15">
        <f>'FU 0.76'!$E25</f>
        <v>67.397706799999995</v>
      </c>
      <c r="I25" s="15">
        <f>'FU 0.77'!$E25</f>
        <v>66.964464969999995</v>
      </c>
      <c r="J25" s="15">
        <f>'FU 0.78'!$E25</f>
        <v>66.531206130000001</v>
      </c>
      <c r="K25" s="15">
        <f>'FU 0.79'!$E25</f>
        <v>66.097917140000007</v>
      </c>
      <c r="L25" s="15">
        <f>'FU 0.8'!$E25</f>
        <v>65.664582120000006</v>
      </c>
      <c r="M25" s="15">
        <f>'FU 0.81'!$E25</f>
        <v>65.231181239999998</v>
      </c>
      <c r="N25" s="15">
        <f>'FU 0.82'!$E25</f>
        <v>64.797693760000001</v>
      </c>
      <c r="O25" s="15">
        <f>'FU 0.83'!$E25</f>
        <v>64.364085619999997</v>
      </c>
      <c r="P25" s="15">
        <f>'FU 0.84'!$E25</f>
        <v>63.93032109</v>
      </c>
      <c r="Q25" s="15">
        <f>'FU 0.85'!$E25</f>
        <v>63.496351949999998</v>
      </c>
    </row>
    <row r="26" spans="1:17" x14ac:dyDescent="0.25">
      <c r="A26">
        <f>'FU 0.7'!A26</f>
        <v>0.84</v>
      </c>
      <c r="B26" s="15">
        <f>'FU 0.7'!E26</f>
        <v>70.520513339999994</v>
      </c>
      <c r="C26" s="15">
        <f t="shared" si="0"/>
        <v>70.094377420000001</v>
      </c>
      <c r="D26" s="15">
        <f>'FU 0.72'!$E26</f>
        <v>69.668241499999993</v>
      </c>
      <c r="E26" s="15">
        <f>'FU 0.73'!$E26</f>
        <v>69.242104260000005</v>
      </c>
      <c r="F26" s="15">
        <f>'FU 0.74'!$E26</f>
        <v>68.815955500000001</v>
      </c>
      <c r="G26" s="15">
        <f>'FU 0.75'!$E26</f>
        <v>68.38978539</v>
      </c>
      <c r="H26" s="15">
        <f>'FU 0.76'!$E26</f>
        <v>67.963582169999995</v>
      </c>
      <c r="I26" s="15">
        <f>'FU 0.77'!$E26</f>
        <v>67.537331769999994</v>
      </c>
      <c r="J26" s="15">
        <f>'FU 0.78'!$E26</f>
        <v>67.111017279999999</v>
      </c>
      <c r="K26" s="15">
        <f>'FU 0.79'!$E26</f>
        <v>66.684618189999995</v>
      </c>
      <c r="L26" s="15">
        <f>'FU 0.8'!$E26</f>
        <v>66.258109480000002</v>
      </c>
      <c r="M26" s="15">
        <f>'FU 0.81'!$E26</f>
        <v>65.831463020000001</v>
      </c>
      <c r="N26" s="15">
        <f>'FU 0.82'!$E26</f>
        <v>65.404635400000004</v>
      </c>
      <c r="O26" s="15">
        <f>'FU 0.83'!$E26</f>
        <v>64.977579820000003</v>
      </c>
      <c r="P26" s="15">
        <f>'FU 0.84'!$E26</f>
        <v>64.550232840000007</v>
      </c>
      <c r="Q26" s="15">
        <f>'FU 0.85'!$E26</f>
        <v>64.122510349999999</v>
      </c>
    </row>
    <row r="27" spans="1:17" x14ac:dyDescent="0.25">
      <c r="A27">
        <f>'FU 0.7'!A27</f>
        <v>0.85</v>
      </c>
      <c r="B27" s="15">
        <f>'FU 0.7'!E27</f>
        <v>71.040715000000006</v>
      </c>
      <c r="C27" s="15">
        <f t="shared" si="0"/>
        <v>70.621586054999995</v>
      </c>
      <c r="D27" s="15">
        <f>'FU 0.72'!$E27</f>
        <v>70.202457109999997</v>
      </c>
      <c r="E27" s="15">
        <f>'FU 0.73'!$E27</f>
        <v>69.783270299999998</v>
      </c>
      <c r="F27" s="15">
        <f>'FU 0.74'!$E27</f>
        <v>69.3640276</v>
      </c>
      <c r="G27" s="15">
        <f>'FU 0.75'!$E27</f>
        <v>68.944712960000004</v>
      </c>
      <c r="H27" s="15">
        <f>'FU 0.76'!$E27</f>
        <v>68.525307209999994</v>
      </c>
      <c r="I27" s="15">
        <f>'FU 0.77'!$E27</f>
        <v>68.105787250000006</v>
      </c>
      <c r="J27" s="15">
        <f>'FU 0.78'!$E27</f>
        <v>67.686124980000002</v>
      </c>
      <c r="K27" s="15">
        <f>'FU 0.79'!$E27</f>
        <v>67.266288790000004</v>
      </c>
      <c r="L27" s="15">
        <f>'FU 0.8'!$E27</f>
        <v>66.846230869999999</v>
      </c>
      <c r="M27" s="15">
        <f>'FU 0.81'!$E27</f>
        <v>66.425899490000006</v>
      </c>
      <c r="N27" s="15">
        <f>'FU 0.82'!$E27</f>
        <v>66.005225199999998</v>
      </c>
      <c r="O27" s="15">
        <f>'FU 0.83'!$E27</f>
        <v>65.584116829999999</v>
      </c>
      <c r="P27" s="15">
        <f>'FU 0.84'!$E27</f>
        <v>65.162451379999993</v>
      </c>
      <c r="Q27" s="15">
        <f>'FU 0.85'!$E27</f>
        <v>64.740057309999997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T12" sqref="T1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6">
        <f>'FU 0.7'!$L2</f>
        <v>8474.3109999999997</v>
      </c>
      <c r="C2" s="16">
        <f>(B2+D2)/2</f>
        <v>8455.7577000000001</v>
      </c>
      <c r="D2" s="16">
        <f>'FU 0.72'!$L2</f>
        <v>8437.2044000000005</v>
      </c>
      <c r="E2" s="16">
        <f>'FU 0.73'!$L2</f>
        <v>8418.2455000000009</v>
      </c>
      <c r="F2" s="16">
        <f>'FU 0.74'!$L2</f>
        <v>8399.0308000000005</v>
      </c>
      <c r="G2" s="16">
        <f>'FU 0.75'!$L2</f>
        <v>8379.5427999999993</v>
      </c>
      <c r="H2" s="16">
        <f>'FU 0.76'!$L2</f>
        <v>8359.7623999999996</v>
      </c>
      <c r="I2" s="16">
        <f>'FU 0.77'!$L2</f>
        <v>8339.6684000000005</v>
      </c>
      <c r="J2" s="16">
        <f>'FU 0.78'!$L2</f>
        <v>8319.2374</v>
      </c>
      <c r="K2" s="16">
        <f>'FU 0.79'!$L2</f>
        <v>8298.4433000000008</v>
      </c>
      <c r="L2" s="16">
        <f>'FU 0.8'!$L2</f>
        <v>8277.2569999999996</v>
      </c>
      <c r="M2" s="16">
        <f>'FU 0.81'!$L2</f>
        <v>8255.6458000000002</v>
      </c>
      <c r="N2" s="16">
        <f>'FU 0.82'!$L2</f>
        <v>8233.5723999999991</v>
      </c>
      <c r="O2" s="16">
        <f>'FU 0.83'!$L2</f>
        <v>8210.9946</v>
      </c>
      <c r="P2" s="16">
        <f>'FU 0.84'!$L2</f>
        <v>8187.8639999999996</v>
      </c>
      <c r="Q2" s="16">
        <f>'FU 0.85'!$L2</f>
        <v>8164.1242000000002</v>
      </c>
    </row>
    <row r="3" spans="1:17" x14ac:dyDescent="0.25">
      <c r="A3">
        <f>'FU 0.7'!A3</f>
        <v>0.61</v>
      </c>
      <c r="B3" s="16">
        <f>'FU 0.7'!$L3</f>
        <v>8241.2139999999999</v>
      </c>
      <c r="C3" s="16">
        <f t="shared" ref="C3:C27" si="0">(B3+D3)/2</f>
        <v>8222.6102499999997</v>
      </c>
      <c r="D3" s="16">
        <f>'FU 0.72'!$L3</f>
        <v>8204.0064999999995</v>
      </c>
      <c r="E3" s="16">
        <f>'FU 0.73'!$L3</f>
        <v>8184.9917999999998</v>
      </c>
      <c r="F3" s="16">
        <f>'FU 0.74'!$L3</f>
        <v>8165.7178999999996</v>
      </c>
      <c r="G3" s="16">
        <f>'FU 0.75'!$L3</f>
        <v>8146.1670000000004</v>
      </c>
      <c r="H3" s="16">
        <f>'FU 0.76'!$L3</f>
        <v>8126.3197</v>
      </c>
      <c r="I3" s="16">
        <f>'FU 0.77'!$L3</f>
        <v>8106.1545999999998</v>
      </c>
      <c r="J3" s="16">
        <f>'FU 0.78'!$L3</f>
        <v>8085.6478999999999</v>
      </c>
      <c r="K3" s="16">
        <f>'FU 0.79'!$L3</f>
        <v>8064.7730000000001</v>
      </c>
      <c r="L3" s="16">
        <f>'FU 0.8'!$L3</f>
        <v>8043.5005000000001</v>
      </c>
      <c r="M3" s="16">
        <f>'FU 0.81'!$L3</f>
        <v>8021.7968000000001</v>
      </c>
      <c r="N3" s="16">
        <f>'FU 0.82'!$L3</f>
        <v>7999.6243000000004</v>
      </c>
      <c r="O3" s="16">
        <f>'FU 0.83'!$L3</f>
        <v>7976.9398000000001</v>
      </c>
      <c r="P3" s="16">
        <f>'FU 0.84'!$L3</f>
        <v>7953.6940000000004</v>
      </c>
      <c r="Q3" s="16">
        <f>'FU 0.85'!$L3</f>
        <v>7929.8293999999996</v>
      </c>
    </row>
    <row r="4" spans="1:17" x14ac:dyDescent="0.25">
      <c r="A4">
        <f>'FU 0.7'!A4</f>
        <v>0.62</v>
      </c>
      <c r="B4" s="16">
        <f>'FU 0.7'!$L4</f>
        <v>8008.0122000000001</v>
      </c>
      <c r="C4" s="16">
        <f t="shared" si="0"/>
        <v>7989.3549000000003</v>
      </c>
      <c r="D4" s="16">
        <f>'FU 0.72'!$L4</f>
        <v>7970.6976000000004</v>
      </c>
      <c r="E4" s="16">
        <f>'FU 0.73'!$L4</f>
        <v>7951.6235999999999</v>
      </c>
      <c r="F4" s="16">
        <f>'FU 0.74'!$L4</f>
        <v>7932.2866000000004</v>
      </c>
      <c r="G4" s="16">
        <f>'FU 0.75'!$L4</f>
        <v>7912.6688000000004</v>
      </c>
      <c r="H4" s="16">
        <f>'FU 0.76'!$L4</f>
        <v>7892.7502000000004</v>
      </c>
      <c r="I4" s="16">
        <f>'FU 0.77'!$L4</f>
        <v>7872.5092999999997</v>
      </c>
      <c r="J4" s="16">
        <f>'FU 0.78'!$L4</f>
        <v>7851.9218000000001</v>
      </c>
      <c r="K4" s="16">
        <f>'FU 0.79'!$L4</f>
        <v>7830.9606999999996</v>
      </c>
      <c r="L4" s="16">
        <f>'FU 0.8'!$L4</f>
        <v>7809.5959999999995</v>
      </c>
      <c r="M4" s="16">
        <f>'FU 0.81'!$L4</f>
        <v>7787.7936</v>
      </c>
      <c r="N4" s="16">
        <f>'FU 0.82'!$L4</f>
        <v>7765.5150000000003</v>
      </c>
      <c r="O4" s="16">
        <f>'FU 0.83'!$L4</f>
        <v>7742.7163</v>
      </c>
      <c r="P4" s="16">
        <f>'FU 0.84'!$L4</f>
        <v>7719.3471</v>
      </c>
      <c r="Q4" s="16">
        <f>'FU 0.85'!$L4</f>
        <v>7695.3486999999996</v>
      </c>
    </row>
    <row r="5" spans="1:17" x14ac:dyDescent="0.25">
      <c r="A5">
        <f>'FU 0.7'!A5</f>
        <v>0.63</v>
      </c>
      <c r="B5" s="16">
        <f>'FU 0.7'!$L5</f>
        <v>7774.8055999999997</v>
      </c>
      <c r="C5" s="16">
        <f t="shared" si="0"/>
        <v>7756.0365999999995</v>
      </c>
      <c r="D5" s="16">
        <f>'FU 0.72'!$L5</f>
        <v>7737.2676000000001</v>
      </c>
      <c r="E5" s="16">
        <f>'FU 0.73'!$L5</f>
        <v>7718.1302999999998</v>
      </c>
      <c r="F5" s="16">
        <f>'FU 0.74'!$L5</f>
        <v>7698.7262000000001</v>
      </c>
      <c r="G5" s="16">
        <f>'FU 0.75'!$L5</f>
        <v>7679.0367999999999</v>
      </c>
      <c r="H5" s="16">
        <f>'FU 0.76'!$L5</f>
        <v>7659.0421999999999</v>
      </c>
      <c r="I5" s="16">
        <f>'FU 0.77'!$L5</f>
        <v>7638.7201999999997</v>
      </c>
      <c r="J5" s="16">
        <f>'FU 0.78'!$L5</f>
        <v>7618.0463</v>
      </c>
      <c r="K5" s="16">
        <f>'FU 0.79'!$L5</f>
        <v>7596.9930000000004</v>
      </c>
      <c r="L5" s="16">
        <f>'FU 0.8'!$L5</f>
        <v>7575.5295999999998</v>
      </c>
      <c r="M5" s="16">
        <f>'FU 0.81'!$L5</f>
        <v>7553.6214</v>
      </c>
      <c r="N5" s="16">
        <f>'FU 0.82'!$L5</f>
        <v>7531.2290999999996</v>
      </c>
      <c r="O5" s="16">
        <f>'FU 0.83'!$L5</f>
        <v>7508.3078999999998</v>
      </c>
      <c r="P5" s="16">
        <f>'FU 0.84'!$L5</f>
        <v>7484.8062</v>
      </c>
      <c r="Q5" s="16">
        <f>'FU 0.85'!$L5</f>
        <v>7460.7543999999998</v>
      </c>
    </row>
    <row r="6" spans="1:17" x14ac:dyDescent="0.25">
      <c r="A6">
        <f>'FU 0.7'!A6</f>
        <v>0.64</v>
      </c>
      <c r="B6" s="16">
        <f>'FU 0.7'!$L6</f>
        <v>7541.3662000000004</v>
      </c>
      <c r="C6" s="16">
        <f t="shared" si="0"/>
        <v>7522.5356000000002</v>
      </c>
      <c r="D6" s="16">
        <f>'FU 0.72'!$L6</f>
        <v>7503.7049999999999</v>
      </c>
      <c r="E6" s="16">
        <f>'FU 0.73'!$L6</f>
        <v>7484.5002000000004</v>
      </c>
      <c r="F6" s="16">
        <f>'FU 0.74'!$L6</f>
        <v>7465.0241999999998</v>
      </c>
      <c r="G6" s="16">
        <f>'FU 0.75'!$L6</f>
        <v>7445.2583000000004</v>
      </c>
      <c r="H6" s="16">
        <f>'FU 0.76'!$L6</f>
        <v>7425.1823000000004</v>
      </c>
      <c r="I6" s="16">
        <f>'FU 0.77'!$L6</f>
        <v>7404.7736000000004</v>
      </c>
      <c r="J6" s="16">
        <f>'FU 0.78'!$L6</f>
        <v>7384.0069999999996</v>
      </c>
      <c r="K6" s="16">
        <f>'FU 0.79'!$L6</f>
        <v>7362.8548000000001</v>
      </c>
      <c r="L6" s="16">
        <f>'FU 0.8'!$L6</f>
        <v>7341.2853999999998</v>
      </c>
      <c r="M6" s="16">
        <f>'FU 0.81'!$L6</f>
        <v>7319.2636000000002</v>
      </c>
      <c r="N6" s="16">
        <f>'FU 0.82'!$L6</f>
        <v>7296.7491</v>
      </c>
      <c r="O6" s="16">
        <f>'FU 0.83'!$L6</f>
        <v>7273.6961000000001</v>
      </c>
      <c r="P6" s="16">
        <f>'FU 0.84'!$L6</f>
        <v>7250.0517</v>
      </c>
      <c r="Q6" s="16">
        <f>'FU 0.85'!$L6</f>
        <v>7225.8472000000002</v>
      </c>
    </row>
    <row r="7" spans="1:17" x14ac:dyDescent="0.25">
      <c r="A7">
        <f>'FU 0.7'!A7</f>
        <v>0.65</v>
      </c>
      <c r="B7" s="16">
        <f>'FU 0.7'!$L7</f>
        <v>7307.7898999999998</v>
      </c>
      <c r="C7" s="16">
        <f t="shared" si="0"/>
        <v>7288.8933999999999</v>
      </c>
      <c r="D7" s="16">
        <f>'FU 0.72'!$L7</f>
        <v>7269.9969000000001</v>
      </c>
      <c r="E7" s="16">
        <f>'FU 0.73'!$L7</f>
        <v>7250.7196999999996</v>
      </c>
      <c r="F7" s="16">
        <f>'FU 0.74'!$L7</f>
        <v>7231.1666999999998</v>
      </c>
      <c r="G7" s="16">
        <f>'FU 0.75'!$L7</f>
        <v>7211.3188</v>
      </c>
      <c r="H7" s="16">
        <f>'FU 0.76'!$L7</f>
        <v>7191.1554999999998</v>
      </c>
      <c r="I7" s="16">
        <f>'FU 0.77'!$L7</f>
        <v>7170.6535000000003</v>
      </c>
      <c r="J7" s="16">
        <f>'FU 0.78'!$L7</f>
        <v>7149.7875000000004</v>
      </c>
      <c r="K7" s="16">
        <f>'FU 0.79'!$L7</f>
        <v>7128.5288</v>
      </c>
      <c r="L7" s="16">
        <f>'FU 0.8'!$L7</f>
        <v>7106.8455000000004</v>
      </c>
      <c r="M7" s="16">
        <f>'FU 0.81'!$L7</f>
        <v>7084.7012000000004</v>
      </c>
      <c r="N7" s="16">
        <f>'FU 0.82'!$L7</f>
        <v>7062.0550000000003</v>
      </c>
      <c r="O7" s="16">
        <f>'FU 0.83'!$L7</f>
        <v>7038.8597</v>
      </c>
      <c r="P7" s="16">
        <f>'FU 0.84'!$L7</f>
        <v>7015.0613000000003</v>
      </c>
      <c r="Q7" s="16">
        <f>'FU 0.85'!$L7</f>
        <v>6990.6917999999996</v>
      </c>
    </row>
    <row r="8" spans="1:17" x14ac:dyDescent="0.25">
      <c r="A8">
        <f>'FU 0.7'!A8</f>
        <v>0.66</v>
      </c>
      <c r="B8" s="16">
        <f>'FU 0.7'!$L8</f>
        <v>7074.0627000000004</v>
      </c>
      <c r="C8" s="16">
        <f t="shared" si="0"/>
        <v>7055.0956000000006</v>
      </c>
      <c r="D8" s="16">
        <f>'FU 0.72'!$L8</f>
        <v>7036.1284999999998</v>
      </c>
      <c r="E8" s="16">
        <f>'FU 0.73'!$L8</f>
        <v>7016.7736999999997</v>
      </c>
      <c r="F8" s="16">
        <f>'FU 0.74'!$L8</f>
        <v>6997.1378999999997</v>
      </c>
      <c r="G8" s="16">
        <f>'FU 0.75'!$L8</f>
        <v>6977.2019</v>
      </c>
      <c r="H8" s="16">
        <f>'FU 0.76'!$L8</f>
        <v>6956.9444999999996</v>
      </c>
      <c r="I8" s="16">
        <f>'FU 0.77'!$L8</f>
        <v>6936.3422</v>
      </c>
      <c r="J8" s="16">
        <f>'FU 0.78'!$L8</f>
        <v>6915.3689999999997</v>
      </c>
      <c r="K8" s="16">
        <f>'FU 0.79'!$L8</f>
        <v>6893.9955</v>
      </c>
      <c r="L8" s="16">
        <f>'FU 0.8'!$L8</f>
        <v>6872.1890999999996</v>
      </c>
      <c r="M8" s="16">
        <f>'FU 0.81'!$L8</f>
        <v>6849.9125999999997</v>
      </c>
      <c r="N8" s="16">
        <f>'FU 0.82'!$L8</f>
        <v>6827.1238999999996</v>
      </c>
      <c r="O8" s="16">
        <f>'FU 0.83'!$L8</f>
        <v>6803.7748000000001</v>
      </c>
      <c r="P8" s="16">
        <f>'FU 0.84'!$L8</f>
        <v>6779.8923999999997</v>
      </c>
      <c r="Q8" s="16">
        <f>'FU 0.85'!$L8</f>
        <v>6755.2610999999997</v>
      </c>
    </row>
    <row r="9" spans="1:17" x14ac:dyDescent="0.25">
      <c r="A9">
        <f>'FU 0.7'!A9</f>
        <v>0.67</v>
      </c>
      <c r="B9" s="16">
        <f>'FU 0.7'!$L9</f>
        <v>6840.1691000000001</v>
      </c>
      <c r="C9" s="16">
        <f t="shared" si="0"/>
        <v>6821.1260999999995</v>
      </c>
      <c r="D9" s="16">
        <f>'FU 0.72'!$L9</f>
        <v>6802.0830999999998</v>
      </c>
      <c r="E9" s="16">
        <f>'FU 0.73'!$L9</f>
        <v>6782.6446999999998</v>
      </c>
      <c r="F9" s="16">
        <f>'FU 0.74'!$L9</f>
        <v>6762.9197999999997</v>
      </c>
      <c r="G9" s="16">
        <f>'FU 0.75'!$L9</f>
        <v>6742.8887000000004</v>
      </c>
      <c r="H9" s="16">
        <f>'FU 0.76'!$L9</f>
        <v>6722.5298000000003</v>
      </c>
      <c r="I9" s="16">
        <f>'FU 0.77'!$L9</f>
        <v>6701.8190999999997</v>
      </c>
      <c r="J9" s="16">
        <f>'FU 0.78'!$L9</f>
        <v>6680.73</v>
      </c>
      <c r="K9" s="16">
        <f>'FU 0.79'!$L9</f>
        <v>6659.2323999999999</v>
      </c>
      <c r="L9" s="16">
        <f>'FU 0.8'!$L9</f>
        <v>6637.2927</v>
      </c>
      <c r="M9" s="16">
        <f>'FU 0.81'!$L9</f>
        <v>6614.8729000000003</v>
      </c>
      <c r="N9" s="16">
        <f>'FU 0.82'!$L9</f>
        <v>6591.9296999999997</v>
      </c>
      <c r="O9" s="16">
        <f>'FU 0.83'!$L9</f>
        <v>6568.4134000000004</v>
      </c>
      <c r="P9" s="16">
        <f>'FU 0.84'!$L9</f>
        <v>6544.3519999999999</v>
      </c>
      <c r="Q9" s="16">
        <f>'FU 0.85'!$L9</f>
        <v>6519.5236999999997</v>
      </c>
    </row>
    <row r="10" spans="1:17" x14ac:dyDescent="0.25">
      <c r="A10">
        <f>'FU 0.7'!A10</f>
        <v>0.68</v>
      </c>
      <c r="B10" s="16">
        <f>'FU 0.7'!$L10</f>
        <v>6606.0910000000003</v>
      </c>
      <c r="C10" s="16">
        <f t="shared" si="0"/>
        <v>6586.9660999999996</v>
      </c>
      <c r="D10" s="16">
        <f>'FU 0.72'!$L10</f>
        <v>6567.8411999999998</v>
      </c>
      <c r="E10" s="16">
        <f>'FU 0.73'!$L10</f>
        <v>6548.3126000000002</v>
      </c>
      <c r="F10" s="16">
        <f>'FU 0.74'!$L10</f>
        <v>6528.4913999999999</v>
      </c>
      <c r="G10" s="16">
        <f>'FU 0.75'!$L10</f>
        <v>6508.3573999999999</v>
      </c>
      <c r="H10" s="16">
        <f>'FU 0.76'!$L10</f>
        <v>6487.8887000000004</v>
      </c>
      <c r="I10" s="16">
        <f>'FU 0.77'!$L10</f>
        <v>6467.0605999999998</v>
      </c>
      <c r="J10" s="16">
        <f>'FU 0.78'!$L10</f>
        <v>6445.8458000000001</v>
      </c>
      <c r="K10" s="16">
        <f>'FU 0.79'!$L10</f>
        <v>6424.2133999999996</v>
      </c>
      <c r="L10" s="16">
        <f>'FU 0.8'!$L10</f>
        <v>6402.1289999999999</v>
      </c>
      <c r="M10" s="16">
        <f>'FU 0.81'!$L10</f>
        <v>6379.5532999999996</v>
      </c>
      <c r="N10" s="16">
        <f>'FU 0.82'!$L10</f>
        <v>6356.4418999999998</v>
      </c>
      <c r="O10" s="16">
        <f>'FU 0.83'!$L10</f>
        <v>6332.8188</v>
      </c>
      <c r="P10" s="16">
        <f>'FU 0.84'!$L10</f>
        <v>6308.4867000000004</v>
      </c>
      <c r="Q10" s="16">
        <f>'FU 0.85'!$L10</f>
        <v>6283.4432999999999</v>
      </c>
    </row>
    <row r="11" spans="1:17" x14ac:dyDescent="0.25">
      <c r="A11">
        <f>'FU 0.7'!A11</f>
        <v>0.69</v>
      </c>
      <c r="B11" s="16">
        <f>'FU 0.7'!$L11</f>
        <v>6371.8076000000001</v>
      </c>
      <c r="C11" s="16">
        <f t="shared" si="0"/>
        <v>6352.5941999999995</v>
      </c>
      <c r="D11" s="16">
        <f>'FU 0.72'!$L11</f>
        <v>6333.3807999999999</v>
      </c>
      <c r="E11" s="16">
        <f>'FU 0.73'!$L11</f>
        <v>6313.7543999999998</v>
      </c>
      <c r="F11" s="16">
        <f>'FU 0.74'!$L11</f>
        <v>6293.8287</v>
      </c>
      <c r="G11" s="16">
        <f>'FU 0.75'!$L11</f>
        <v>6273.5832</v>
      </c>
      <c r="H11" s="16">
        <f>'FU 0.76'!$L11</f>
        <v>6252.9952000000003</v>
      </c>
      <c r="I11" s="16">
        <f>'FU 0.77'!$L11</f>
        <v>6232.0393999999997</v>
      </c>
      <c r="J11" s="16">
        <f>'FU 0.78'!$L11</f>
        <v>6210.6877000000004</v>
      </c>
      <c r="K11" s="16">
        <f>'FU 0.79'!$L11</f>
        <v>6188.9084999999995</v>
      </c>
      <c r="L11" s="16">
        <f>'FU 0.8'!$L11</f>
        <v>6166.6661999999997</v>
      </c>
      <c r="M11" s="16">
        <f>'FU 0.81'!$L11</f>
        <v>6143.9204</v>
      </c>
      <c r="N11" s="16">
        <f>'FU 0.82'!$L11</f>
        <v>6120.625</v>
      </c>
      <c r="O11" s="16">
        <f>'FU 0.83'!$L11</f>
        <v>6096.8049000000001</v>
      </c>
      <c r="P11" s="16">
        <f>'FU 0.84'!$L11</f>
        <v>6072.2566999999999</v>
      </c>
      <c r="Q11" s="16">
        <f>'FU 0.85'!$L11</f>
        <v>6046.9772000000003</v>
      </c>
    </row>
    <row r="12" spans="1:17" x14ac:dyDescent="0.25">
      <c r="A12">
        <f>'FU 0.7'!A12</f>
        <v>0.7</v>
      </c>
      <c r="B12" s="16">
        <f>'FU 0.7'!$L12</f>
        <v>6137.2948999999999</v>
      </c>
      <c r="C12" s="16">
        <f t="shared" si="0"/>
        <v>6117.9854500000001</v>
      </c>
      <c r="D12" s="16">
        <f>'FU 0.72'!$L12</f>
        <v>6098.6760000000004</v>
      </c>
      <c r="E12" s="16">
        <f>'FU 0.73'!$L12</f>
        <v>6078.9432999999999</v>
      </c>
      <c r="F12" s="16">
        <f>'FU 0.74'!$L12</f>
        <v>6058.9040000000005</v>
      </c>
      <c r="G12" s="16">
        <f>'FU 0.75'!$L12</f>
        <v>6038.5369000000001</v>
      </c>
      <c r="H12" s="16">
        <f>'FU 0.76'!$L12</f>
        <v>6017.8186999999998</v>
      </c>
      <c r="I12" s="16">
        <f>'FU 0.77'!$L12</f>
        <v>5996.7236000000003</v>
      </c>
      <c r="J12" s="16">
        <f>'FU 0.78'!$L12</f>
        <v>5975.2223000000004</v>
      </c>
      <c r="K12" s="16">
        <f>'FU 0.79'!$L12</f>
        <v>5953.2825000000003</v>
      </c>
      <c r="L12" s="16">
        <f>'FU 0.8'!$L12</f>
        <v>5930.8672999999999</v>
      </c>
      <c r="M12" s="16">
        <f>'FU 0.81'!$L12</f>
        <v>5907.9349000000002</v>
      </c>
      <c r="N12" s="16">
        <f>'FU 0.82'!$L12</f>
        <v>5884.5073000000002</v>
      </c>
      <c r="O12" s="16">
        <f>'FU 0.83'!$L12</f>
        <v>5860.4013000000004</v>
      </c>
      <c r="P12" s="16">
        <f>'FU 0.84'!$L12</f>
        <v>5835.6151</v>
      </c>
      <c r="Q12" s="16">
        <f>'FU 0.85'!$L12</f>
        <v>5810.0753999999997</v>
      </c>
    </row>
    <row r="13" spans="1:17" x14ac:dyDescent="0.25">
      <c r="A13">
        <f>'FU 0.7'!A13</f>
        <v>0.71</v>
      </c>
      <c r="B13" s="16">
        <f>'FU 0.7'!$L13</f>
        <v>5902.5249000000003</v>
      </c>
      <c r="C13" s="16">
        <f t="shared" si="0"/>
        <v>5883.1107499999998</v>
      </c>
      <c r="D13" s="16">
        <f>'FU 0.72'!$L13</f>
        <v>5863.6966000000002</v>
      </c>
      <c r="E13" s="16">
        <f>'FU 0.73'!$L13</f>
        <v>5843.848</v>
      </c>
      <c r="F13" s="16">
        <f>'FU 0.74'!$L13</f>
        <v>5823.6845000000003</v>
      </c>
      <c r="G13" s="16">
        <f>'FU 0.75'!$L13</f>
        <v>5803.1844000000001</v>
      </c>
      <c r="H13" s="16">
        <f>'FU 0.76'!$L13</f>
        <v>5782.3238000000001</v>
      </c>
      <c r="I13" s="16">
        <f>'FU 0.77'!$L13</f>
        <v>5761.0757999999996</v>
      </c>
      <c r="J13" s="16">
        <f>'FU 0.78'!$L13</f>
        <v>5739.4105</v>
      </c>
      <c r="K13" s="16">
        <f>'FU 0.79'!$L13</f>
        <v>5717.2942000000003</v>
      </c>
      <c r="L13" s="16">
        <f>'FU 0.8'!$L13</f>
        <v>5694.6887999999999</v>
      </c>
      <c r="M13" s="16">
        <f>'FU 0.81'!$L13</f>
        <v>5671.5509000000002</v>
      </c>
      <c r="N13" s="16">
        <f>'FU 0.82'!$L13</f>
        <v>5647.9031000000004</v>
      </c>
      <c r="O13" s="16">
        <f>'FU 0.83'!$L13</f>
        <v>5623.5558000000001</v>
      </c>
      <c r="P13" s="16">
        <f>'FU 0.84'!$L13</f>
        <v>5598.5064000000002</v>
      </c>
      <c r="Q13" s="16">
        <f>'FU 0.85'!$L13</f>
        <v>5572.6783999999998</v>
      </c>
    </row>
    <row r="14" spans="1:17" x14ac:dyDescent="0.25">
      <c r="A14">
        <f>'FU 0.7'!A14</f>
        <v>0.72</v>
      </c>
      <c r="B14" s="16">
        <f>'FU 0.7'!$L14</f>
        <v>5667.4646000000002</v>
      </c>
      <c r="C14" s="16">
        <f t="shared" si="0"/>
        <v>5647.9359999999997</v>
      </c>
      <c r="D14" s="16">
        <f>'FU 0.72'!$L14</f>
        <v>5628.4074000000001</v>
      </c>
      <c r="E14" s="16">
        <f>'FU 0.73'!$L14</f>
        <v>5608.4317000000001</v>
      </c>
      <c r="F14" s="16">
        <f>'FU 0.74'!$L14</f>
        <v>5588.1319000000003</v>
      </c>
      <c r="G14" s="16">
        <f>'FU 0.75'!$L14</f>
        <v>5567.4857000000002</v>
      </c>
      <c r="H14" s="16">
        <f>'FU 0.76'!$L14</f>
        <v>5546.4683999999997</v>
      </c>
      <c r="I14" s="16">
        <f>'FU 0.77'!$L14</f>
        <v>5525.0520999999999</v>
      </c>
      <c r="J14" s="16">
        <f>'FU 0.78'!$L14</f>
        <v>5503.2058999999999</v>
      </c>
      <c r="K14" s="16">
        <f>'FU 0.79'!$L14</f>
        <v>5480.8946999999998</v>
      </c>
      <c r="L14" s="16">
        <f>'FU 0.8'!$L14</f>
        <v>5458.0789000000004</v>
      </c>
      <c r="M14" s="16">
        <f>'FU 0.81'!$L14</f>
        <v>5434.7789000000002</v>
      </c>
      <c r="N14" s="16">
        <f>'FU 0.82'!$L14</f>
        <v>5410.8217999999997</v>
      </c>
      <c r="O14" s="16">
        <f>'FU 0.83'!$L14</f>
        <v>5386.2065000000002</v>
      </c>
      <c r="P14" s="16">
        <f>'FU 0.84'!$L14</f>
        <v>5360.8644000000004</v>
      </c>
      <c r="Q14" s="16">
        <f>'FU 0.85'!$L14</f>
        <v>5334.7151000000003</v>
      </c>
    </row>
    <row r="15" spans="1:17" x14ac:dyDescent="0.25">
      <c r="A15">
        <f>'FU 0.7'!A15</f>
        <v>0.73</v>
      </c>
      <c r="B15" s="16">
        <f>'FU 0.7'!$L15</f>
        <v>5432.0752000000002</v>
      </c>
      <c r="C15" s="16">
        <f t="shared" si="0"/>
        <v>5412.4207999999999</v>
      </c>
      <c r="D15" s="16">
        <f>'FU 0.72'!$L15</f>
        <v>5392.7664000000004</v>
      </c>
      <c r="E15" s="16">
        <f>'FU 0.73'!$L15</f>
        <v>5372.6507000000001</v>
      </c>
      <c r="F15" s="16">
        <f>'FU 0.74'!$L15</f>
        <v>5352.2007000000003</v>
      </c>
      <c r="G15" s="16">
        <f>'FU 0.75'!$L15</f>
        <v>5331.3932999999997</v>
      </c>
      <c r="H15" s="16">
        <f>'FU 0.76'!$L15</f>
        <v>5310.2025999999996</v>
      </c>
      <c r="I15" s="16">
        <f>'FU 0.77'!$L15</f>
        <v>5288.6</v>
      </c>
      <c r="J15" s="16">
        <f>'FU 0.78'!$L15</f>
        <v>5266.5532000000003</v>
      </c>
      <c r="K15" s="16">
        <f>'FU 0.79'!$L15</f>
        <v>5244.0257000000001</v>
      </c>
      <c r="L15" s="16">
        <f>'FU 0.8'!$L15</f>
        <v>5220.9760999999999</v>
      </c>
      <c r="M15" s="16">
        <f>'FU 0.81'!$L15</f>
        <v>5197.4254000000001</v>
      </c>
      <c r="N15" s="16">
        <f>'FU 0.82'!$L15</f>
        <v>5173.1936999999998</v>
      </c>
      <c r="O15" s="16">
        <f>'FU 0.83'!$L15</f>
        <v>5148.2790000000005</v>
      </c>
      <c r="P15" s="16">
        <f>'FU 0.84'!$L15</f>
        <v>5122.6091999999999</v>
      </c>
      <c r="Q15" s="16">
        <f>'FU 0.85'!$L15</f>
        <v>5096.0995000000003</v>
      </c>
    </row>
    <row r="16" spans="1:17" x14ac:dyDescent="0.25">
      <c r="A16">
        <f>'FU 0.7'!A16</f>
        <v>0.74</v>
      </c>
      <c r="B16" s="16">
        <f>'FU 0.7'!$L16</f>
        <v>5196.3104000000003</v>
      </c>
      <c r="C16" s="16">
        <f t="shared" si="0"/>
        <v>5176.5171</v>
      </c>
      <c r="D16" s="16">
        <f>'FU 0.72'!$L16</f>
        <v>5156.7237999999998</v>
      </c>
      <c r="E16" s="16">
        <f>'FU 0.73'!$L16</f>
        <v>5136.4531999999999</v>
      </c>
      <c r="F16" s="16">
        <f>'FU 0.74'!$L16</f>
        <v>5115.8365999999996</v>
      </c>
      <c r="G16" s="16">
        <f>'FU 0.75'!$L16</f>
        <v>5094.8500000000004</v>
      </c>
      <c r="H16" s="16">
        <f>'FU 0.76'!$L16</f>
        <v>5073.4666999999999</v>
      </c>
      <c r="I16" s="16">
        <f>'FU 0.77'!$L16</f>
        <v>5051.6566999999995</v>
      </c>
      <c r="J16" s="16">
        <f>'FU 0.78'!$L16</f>
        <v>5029.3861999999999</v>
      </c>
      <c r="K16" s="16">
        <f>'FU 0.79'!$L16</f>
        <v>5006.6170000000002</v>
      </c>
      <c r="L16" s="16">
        <f>'FU 0.8'!$L16</f>
        <v>4983.3681999999999</v>
      </c>
      <c r="M16" s="16">
        <f>'FU 0.81'!$L16</f>
        <v>4959.4742999999999</v>
      </c>
      <c r="N16" s="16">
        <f>'FU 0.82'!$L16</f>
        <v>4934.9342999999999</v>
      </c>
      <c r="O16" s="16">
        <f>'FU 0.83'!$L16</f>
        <v>4909.6828999999998</v>
      </c>
      <c r="P16" s="16">
        <f>'FU 0.84'!$L16</f>
        <v>4883.6436000000003</v>
      </c>
      <c r="Q16" s="16">
        <f>'FU 0.85'!$L16</f>
        <v>4856.7268000000004</v>
      </c>
    </row>
    <row r="17" spans="1:17" x14ac:dyDescent="0.25">
      <c r="A17">
        <f>'FU 0.7'!A17</f>
        <v>0.75</v>
      </c>
      <c r="B17" s="16">
        <f>'FU 0.7'!$L17</f>
        <v>4960.1145999999999</v>
      </c>
      <c r="C17" s="16">
        <f t="shared" si="0"/>
        <v>4940.1669999999995</v>
      </c>
      <c r="D17" s="16">
        <f>'FU 0.72'!$L17</f>
        <v>4920.2194</v>
      </c>
      <c r="E17" s="16">
        <f>'FU 0.73'!$L17</f>
        <v>4899.7762000000002</v>
      </c>
      <c r="F17" s="16">
        <f>'FU 0.74'!$L17</f>
        <v>4878.9739</v>
      </c>
      <c r="G17" s="16">
        <f>'FU 0.75'!$L17</f>
        <v>4857.7871999999998</v>
      </c>
      <c r="H17" s="16">
        <f>'FU 0.76'!$L17</f>
        <v>4836.1882999999998</v>
      </c>
      <c r="I17" s="16">
        <f>'FU 0.77'!$L17</f>
        <v>4814.1458000000002</v>
      </c>
      <c r="J17" s="16">
        <f>'FU 0.78'!$L17</f>
        <v>4791.6241</v>
      </c>
      <c r="K17" s="16">
        <f>'FU 0.79'!$L17</f>
        <v>4768.6409999999996</v>
      </c>
      <c r="L17" s="16">
        <f>'FU 0.8'!$L17</f>
        <v>4745.0427</v>
      </c>
      <c r="M17" s="16">
        <f>'FU 0.81'!$L17</f>
        <v>4720.8290999999999</v>
      </c>
      <c r="N17" s="16">
        <f>'FU 0.82'!$L17</f>
        <v>4695.9404000000004</v>
      </c>
      <c r="O17" s="16">
        <f>'FU 0.83'!$L17</f>
        <v>4670.3071</v>
      </c>
      <c r="P17" s="16">
        <f>'FU 0.84'!$L17</f>
        <v>4643.8481000000002</v>
      </c>
      <c r="Q17" s="16">
        <f>'FU 0.85'!$L17</f>
        <v>4616.4672</v>
      </c>
    </row>
    <row r="18" spans="1:17" x14ac:dyDescent="0.25">
      <c r="A18">
        <f>'FU 0.7'!A18</f>
        <v>0.76</v>
      </c>
      <c r="B18" s="16">
        <f>'FU 0.7'!$L18</f>
        <v>4723.4201999999996</v>
      </c>
      <c r="C18" s="16">
        <f t="shared" si="0"/>
        <v>4703.3001499999991</v>
      </c>
      <c r="D18" s="16">
        <f>'FU 0.72'!$L18</f>
        <v>4683.1800999999996</v>
      </c>
      <c r="E18" s="16">
        <f>'FU 0.73'!$L18</f>
        <v>4662.5434999999998</v>
      </c>
      <c r="F18" s="16">
        <f>'FU 0.74'!$L18</f>
        <v>4641.5325999999995</v>
      </c>
      <c r="G18" s="16">
        <f>'FU 0.75'!$L18</f>
        <v>4620.1208999999999</v>
      </c>
      <c r="H18" s="16">
        <f>'FU 0.76'!$L18</f>
        <v>4598.2790000000005</v>
      </c>
      <c r="I18" s="16">
        <f>'FU 0.77'!$L18</f>
        <v>4575.9739</v>
      </c>
      <c r="J18" s="16">
        <f>'FU 0.78'!$L18</f>
        <v>4553.1682000000001</v>
      </c>
      <c r="K18" s="16">
        <f>'FU 0.79'!$L18</f>
        <v>4529.88</v>
      </c>
      <c r="L18" s="16">
        <f>'FU 0.8'!$L18</f>
        <v>4505.9476999999997</v>
      </c>
      <c r="M18" s="16">
        <f>'FU 0.81'!$L18</f>
        <v>4481.3702000000003</v>
      </c>
      <c r="N18" s="16">
        <f>'FU 0.82'!$L18</f>
        <v>4456.0837000000001</v>
      </c>
      <c r="O18" s="16">
        <f>'FU 0.83'!$L18</f>
        <v>4430.0137999999997</v>
      </c>
      <c r="P18" s="16">
        <f>'FU 0.84'!$L18</f>
        <v>4403.0731999999998</v>
      </c>
      <c r="Q18" s="16">
        <f>'FU 0.85'!$L18</f>
        <v>4375.1584000000003</v>
      </c>
    </row>
    <row r="19" spans="1:17" x14ac:dyDescent="0.25">
      <c r="A19">
        <f>'FU 0.7'!A19</f>
        <v>0.77</v>
      </c>
      <c r="B19" s="16">
        <f>'FU 0.7'!$L19</f>
        <v>4486.1445000000003</v>
      </c>
      <c r="C19" s="16">
        <f t="shared" si="0"/>
        <v>4465.83025</v>
      </c>
      <c r="D19" s="16">
        <f>'FU 0.72'!$L19</f>
        <v>4445.5159999999996</v>
      </c>
      <c r="E19" s="16">
        <f>'FU 0.73'!$L19</f>
        <v>4424.6611000000003</v>
      </c>
      <c r="F19" s="16">
        <f>'FU 0.74'!$L19</f>
        <v>4403.4139999999998</v>
      </c>
      <c r="G19" s="16">
        <f>'FU 0.75'!$L19</f>
        <v>4381.7470999999996</v>
      </c>
      <c r="H19" s="16">
        <f>'FU 0.76'!$L19</f>
        <v>4359.6292000000003</v>
      </c>
      <c r="I19" s="16">
        <f>'FU 0.77'!$L19</f>
        <v>4337.0252</v>
      </c>
      <c r="J19" s="16">
        <f>'FU 0.78'!$L19</f>
        <v>4313.9522999999999</v>
      </c>
      <c r="K19" s="16">
        <f>'FU 0.79'!$L19</f>
        <v>4290.2584999999999</v>
      </c>
      <c r="L19" s="16">
        <f>'FU 0.8'!$L19</f>
        <v>4265.9435000000003</v>
      </c>
      <c r="M19" s="16">
        <f>'FU 0.81'!$L19</f>
        <v>4240.9479000000001</v>
      </c>
      <c r="N19" s="16">
        <f>'FU 0.82'!$L19</f>
        <v>4215.2030000000004</v>
      </c>
      <c r="O19" s="16">
        <f>'FU 0.83'!$L19</f>
        <v>4188.6284999999998</v>
      </c>
      <c r="P19" s="16">
        <f>'FU 0.84'!$L19</f>
        <v>4161.1297000000004</v>
      </c>
      <c r="Q19" s="16">
        <f>'FU 0.85'!$L19</f>
        <v>4132.5937000000004</v>
      </c>
    </row>
    <row r="20" spans="1:17" x14ac:dyDescent="0.25">
      <c r="A20">
        <f>'FU 0.7'!A20</f>
        <v>0.78</v>
      </c>
      <c r="B20" s="16">
        <f>'FU 0.7'!$L20</f>
        <v>4248.1845999999996</v>
      </c>
      <c r="C20" s="16">
        <f t="shared" si="0"/>
        <v>4227.64995</v>
      </c>
      <c r="D20" s="16">
        <f>'FU 0.72'!$L20</f>
        <v>4207.1153000000004</v>
      </c>
      <c r="E20" s="16">
        <f>'FU 0.73'!$L20</f>
        <v>4186.0115999999998</v>
      </c>
      <c r="F20" s="16">
        <f>'FU 0.74'!$L20</f>
        <v>4164.4949999999999</v>
      </c>
      <c r="G20" s="16">
        <f>'FU 0.75'!$L20</f>
        <v>4142.5360000000001</v>
      </c>
      <c r="H20" s="16">
        <f>'FU 0.76'!$L20</f>
        <v>4120.1013999999996</v>
      </c>
      <c r="I20" s="16">
        <f>'FU 0.77'!$L20</f>
        <v>4097.2078000000001</v>
      </c>
      <c r="J20" s="16">
        <f>'FU 0.78'!$L20</f>
        <v>4073.7109999999998</v>
      </c>
      <c r="K20" s="16">
        <f>'FU 0.79'!$L20</f>
        <v>4049.6113</v>
      </c>
      <c r="L20" s="16">
        <f>'FU 0.8'!$L20</f>
        <v>4024.8528999999999</v>
      </c>
      <c r="M20" s="16">
        <f>'FU 0.81'!$L20</f>
        <v>3999.3715000000002</v>
      </c>
      <c r="N20" s="16">
        <f>'FU 0.82'!$L20</f>
        <v>3973.0925000000002</v>
      </c>
      <c r="O20" s="16">
        <f>'FU 0.83'!$L20</f>
        <v>3945.9277999999999</v>
      </c>
      <c r="P20" s="16">
        <f>'FU 0.84'!$L20</f>
        <v>3917.7736</v>
      </c>
      <c r="Q20" s="16">
        <f>'FU 0.85'!$L20</f>
        <v>3888.5052000000001</v>
      </c>
    </row>
    <row r="21" spans="1:17" x14ac:dyDescent="0.25">
      <c r="A21">
        <f>'FU 0.7'!A21</f>
        <v>0.79</v>
      </c>
      <c r="B21" s="16">
        <f>'FU 0.7'!$L21</f>
        <v>4009.4110000000001</v>
      </c>
      <c r="C21" s="16">
        <f t="shared" si="0"/>
        <v>3988.6237499999997</v>
      </c>
      <c r="D21" s="16">
        <f>'FU 0.72'!$L21</f>
        <v>3967.8364999999999</v>
      </c>
      <c r="E21" s="16">
        <f>'FU 0.73'!$L21</f>
        <v>3946.4466000000002</v>
      </c>
      <c r="F21" s="16">
        <f>'FU 0.74'!$L21</f>
        <v>3924.6190000000001</v>
      </c>
      <c r="G21" s="16">
        <f>'FU 0.75'!$L21</f>
        <v>3902.3222000000001</v>
      </c>
      <c r="H21" s="16">
        <f>'FU 0.76'!$L21</f>
        <v>3879.5722000000001</v>
      </c>
      <c r="I21" s="16">
        <f>'FU 0.77'!$L21</f>
        <v>3856.2312000000002</v>
      </c>
      <c r="J21" s="16">
        <f>'FU 0.78'!$L21</f>
        <v>3832.2999</v>
      </c>
      <c r="K21" s="16">
        <f>'FU 0.79'!$L21</f>
        <v>3807.7253999999998</v>
      </c>
      <c r="L21" s="16">
        <f>'FU 0.8'!$L21</f>
        <v>3782.4468999999999</v>
      </c>
      <c r="M21" s="16">
        <f>'FU 0.81'!$L21</f>
        <v>3756.3939</v>
      </c>
      <c r="N21" s="16">
        <f>'FU 0.82'!$L21</f>
        <v>3729.4837000000002</v>
      </c>
      <c r="O21" s="16">
        <f>'FU 0.83'!$L21</f>
        <v>3701.6190000000001</v>
      </c>
      <c r="P21" s="16">
        <f>'FU 0.84'!$L21</f>
        <v>3672.6837999999998</v>
      </c>
      <c r="Q21" s="16">
        <f>'FU 0.85'!$L21</f>
        <v>3642.5378999999998</v>
      </c>
    </row>
    <row r="22" spans="1:17" x14ac:dyDescent="0.25">
      <c r="A22">
        <f>'FU 0.7'!A22</f>
        <v>0.8</v>
      </c>
      <c r="B22" s="16">
        <f>'FU 0.7'!$L22</f>
        <v>3769.6579000000002</v>
      </c>
      <c r="C22" s="16">
        <f t="shared" si="0"/>
        <v>3748.5779000000002</v>
      </c>
      <c r="D22" s="16">
        <f>'FU 0.72'!$L22</f>
        <v>3727.4978999999998</v>
      </c>
      <c r="E22" s="16">
        <f>'FU 0.73'!$L22</f>
        <v>3705.7748000000001</v>
      </c>
      <c r="F22" s="16">
        <f>'FU 0.74'!$L22</f>
        <v>3683.5841999999998</v>
      </c>
      <c r="G22" s="16">
        <f>'FU 0.75'!$L22</f>
        <v>3660.9418999999998</v>
      </c>
      <c r="H22" s="16">
        <f>'FU 0.76'!$L22</f>
        <v>3637.7148000000002</v>
      </c>
      <c r="I22" s="16">
        <f>'FU 0.77'!$L22</f>
        <v>3613.9041000000002</v>
      </c>
      <c r="J22" s="16">
        <f>'FU 0.78'!$L22</f>
        <v>3589.4591999999998</v>
      </c>
      <c r="K22" s="16">
        <f>'FU 0.79'!$L22</f>
        <v>3564.3217</v>
      </c>
      <c r="L22" s="16">
        <f>'FU 0.8'!$L22</f>
        <v>3538.4241000000002</v>
      </c>
      <c r="M22" s="16">
        <f>'FU 0.81'!$L22</f>
        <v>3511.6876000000002</v>
      </c>
      <c r="N22" s="16">
        <f>'FU 0.82'!$L22</f>
        <v>3484.0194999999999</v>
      </c>
      <c r="O22" s="16">
        <f>'FU 0.83'!$L22</f>
        <v>3455.3099000000002</v>
      </c>
      <c r="P22" s="16">
        <f>'FU 0.84'!$L22</f>
        <v>3425.4265999999998</v>
      </c>
      <c r="Q22" s="16">
        <f>'FU 0.85'!$L22</f>
        <v>3394.2091999999998</v>
      </c>
    </row>
    <row r="23" spans="1:17" x14ac:dyDescent="0.25">
      <c r="A23">
        <f>'FU 0.7'!A23</f>
        <v>0.81</v>
      </c>
      <c r="B23" s="16">
        <f>'FU 0.7'!$L23</f>
        <v>3528.7089999999998</v>
      </c>
      <c r="C23" s="16">
        <f t="shared" si="0"/>
        <v>3507.2853</v>
      </c>
      <c r="D23" s="16">
        <f>'FU 0.72'!$L23</f>
        <v>3485.8616000000002</v>
      </c>
      <c r="E23" s="16">
        <f>'FU 0.73'!$L23</f>
        <v>3463.7896000000001</v>
      </c>
      <c r="F23" s="16">
        <f>'FU 0.74'!$L23</f>
        <v>3441.1734999999999</v>
      </c>
      <c r="G23" s="16">
        <f>'FU 0.75'!$L23</f>
        <v>3418.0167999999999</v>
      </c>
      <c r="H23" s="16">
        <f>'FU 0.76'!$L23</f>
        <v>3394.2764999999999</v>
      </c>
      <c r="I23" s="16">
        <f>'FU 0.77'!$L23</f>
        <v>3369.9036999999998</v>
      </c>
      <c r="J23" s="16">
        <f>'FU 0.78'!$L23</f>
        <v>3344.8416999999999</v>
      </c>
      <c r="K23" s="16">
        <f>'FU 0.79'!$L23</f>
        <v>3319.0248000000001</v>
      </c>
      <c r="L23" s="16">
        <f>'FU 0.8'!$L23</f>
        <v>3292.3766999999998</v>
      </c>
      <c r="M23" s="16">
        <f>'FU 0.81'!$L23</f>
        <v>3264.8074999999999</v>
      </c>
      <c r="N23" s="16">
        <f>'FU 0.82'!$L23</f>
        <v>3236.2109</v>
      </c>
      <c r="O23" s="16">
        <f>'FU 0.83'!$L23</f>
        <v>3206.4596999999999</v>
      </c>
      <c r="P23" s="16">
        <f>'FU 0.84'!$L23</f>
        <v>3175.3996000000002</v>
      </c>
      <c r="Q23" s="16">
        <f>'FU 0.85'!$L23</f>
        <v>3142.8778000000002</v>
      </c>
    </row>
    <row r="24" spans="1:17" x14ac:dyDescent="0.25">
      <c r="A24">
        <f>'FU 0.7'!A24</f>
        <v>0.82</v>
      </c>
      <c r="B24" s="16">
        <f>'FU 0.7'!$L24</f>
        <v>3286.2757999999999</v>
      </c>
      <c r="C24" s="16">
        <f t="shared" si="0"/>
        <v>3264.4639999999999</v>
      </c>
      <c r="D24" s="16">
        <f>'FU 0.72'!$L24</f>
        <v>3242.6522</v>
      </c>
      <c r="E24" s="16">
        <f>'FU 0.73'!$L24</f>
        <v>3220.0682999999999</v>
      </c>
      <c r="F24" s="16">
        <f>'FU 0.74'!$L24</f>
        <v>3196.9353000000001</v>
      </c>
      <c r="G24" s="16">
        <f>'FU 0.75'!$L24</f>
        <v>3173.2111</v>
      </c>
      <c r="H24" s="16">
        <f>'FU 0.76'!$L24</f>
        <v>3148.8474999999999</v>
      </c>
      <c r="I24" s="16">
        <f>'FU 0.77'!$L24</f>
        <v>3123.7887000000001</v>
      </c>
      <c r="J24" s="16">
        <f>'FU 0.78'!$L24</f>
        <v>3097.97</v>
      </c>
      <c r="K24" s="16">
        <f>'FU 0.79'!$L24</f>
        <v>3071.3155999999999</v>
      </c>
      <c r="L24" s="16">
        <f>'FU 0.8'!$L24</f>
        <v>3043.7370000000001</v>
      </c>
      <c r="M24" s="16">
        <f>'FU 0.81'!$L24</f>
        <v>3015.1289999999999</v>
      </c>
      <c r="N24" s="16">
        <f>'FU 0.82'!$L24</f>
        <v>2985.366</v>
      </c>
      <c r="O24" s="16">
        <f>'FU 0.83'!$L24</f>
        <v>2954.2957999999999</v>
      </c>
      <c r="P24" s="16">
        <f>'FU 0.84'!$L24</f>
        <v>2921.7676999999999</v>
      </c>
      <c r="Q24" s="16">
        <f>'FU 0.85'!$L24</f>
        <v>2887.489</v>
      </c>
    </row>
    <row r="25" spans="1:17" x14ac:dyDescent="0.25">
      <c r="A25">
        <f>'FU 0.7'!A25</f>
        <v>0.83</v>
      </c>
      <c r="B25" s="16">
        <f>'FU 0.7'!$L25</f>
        <v>3042.0032000000001</v>
      </c>
      <c r="C25" s="16">
        <f t="shared" si="0"/>
        <v>3019.6750000000002</v>
      </c>
      <c r="D25" s="16">
        <f>'FU 0.72'!$L25</f>
        <v>2997.3467999999998</v>
      </c>
      <c r="E25" s="16">
        <f>'FU 0.73'!$L25</f>
        <v>2974.1858999999999</v>
      </c>
      <c r="F25" s="16">
        <f>'FU 0.74'!$L25</f>
        <v>2950.4166</v>
      </c>
      <c r="G25" s="16">
        <f>'FU 0.75'!$L25</f>
        <v>2925.9906000000001</v>
      </c>
      <c r="H25" s="16">
        <f>'FU 0.76'!$L25</f>
        <v>2900.8519999999999</v>
      </c>
      <c r="I25" s="16">
        <f>'FU 0.77'!$L25</f>
        <v>2874.9355</v>
      </c>
      <c r="J25" s="16">
        <f>'FU 0.78'!$L25</f>
        <v>2848.1648</v>
      </c>
      <c r="K25" s="16">
        <f>'FU 0.79'!$L25</f>
        <v>2820.45</v>
      </c>
      <c r="L25" s="16">
        <f>'FU 0.8'!$L25</f>
        <v>2791.6844999999998</v>
      </c>
      <c r="M25" s="16">
        <f>'FU 0.81'!$L25</f>
        <v>2761.7406999999998</v>
      </c>
      <c r="N25" s="16">
        <f>'FU 0.82'!$L25</f>
        <v>2730.4922999999999</v>
      </c>
      <c r="O25" s="16">
        <f>'FU 0.83'!$L25</f>
        <v>2697.6997999999999</v>
      </c>
      <c r="P25" s="16">
        <f>'FU 0.84'!$L25</f>
        <v>2663.1514999999999</v>
      </c>
      <c r="Q25" s="16">
        <f>'FU 0.85'!$L25</f>
        <v>2626.549</v>
      </c>
    </row>
    <row r="26" spans="1:17" x14ac:dyDescent="0.25">
      <c r="A26">
        <f>'FU 0.7'!A26</f>
        <v>0.84</v>
      </c>
      <c r="B26" s="16">
        <f>'FU 0.7'!$L26</f>
        <v>2795.2557000000002</v>
      </c>
      <c r="C26" s="16">
        <f t="shared" si="0"/>
        <v>2772.3074000000001</v>
      </c>
      <c r="D26" s="16">
        <f>'FU 0.72'!$L26</f>
        <v>2749.3591000000001</v>
      </c>
      <c r="E26" s="16">
        <f>'FU 0.73'!$L26</f>
        <v>2725.4731000000002</v>
      </c>
      <c r="F26" s="16">
        <f>'FU 0.74'!$L26</f>
        <v>2700.8993</v>
      </c>
      <c r="G26" s="16">
        <f>'FU 0.75'!$L26</f>
        <v>2675.5803000000001</v>
      </c>
      <c r="H26" s="16">
        <f>'FU 0.76'!$L26</f>
        <v>2649.4488000000001</v>
      </c>
      <c r="I26" s="16">
        <f>'FU 0.77'!$L26</f>
        <v>2622.4256999999998</v>
      </c>
      <c r="J26" s="16">
        <f>'FU 0.78'!$L26</f>
        <v>2594.4171000000001</v>
      </c>
      <c r="K26" s="16">
        <f>'FU 0.79'!$L26</f>
        <v>2565.3112000000001</v>
      </c>
      <c r="L26" s="16">
        <f>'FU 0.8'!$L26</f>
        <v>2534.9735999999998</v>
      </c>
      <c r="M26" s="16">
        <f>'FU 0.81'!$L26</f>
        <v>2503.2707999999998</v>
      </c>
      <c r="N26" s="16">
        <f>'FU 0.82'!$L26</f>
        <v>2469.9490999999998</v>
      </c>
      <c r="O26" s="16">
        <f>'FU 0.83'!$L26</f>
        <v>2434.7820000000002</v>
      </c>
      <c r="P26" s="16">
        <f>'FU 0.84'!$L26</f>
        <v>2397.4493000000002</v>
      </c>
      <c r="Q26" s="16">
        <f>'FU 0.85'!$L26</f>
        <v>2357.5338000000002</v>
      </c>
    </row>
    <row r="27" spans="1:17" x14ac:dyDescent="0.25">
      <c r="A27">
        <f>'FU 0.7'!A27</f>
        <v>0.85</v>
      </c>
      <c r="B27" s="16">
        <f>'FU 0.7'!$L27</f>
        <v>2545.2455</v>
      </c>
      <c r="C27" s="16">
        <f t="shared" si="0"/>
        <v>2521.4999499999999</v>
      </c>
      <c r="D27" s="16">
        <f>'FU 0.72'!$L27</f>
        <v>2497.7543999999998</v>
      </c>
      <c r="E27" s="16">
        <f>'FU 0.73'!$L27</f>
        <v>2472.9256999999998</v>
      </c>
      <c r="F27" s="16">
        <f>'FU 0.74'!$L27</f>
        <v>2447.2977999999998</v>
      </c>
      <c r="G27" s="16">
        <f>'FU 0.75'!$L27</f>
        <v>2420.7991000000002</v>
      </c>
      <c r="H27" s="16">
        <f>'FU 0.76'!$L27</f>
        <v>2393.3444</v>
      </c>
      <c r="I27" s="16">
        <f>'FU 0.77'!$L27</f>
        <v>2364.8319000000001</v>
      </c>
      <c r="J27" s="16">
        <f>'FU 0.78'!$L27</f>
        <v>2335.1392999999998</v>
      </c>
      <c r="K27" s="16">
        <f>'FU 0.79'!$L27</f>
        <v>2304.1451999999999</v>
      </c>
      <c r="L27" s="16">
        <f>'FU 0.8'!$L27</f>
        <v>2271.6201999999998</v>
      </c>
      <c r="M27" s="16">
        <f>'FU 0.81'!$L27</f>
        <v>2237.3609999999999</v>
      </c>
      <c r="N27" s="16">
        <f>'FU 0.82'!$L27</f>
        <v>2201.0826000000002</v>
      </c>
      <c r="O27" s="16">
        <f>'FU 0.83'!$L27</f>
        <v>2162.4169999999999</v>
      </c>
      <c r="P27" s="16">
        <f>'FU 0.84'!$L27</f>
        <v>2120.8773999999999</v>
      </c>
      <c r="Q27" s="16">
        <f>'FU 0.85'!$L27</f>
        <v>2075.7993000000001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f>0.6</f>
        <v>0.6</v>
      </c>
      <c r="B2">
        <f>38.65767127</f>
        <v>38.657671270000002</v>
      </c>
      <c r="C2">
        <f>36.72016169</f>
        <v>36.720161689999998</v>
      </c>
      <c r="D2">
        <f>21.01968359</f>
        <v>21.01968359</v>
      </c>
      <c r="E2">
        <f>57.73984527</f>
        <v>57.739845270000004</v>
      </c>
      <c r="F2">
        <f>37.39345787</f>
        <v>37.393457869999999</v>
      </c>
      <c r="G2">
        <f>35.51931024</f>
        <v>35.519310240000003</v>
      </c>
      <c r="H2">
        <f>3.800318017</f>
        <v>3.8003180169999999</v>
      </c>
      <c r="I2">
        <f>39.31962826</f>
        <v>39.319628260000002</v>
      </c>
      <c r="J2">
        <f>155.02701</f>
        <v>155.02700999999999</v>
      </c>
      <c r="K2">
        <f>7.5104659</f>
        <v>7.5104658999999998</v>
      </c>
      <c r="L2">
        <f>8474.311</f>
        <v>8474.3109999999997</v>
      </c>
    </row>
    <row r="3" spans="1:12" x14ac:dyDescent="0.25">
      <c r="A3">
        <f>0.61</f>
        <v>0.61</v>
      </c>
      <c r="B3">
        <f>39.30196579</f>
        <v>39.301965789999997</v>
      </c>
      <c r="C3">
        <f>37.40883248</f>
        <v>37.408832480000001</v>
      </c>
      <c r="D3">
        <f>20.86677218</f>
        <v>20.866772180000002</v>
      </c>
      <c r="E3">
        <f>58.27560466</f>
        <v>58.275604659999999</v>
      </c>
      <c r="F3">
        <f>38.01668217</f>
        <v>38.016682170000003</v>
      </c>
      <c r="G3">
        <f>36.18545958</f>
        <v>36.18545958</v>
      </c>
      <c r="H3">
        <f>3.811113678</f>
        <v>3.8111136779999999</v>
      </c>
      <c r="I3">
        <f>39.99657326</f>
        <v>39.996573259999998</v>
      </c>
      <c r="J3">
        <f>153.2755</f>
        <v>153.27549999999999</v>
      </c>
      <c r="K3">
        <f>7.6878713</f>
        <v>7.6878713000000003</v>
      </c>
      <c r="L3">
        <f>8241.214</f>
        <v>8241.2139999999999</v>
      </c>
    </row>
    <row r="4" spans="1:12" x14ac:dyDescent="0.25">
      <c r="A4">
        <f>0.62</f>
        <v>0.62</v>
      </c>
      <c r="B4">
        <f>39.94626032</f>
        <v>39.94626032</v>
      </c>
      <c r="C4">
        <f>38.0975437</f>
        <v>38.097543700000003</v>
      </c>
      <c r="D4">
        <f>20.71372627</f>
        <v>20.713726269999999</v>
      </c>
      <c r="E4">
        <f>58.81126997</f>
        <v>58.811269969999998</v>
      </c>
      <c r="F4">
        <f>38.63990647</f>
        <v>38.63990647</v>
      </c>
      <c r="G4">
        <f>36.85164803</f>
        <v>36.85164803</v>
      </c>
      <c r="H4">
        <f>3.822371464</f>
        <v>3.8223714640000002</v>
      </c>
      <c r="I4">
        <f>40.6740195</f>
        <v>40.6740195</v>
      </c>
      <c r="J4">
        <f>151.37987</f>
        <v>151.37987000000001</v>
      </c>
      <c r="K4">
        <f>7.8740339</f>
        <v>7.8740338999999997</v>
      </c>
      <c r="L4">
        <f>8008.0122</f>
        <v>8008.0122000000001</v>
      </c>
    </row>
    <row r="5" spans="1:12" x14ac:dyDescent="0.25">
      <c r="A5">
        <f>0.63</f>
        <v>0.63</v>
      </c>
      <c r="B5">
        <f>40.59055484</f>
        <v>40.590554840000003</v>
      </c>
      <c r="C5">
        <f>38.78629868</f>
        <v>38.786298680000002</v>
      </c>
      <c r="D5">
        <f>20.56053475</f>
        <v>20.560534749999999</v>
      </c>
      <c r="E5">
        <f>59.34683343</f>
        <v>59.346833429999997</v>
      </c>
      <c r="F5">
        <f>39.26313077</f>
        <v>39.263130769999997</v>
      </c>
      <c r="G5">
        <f>37.5178788</f>
        <v>37.517878799999998</v>
      </c>
      <c r="H5">
        <f>3.834123344</f>
        <v>3.834123344</v>
      </c>
      <c r="I5">
        <f>41.35200215</f>
        <v>41.352002149999997</v>
      </c>
      <c r="J5">
        <f>149.34195</f>
        <v>149.34195</v>
      </c>
      <c r="K5">
        <f>8.0696335</f>
        <v>8.0696335000000001</v>
      </c>
      <c r="L5">
        <f>7774.8056</f>
        <v>7774.8055999999997</v>
      </c>
    </row>
    <row r="6" spans="1:12" x14ac:dyDescent="0.25">
      <c r="A6">
        <f>0.64</f>
        <v>0.64</v>
      </c>
      <c r="B6">
        <f>41.23484936</f>
        <v>41.234849359999998</v>
      </c>
      <c r="C6">
        <f>39.4751023</f>
        <v>39.475102300000003</v>
      </c>
      <c r="D6">
        <f>20.40718119</f>
        <v>20.407181189999999</v>
      </c>
      <c r="E6">
        <f>59.88228349</f>
        <v>59.882283489999999</v>
      </c>
      <c r="F6">
        <f>39.88635506</f>
        <v>39.88635506</v>
      </c>
      <c r="G6">
        <f>38.18415663</f>
        <v>38.184156629999997</v>
      </c>
      <c r="H6">
        <f>3.846404735</f>
        <v>3.8464047350000001</v>
      </c>
      <c r="I6">
        <f>42.03056136</f>
        <v>42.03056136</v>
      </c>
      <c r="J6">
        <f>147.15727</f>
        <v>147.15727000000001</v>
      </c>
      <c r="K6">
        <f>8.2754291</f>
        <v>8.2754291000000002</v>
      </c>
      <c r="L6">
        <f>7541.3662</f>
        <v>7541.3662000000004</v>
      </c>
    </row>
    <row r="7" spans="1:12" x14ac:dyDescent="0.25">
      <c r="A7">
        <f>0.65</f>
        <v>0.65</v>
      </c>
      <c r="B7">
        <f>41.87914388</f>
        <v>41.879143880000001</v>
      </c>
      <c r="C7">
        <f>40.16395893</f>
        <v>40.16395893</v>
      </c>
      <c r="D7">
        <f>20.25365097</f>
        <v>20.253650969999999</v>
      </c>
      <c r="E7">
        <f>60.41760989</f>
        <v>60.417609890000001</v>
      </c>
      <c r="F7">
        <f>40.50957936</f>
        <v>40.509579359999996</v>
      </c>
      <c r="G7">
        <f>38.85048573</f>
        <v>38.850485730000003</v>
      </c>
      <c r="H7">
        <f>3.859254359</f>
        <v>3.8592543589999999</v>
      </c>
      <c r="I7">
        <f>42.70974009</f>
        <v>42.709740089999997</v>
      </c>
      <c r="J7">
        <f>144.82753</f>
        <v>144.82753</v>
      </c>
      <c r="K7">
        <f>8.4922607</f>
        <v>8.4922606999999992</v>
      </c>
      <c r="L7">
        <f>7307.7899</f>
        <v>7307.7898999999998</v>
      </c>
    </row>
    <row r="8" spans="1:12" x14ac:dyDescent="0.25">
      <c r="A8">
        <f>0.66</f>
        <v>0.66</v>
      </c>
      <c r="B8">
        <f>42.5234384</f>
        <v>42.523438400000003</v>
      </c>
      <c r="C8">
        <f>40.85287393</f>
        <v>40.852873930000001</v>
      </c>
      <c r="D8">
        <f>20.09992611</f>
        <v>20.099926109999998</v>
      </c>
      <c r="E8">
        <f>60.95280003</f>
        <v>60.952800029999999</v>
      </c>
      <c r="F8">
        <f>41.13280366</f>
        <v>41.13280366</v>
      </c>
      <c r="G8">
        <f>39.51687129</f>
        <v>39.516871289999997</v>
      </c>
      <c r="H8">
        <f>3.872715099</f>
        <v>3.8727150990000001</v>
      </c>
      <c r="I8">
        <f>43.38958639</f>
        <v>43.389586389999998</v>
      </c>
      <c r="J8">
        <f>142.35233</f>
        <v>142.35232999999999</v>
      </c>
      <c r="K8">
        <f>8.7210681</f>
        <v>8.7210681000000001</v>
      </c>
      <c r="L8">
        <f>7074.0627</f>
        <v>7074.0627000000004</v>
      </c>
    </row>
    <row r="9" spans="1:12" x14ac:dyDescent="0.25">
      <c r="A9">
        <f>0.67</f>
        <v>0.67</v>
      </c>
      <c r="B9">
        <f>43.16773292</f>
        <v>43.167732919999999</v>
      </c>
      <c r="C9">
        <f>41.54185341</f>
        <v>41.541853410000002</v>
      </c>
      <c r="D9">
        <f>19.94598608</f>
        <v>19.945986080000001</v>
      </c>
      <c r="E9">
        <f>61.48783949</f>
        <v>61.487839489999999</v>
      </c>
      <c r="F9">
        <f>41.75602796</f>
        <v>41.756027959999997</v>
      </c>
      <c r="G9">
        <f>40.18331923</f>
        <v>40.183319230000002</v>
      </c>
      <c r="H9">
        <f>3.886834492</f>
        <v>3.8868344920000002</v>
      </c>
      <c r="I9">
        <f>44.07015372</f>
        <v>44.07015372</v>
      </c>
      <c r="J9">
        <f>139.73119</f>
        <v>139.73119</v>
      </c>
      <c r="K9">
        <f>8.9629051</f>
        <v>8.9629051000000004</v>
      </c>
      <c r="L9">
        <f>6840.1691</f>
        <v>6840.1691000000001</v>
      </c>
    </row>
    <row r="10" spans="1:12" x14ac:dyDescent="0.25">
      <c r="A10">
        <f>0.68</f>
        <v>0.68</v>
      </c>
      <c r="B10">
        <f>43.81202744</f>
        <v>43.812027440000001</v>
      </c>
      <c r="C10">
        <f>42.23090439</f>
        <v>42.230904389999999</v>
      </c>
      <c r="D10">
        <f>19.79180736</f>
        <v>19.79180736</v>
      </c>
      <c r="E10">
        <f>62.02271175</f>
        <v>62.022711749999999</v>
      </c>
      <c r="F10">
        <f>42.37925226</f>
        <v>42.379252260000001</v>
      </c>
      <c r="G10">
        <f>40.84983633</f>
        <v>40.849836330000002</v>
      </c>
      <c r="H10">
        <f>3.901665421</f>
        <v>3.9016654210000001</v>
      </c>
      <c r="I10">
        <f>44.75150175</f>
        <v>44.751501750000003</v>
      </c>
      <c r="J10">
        <f>136.96361</f>
        <v>136.96360999999999</v>
      </c>
      <c r="K10">
        <f>9.2189578</f>
        <v>9.2189578000000001</v>
      </c>
      <c r="L10">
        <f>6606.091</f>
        <v>6606.0910000000003</v>
      </c>
    </row>
    <row r="11" spans="1:12" x14ac:dyDescent="0.25">
      <c r="A11">
        <f>0.69</f>
        <v>0.69</v>
      </c>
      <c r="B11">
        <f>44.45632196</f>
        <v>44.456321959999997</v>
      </c>
      <c r="C11">
        <f>42.92003494</f>
        <v>42.920034940000001</v>
      </c>
      <c r="D11">
        <f>19.6373628</f>
        <v>19.637362799999998</v>
      </c>
      <c r="E11">
        <f>62.55739774</f>
        <v>62.557397739999999</v>
      </c>
      <c r="F11">
        <f>43.00247655</f>
        <v>43.002476549999997</v>
      </c>
      <c r="G11">
        <f>41.51643039</f>
        <v>41.516430389999996</v>
      </c>
      <c r="H11">
        <f>3.917266932</f>
        <v>3.917266932</v>
      </c>
      <c r="I11">
        <f>45.43369732</f>
        <v>45.43369732</v>
      </c>
      <c r="J11">
        <f>134.04897</f>
        <v>134.04897</v>
      </c>
      <c r="K11">
        <f>9.4905667</f>
        <v>9.4905667000000005</v>
      </c>
      <c r="L11">
        <f>6371.8076</f>
        <v>6371.8076000000001</v>
      </c>
    </row>
    <row r="12" spans="1:12" x14ac:dyDescent="0.25">
      <c r="A12">
        <f>0.7</f>
        <v>0.7</v>
      </c>
      <c r="B12">
        <f>45.10061649</f>
        <v>45.10061649</v>
      </c>
      <c r="C12">
        <f>43.60925443</f>
        <v>43.60925443</v>
      </c>
      <c r="D12">
        <f>19.48262092</f>
        <v>19.482620919999999</v>
      </c>
      <c r="E12">
        <f>63.09187535</f>
        <v>63.091875350000002</v>
      </c>
      <c r="F12">
        <f>43.62570085</f>
        <v>43.625700850000001</v>
      </c>
      <c r="G12">
        <f>42.18311048</f>
        <v>42.183110480000003</v>
      </c>
      <c r="H12">
        <f>3.933705238</f>
        <v>3.9337052379999999</v>
      </c>
      <c r="I12">
        <f>46.11681572</f>
        <v>46.116815719999998</v>
      </c>
      <c r="J12">
        <f>130.98657</f>
        <v>130.98657</v>
      </c>
      <c r="K12">
        <f>9.7792546</f>
        <v>9.7792545999999998</v>
      </c>
      <c r="L12">
        <f>6137.2949</f>
        <v>6137.2948999999999</v>
      </c>
    </row>
    <row r="13" spans="1:12" x14ac:dyDescent="0.25">
      <c r="A13">
        <f>0.71</f>
        <v>0.71</v>
      </c>
      <c r="B13">
        <f>45.74491101</f>
        <v>45.744911010000003</v>
      </c>
      <c r="C13">
        <f>44.29857375</f>
        <v>44.298573750000003</v>
      </c>
      <c r="D13">
        <f>19.32754502</f>
        <v>19.327545019999999</v>
      </c>
      <c r="E13">
        <f>63.62611878</f>
        <v>63.626118779999999</v>
      </c>
      <c r="F13">
        <f>44.24892515</f>
        <v>44.248925149999998</v>
      </c>
      <c r="G13">
        <f>42.84988715</f>
        <v>42.849887150000001</v>
      </c>
      <c r="H13">
        <f>3.951054916</f>
        <v>3.9510549159999999</v>
      </c>
      <c r="I13">
        <f>46.80094206</f>
        <v>46.800942059999997</v>
      </c>
      <c r="J13">
        <f>127.77559</f>
        <v>127.77558999999999</v>
      </c>
      <c r="K13">
        <f>10.08676</f>
        <v>10.08676</v>
      </c>
      <c r="L13">
        <f>5902.5249</f>
        <v>5902.5249000000003</v>
      </c>
    </row>
    <row r="14" spans="1:12" x14ac:dyDescent="0.25">
      <c r="A14">
        <f>0.72</f>
        <v>0.72</v>
      </c>
      <c r="B14">
        <f>46.38920553</f>
        <v>46.389205529999998</v>
      </c>
      <c r="C14">
        <f>44.98800572</f>
        <v>44.988005719999997</v>
      </c>
      <c r="D14">
        <f>19.17209201</f>
        <v>19.17209201</v>
      </c>
      <c r="E14">
        <f>64.16009774</f>
        <v>64.160097739999998</v>
      </c>
      <c r="F14">
        <f>44.87214945</f>
        <v>44.872149450000002</v>
      </c>
      <c r="G14">
        <f>43.51677278</f>
        <v>43.516772779999997</v>
      </c>
      <c r="H14">
        <f>3.9694004</f>
        <v>3.9694004000000001</v>
      </c>
      <c r="I14">
        <f>47.48617318</f>
        <v>47.486173180000002</v>
      </c>
      <c r="J14">
        <f>124.41508</f>
        <v>124.41508</v>
      </c>
      <c r="K14">
        <f>10.415077</f>
        <v>10.415077</v>
      </c>
      <c r="L14">
        <f>5667.4646</f>
        <v>5667.4646000000002</v>
      </c>
    </row>
    <row r="15" spans="1:12" x14ac:dyDescent="0.25">
      <c r="A15">
        <f>0.73</f>
        <v>0.73</v>
      </c>
      <c r="B15">
        <f>47.03350005</f>
        <v>47.033500050000001</v>
      </c>
      <c r="C15">
        <f>45.67756547</f>
        <v>45.677565469999998</v>
      </c>
      <c r="D15">
        <f>19.01621092</f>
        <v>19.016210919999999</v>
      </c>
      <c r="E15">
        <f>64.69377639</f>
        <v>64.693776389999996</v>
      </c>
      <c r="F15">
        <f>45.49537374</f>
        <v>45.495373739999998</v>
      </c>
      <c r="G15">
        <f>44.183782</f>
        <v>44.183782000000001</v>
      </c>
      <c r="H15">
        <f>3.988837811</f>
        <v>3.9888378109999998</v>
      </c>
      <c r="I15">
        <f>48.17261981</f>
        <v>48.17261981</v>
      </c>
      <c r="J15">
        <f>120.90391</f>
        <v>120.90391</v>
      </c>
      <c r="K15">
        <f>10.766512</f>
        <v>10.766512000000001</v>
      </c>
      <c r="L15">
        <f>5432.0752</f>
        <v>5432.0752000000002</v>
      </c>
    </row>
    <row r="16" spans="1:12" x14ac:dyDescent="0.25">
      <c r="A16">
        <f>0.74</f>
        <v>0.74</v>
      </c>
      <c r="B16">
        <f>47.67779457</f>
        <v>47.677794570000003</v>
      </c>
      <c r="C16">
        <f>46.367271</f>
        <v>46.367271000000002</v>
      </c>
      <c r="D16">
        <f>18.85984101</f>
        <v>18.85984101</v>
      </c>
      <c r="E16">
        <f>65.22711201</f>
        <v>65.227112009999999</v>
      </c>
      <c r="F16">
        <f>46.11859804</f>
        <v>46.118598040000002</v>
      </c>
      <c r="G16">
        <f>44.85093224</f>
        <v>44.850932239999999</v>
      </c>
      <c r="H16">
        <f>4.009477264</f>
        <v>4.009477264</v>
      </c>
      <c r="I16">
        <f>48.8604095</f>
        <v>48.860409500000003</v>
      </c>
      <c r="J16">
        <f>117.24073</f>
        <v>117.24073</v>
      </c>
      <c r="K16">
        <f>11.143746</f>
        <v>11.143746</v>
      </c>
      <c r="L16">
        <f>5196.3104</f>
        <v>5196.3104000000003</v>
      </c>
    </row>
    <row r="17" spans="1:12" x14ac:dyDescent="0.25">
      <c r="A17">
        <f>0.75</f>
        <v>0.75</v>
      </c>
      <c r="B17">
        <f>48.32208909</f>
        <v>48.322089089999999</v>
      </c>
      <c r="C17">
        <f>47.05714396</f>
        <v>47.057143959999998</v>
      </c>
      <c r="D17">
        <f>18.70290927</f>
        <v>18.702909269999999</v>
      </c>
      <c r="E17">
        <f>65.76005323</f>
        <v>65.760053229999997</v>
      </c>
      <c r="F17">
        <f>46.74182234</f>
        <v>46.741822339999999</v>
      </c>
      <c r="G17">
        <f>45.51824443</f>
        <v>45.518244430000003</v>
      </c>
      <c r="H17">
        <f>4.031445801</f>
        <v>4.0314458010000003</v>
      </c>
      <c r="I17">
        <f>49.54969023</f>
        <v>49.549690230000003</v>
      </c>
      <c r="J17">
        <f>113.42393</f>
        <v>113.42393</v>
      </c>
      <c r="K17">
        <f>11.54992</f>
        <v>11.54992</v>
      </c>
      <c r="L17">
        <f>4960.1146</f>
        <v>4960.1145999999999</v>
      </c>
    </row>
    <row r="18" spans="1:12" x14ac:dyDescent="0.25">
      <c r="A18">
        <f>0.76</f>
        <v>0.76</v>
      </c>
      <c r="B18">
        <f>48.96638361</f>
        <v>48.966383610000001</v>
      </c>
      <c r="C18">
        <f>47.74721062</f>
        <v>47.747210619999997</v>
      </c>
      <c r="D18">
        <f>18.54532705</f>
        <v>18.545327050000001</v>
      </c>
      <c r="E18">
        <f>66.29253767</f>
        <v>66.292537670000002</v>
      </c>
      <c r="F18">
        <f>47.36504664</f>
        <v>47.365046640000003</v>
      </c>
      <c r="G18">
        <f>46.18574399</f>
        <v>46.185743989999999</v>
      </c>
      <c r="H18">
        <f>4.054891168</f>
        <v>4.0548911680000002</v>
      </c>
      <c r="I18">
        <f>50.24063516</f>
        <v>50.240635159999997</v>
      </c>
      <c r="J18">
        <f>109.45155</f>
        <v>109.45155</v>
      </c>
      <c r="K18">
        <f>11.988751</f>
        <v>11.988751000000001</v>
      </c>
      <c r="L18">
        <f>4723.4202</f>
        <v>4723.4201999999996</v>
      </c>
    </row>
    <row r="19" spans="1:12" x14ac:dyDescent="0.25">
      <c r="A19">
        <f>0.77</f>
        <v>0.77</v>
      </c>
      <c r="B19">
        <f>49.61067813</f>
        <v>49.610678129999997</v>
      </c>
      <c r="C19">
        <f>48.43750317</f>
        <v>48.437503169999999</v>
      </c>
      <c r="D19">
        <f>18.38698557</f>
        <v>18.38698557</v>
      </c>
      <c r="E19">
        <f>66.82448875</f>
        <v>66.82448875</v>
      </c>
      <c r="F19">
        <f>47.98827094</f>
        <v>47.98827094</v>
      </c>
      <c r="G19">
        <f>46.85346206</f>
        <v>46.853462059999998</v>
      </c>
      <c r="H19">
        <f>4.079986772</f>
        <v>4.0799867719999998</v>
      </c>
      <c r="I19">
        <f>50.93344883</f>
        <v>50.933448830000003</v>
      </c>
      <c r="J19">
        <f>105.32118</f>
        <v>105.32118</v>
      </c>
      <c r="K19">
        <f>12.464674</f>
        <v>12.464674</v>
      </c>
      <c r="L19">
        <f>4486.1445</f>
        <v>4486.1445000000003</v>
      </c>
    </row>
    <row r="20" spans="1:12" x14ac:dyDescent="0.25">
      <c r="A20">
        <f>0.78</f>
        <v>0.78</v>
      </c>
      <c r="B20">
        <f>50.25497265</f>
        <v>50.254972649999999</v>
      </c>
      <c r="C20">
        <f>49.12806159</f>
        <v>49.128061590000002</v>
      </c>
      <c r="D20">
        <f>18.22774971</f>
        <v>18.227749710000001</v>
      </c>
      <c r="E20">
        <f>67.35581131</f>
        <v>67.355811310000007</v>
      </c>
      <c r="F20">
        <f>48.61149523</f>
        <v>48.611495230000003</v>
      </c>
      <c r="G20">
        <f>47.5214373</f>
        <v>47.521437300000002</v>
      </c>
      <c r="H20">
        <f>4.10693831</f>
        <v>4.1069383100000003</v>
      </c>
      <c r="I20">
        <f>51.62837561</f>
        <v>51.628375609999999</v>
      </c>
      <c r="J20">
        <f>101.02985</f>
        <v>101.02985</v>
      </c>
      <c r="K20">
        <f>12.983048</f>
        <v>12.983048</v>
      </c>
      <c r="L20">
        <f>4248.1846</f>
        <v>4248.1845999999996</v>
      </c>
    </row>
    <row r="21" spans="1:12" x14ac:dyDescent="0.25">
      <c r="A21">
        <f>0.79</f>
        <v>0.79</v>
      </c>
      <c r="B21">
        <f>50.89926718</f>
        <v>50.899267180000002</v>
      </c>
      <c r="C21">
        <f>49.81893621</f>
        <v>49.818936209999997</v>
      </c>
      <c r="D21">
        <f>18.06744925</f>
        <v>18.067449249999999</v>
      </c>
      <c r="E21">
        <f>67.88638546</f>
        <v>67.88638546</v>
      </c>
      <c r="F21">
        <f>49.23471953</f>
        <v>49.23471953</v>
      </c>
      <c r="G21">
        <f>48.18971839</f>
        <v>48.189718390000003</v>
      </c>
      <c r="H21">
        <f>4.135992828</f>
        <v>4.135992828</v>
      </c>
      <c r="I21">
        <f>52.32571122</f>
        <v>52.325711220000002</v>
      </c>
      <c r="J21">
        <f>96.573817</f>
        <v>96.573817000000005</v>
      </c>
      <c r="K21">
        <f>13.550426</f>
        <v>13.550426</v>
      </c>
      <c r="L21">
        <f>4009.411</f>
        <v>4009.4110000000001</v>
      </c>
    </row>
    <row r="22" spans="1:12" x14ac:dyDescent="0.25">
      <c r="A22">
        <f>0.8</f>
        <v>0.8</v>
      </c>
      <c r="B22">
        <f>51.5435617</f>
        <v>51.543561699999998</v>
      </c>
      <c r="C22">
        <f>50.51019137</f>
        <v>50.510191370000001</v>
      </c>
      <c r="D22">
        <f>17.90586632</f>
        <v>17.905866320000001</v>
      </c>
      <c r="E22">
        <f>68.41605769</f>
        <v>68.416057690000002</v>
      </c>
      <c r="F22">
        <f>49.85794383</f>
        <v>49.857943830000004</v>
      </c>
      <c r="G22">
        <f>48.85836758</f>
        <v>48.858367579999999</v>
      </c>
      <c r="H22">
        <f>4.167451411</f>
        <v>4.167451411</v>
      </c>
      <c r="I22">
        <f>53.025819</f>
        <v>53.025818999999998</v>
      </c>
      <c r="J22">
        <f>91.94829</f>
        <v>91.94829</v>
      </c>
      <c r="K22">
        <f>14.174954</f>
        <v>14.174954</v>
      </c>
      <c r="L22">
        <f>3769.6579</f>
        <v>3769.6579000000002</v>
      </c>
    </row>
    <row r="23" spans="1:12" x14ac:dyDescent="0.25">
      <c r="A23">
        <f>0.81</f>
        <v>0.81</v>
      </c>
      <c r="B23">
        <f>52.18785622</f>
        <v>52.18785622</v>
      </c>
      <c r="C23">
        <f>51.20191095</f>
        <v>51.201910949999998</v>
      </c>
      <c r="D23">
        <f>17.74271714</f>
        <v>17.74271714</v>
      </c>
      <c r="E23">
        <f>68.94462809</f>
        <v>68.944628089999995</v>
      </c>
      <c r="F23">
        <f>50.48116813</f>
        <v>50.48116813</v>
      </c>
      <c r="G23">
        <f>49.52746601</f>
        <v>49.527466009999998</v>
      </c>
      <c r="H23">
        <f>4.201687636</f>
        <v>4.2016876359999999</v>
      </c>
      <c r="I23">
        <f>53.72915365</f>
        <v>53.729153650000001</v>
      </c>
      <c r="J23">
        <f>87.14703</f>
        <v>87.147030000000001</v>
      </c>
      <c r="K23">
        <f>14.866934</f>
        <v>14.866934000000001</v>
      </c>
      <c r="L23">
        <f>3528.709</f>
        <v>3528.7089999999998</v>
      </c>
    </row>
    <row r="24" spans="1:12" x14ac:dyDescent="0.25">
      <c r="A24">
        <f>0.82</f>
        <v>0.82</v>
      </c>
      <c r="B24">
        <f>52.83215074</f>
        <v>52.832150740000003</v>
      </c>
      <c r="C24">
        <f>51.89420669</f>
        <v>51.894206689999997</v>
      </c>
      <c r="D24">
        <f>17.57762255</f>
        <v>17.577622550000001</v>
      </c>
      <c r="E24">
        <f>69.47182924</f>
        <v>69.471829240000005</v>
      </c>
      <c r="F24">
        <f>51.10439243</f>
        <v>51.104392429999997</v>
      </c>
      <c r="G24">
        <f>50.19712175</f>
        <v>50.197121750000001</v>
      </c>
      <c r="H24">
        <f>4.239174607</f>
        <v>4.2391746069999998</v>
      </c>
      <c r="I24">
        <f>54.43629636</f>
        <v>54.43629636</v>
      </c>
      <c r="J24">
        <f>82.161732</f>
        <v>82.161732000000001</v>
      </c>
      <c r="K24">
        <f>15.639695</f>
        <v>15.639695</v>
      </c>
      <c r="L24">
        <f>3286.2758</f>
        <v>3286.2757999999999</v>
      </c>
    </row>
    <row r="25" spans="1:12" x14ac:dyDescent="0.25">
      <c r="A25">
        <f>0.83</f>
        <v>0.83</v>
      </c>
      <c r="B25">
        <f>53.47644526</f>
        <v>53.476445259999998</v>
      </c>
      <c r="C25">
        <f>52.58723055</f>
        <v>52.587230550000001</v>
      </c>
      <c r="D25">
        <f>17.41006738</f>
        <v>17.410067380000001</v>
      </c>
      <c r="E25">
        <f>69.99729793</f>
        <v>69.997297930000002</v>
      </c>
      <c r="F25">
        <f>51.72761672</f>
        <v>51.72761672</v>
      </c>
      <c r="G25">
        <f>50.86748181</f>
        <v>50.867481810000001</v>
      </c>
      <c r="H25">
        <f>4.280527392</f>
        <v>4.2805273919999998</v>
      </c>
      <c r="I25">
        <f>55.1480092</f>
        <v>55.148009199999997</v>
      </c>
      <c r="J25">
        <f>76.982053</f>
        <v>76.982052999999993</v>
      </c>
      <c r="K25">
        <f>16.510925</f>
        <v>16.510925</v>
      </c>
      <c r="L25">
        <f>3042.0032</f>
        <v>3042.0032000000001</v>
      </c>
    </row>
    <row r="26" spans="1:12" x14ac:dyDescent="0.25">
      <c r="A26">
        <f>0.84</f>
        <v>0.84</v>
      </c>
      <c r="B26">
        <f>54.12073978</f>
        <v>54.120739780000001</v>
      </c>
      <c r="C26">
        <f>53.28120011</f>
        <v>53.28120011</v>
      </c>
      <c r="D26">
        <f>17.23931323</f>
        <v>17.23931323</v>
      </c>
      <c r="E26">
        <f>70.52051334</f>
        <v>70.520513339999994</v>
      </c>
      <c r="F26">
        <f>52.35084102</f>
        <v>52.350841019999997</v>
      </c>
      <c r="G26">
        <f>51.53875663</f>
        <v>51.538756630000002</v>
      </c>
      <c r="H26">
        <f>4.326575716</f>
        <v>4.3265757159999998</v>
      </c>
      <c r="I26">
        <f>55.86533235</f>
        <v>55.865332350000003</v>
      </c>
      <c r="J26">
        <f>71.59003</f>
        <v>71.590029999999999</v>
      </c>
      <c r="K26">
        <f>17.504989</f>
        <v>17.504988999999998</v>
      </c>
      <c r="L26">
        <f>2795.2557</f>
        <v>2795.2557000000002</v>
      </c>
    </row>
    <row r="27" spans="1:12" x14ac:dyDescent="0.25">
      <c r="A27">
        <f>0.85</f>
        <v>0.85</v>
      </c>
      <c r="B27">
        <f>54.7650343</f>
        <v>54.765034300000003</v>
      </c>
      <c r="C27">
        <f>53.97643286</f>
        <v>53.976432860000003</v>
      </c>
      <c r="D27">
        <f>17.06428214</f>
        <v>17.06428214</v>
      </c>
      <c r="E27">
        <f>71.040715</f>
        <v>71.040715000000006</v>
      </c>
      <c r="F27">
        <f>52.97406532</f>
        <v>52.974065320000001</v>
      </c>
      <c r="G27">
        <f>52.21125333</f>
        <v>52.211253329999998</v>
      </c>
      <c r="H27">
        <f>4.378482707</f>
        <v>4.3784827069999999</v>
      </c>
      <c r="I27">
        <f>56.58973604</f>
        <v>56.589736039999998</v>
      </c>
      <c r="J27">
        <f>65.96299</f>
        <v>65.962990000000005</v>
      </c>
      <c r="K27">
        <f>18.656813</f>
        <v>18.656813</v>
      </c>
      <c r="L27">
        <f>2545.2455</f>
        <v>2545.2455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N19" sqref="N19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39.76217617</f>
        <v>39.762176169999996</v>
      </c>
      <c r="C2">
        <f>37.73519582</f>
        <v>37.735195820000001</v>
      </c>
      <c r="D2">
        <f>18.79061719</f>
        <v>18.790617189999999</v>
      </c>
      <c r="E2">
        <f>56.52581302</f>
        <v>56.525813020000001</v>
      </c>
      <c r="F2">
        <f>38.46184238</f>
        <v>38.46184238</v>
      </c>
      <c r="G2">
        <f>36.50114994</f>
        <v>36.501149939999998</v>
      </c>
      <c r="H2">
        <f>3.031524851</f>
        <v>3.0315248509999999</v>
      </c>
      <c r="I2">
        <f>39.53267479</f>
        <v>39.532674790000002</v>
      </c>
      <c r="J2">
        <f>154.34819</f>
        <v>154.34818999999999</v>
      </c>
      <c r="K2">
        <f>7.3816173</f>
        <v>7.3816173000000003</v>
      </c>
      <c r="L2">
        <f>8437.2044</f>
        <v>8437.2044000000005</v>
      </c>
    </row>
    <row r="3" spans="1:12" x14ac:dyDescent="0.25">
      <c r="A3">
        <f>0.61</f>
        <v>0.61</v>
      </c>
      <c r="B3">
        <f>40.4248791</f>
        <v>40.424879099999998</v>
      </c>
      <c r="C3">
        <f>38.44354958</f>
        <v>38.443549580000003</v>
      </c>
      <c r="D3">
        <f>18.63330504</f>
        <v>18.63330504</v>
      </c>
      <c r="E3">
        <f>57.07685461</f>
        <v>57.076854609999998</v>
      </c>
      <c r="F3">
        <f>39.10287309</f>
        <v>39.102873090000003</v>
      </c>
      <c r="G3">
        <f>37.18633855</f>
        <v>37.186338550000002</v>
      </c>
      <c r="H3">
        <f>3.038669332</f>
        <v>3.038669332</v>
      </c>
      <c r="I3">
        <f>40.22500788</f>
        <v>40.22500788</v>
      </c>
      <c r="J3">
        <f>152.58349</f>
        <v>152.58349000000001</v>
      </c>
      <c r="K3">
        <f>7.552944</f>
        <v>7.5529440000000001</v>
      </c>
      <c r="L3">
        <f>8204.0065</f>
        <v>8204.0064999999995</v>
      </c>
    </row>
    <row r="4" spans="1:12" x14ac:dyDescent="0.25">
      <c r="A4">
        <f>0.62</f>
        <v>0.62</v>
      </c>
      <c r="B4">
        <f>41.08758204</f>
        <v>41.087582040000001</v>
      </c>
      <c r="C4">
        <f>39.15194554</f>
        <v>39.15194554</v>
      </c>
      <c r="D4">
        <f>18.47585188</f>
        <v>18.47585188</v>
      </c>
      <c r="E4">
        <f>57.62779742</f>
        <v>57.62779742</v>
      </c>
      <c r="F4">
        <f>39.7439038</f>
        <v>39.743903799999998</v>
      </c>
      <c r="G4">
        <f>37.87156799</f>
        <v>37.871567990000003</v>
      </c>
      <c r="H4">
        <f>3.046115234</f>
        <v>3.0461152340000002</v>
      </c>
      <c r="I4">
        <f>40.91768323</f>
        <v>40.917683230000002</v>
      </c>
      <c r="J4">
        <f>150.6745</f>
        <v>150.67449999999999</v>
      </c>
      <c r="K4">
        <f>7.7325824</f>
        <v>7.7325824000000001</v>
      </c>
      <c r="L4">
        <f>7970.6976</f>
        <v>7970.6976000000004</v>
      </c>
    </row>
    <row r="5" spans="1:12" x14ac:dyDescent="0.25">
      <c r="A5">
        <f>0.63</f>
        <v>0.63</v>
      </c>
      <c r="B5">
        <f>41.75028497</f>
        <v>41.750284970000003</v>
      </c>
      <c r="C5">
        <f>39.86038759</f>
        <v>39.860387590000002</v>
      </c>
      <c r="D5">
        <f>18.31824467</f>
        <v>18.318244669999999</v>
      </c>
      <c r="E5">
        <f>58.17863226</f>
        <v>58.178632260000001</v>
      </c>
      <c r="F5">
        <f>40.3849345</f>
        <v>40.3849345</v>
      </c>
      <c r="G5">
        <f>38.55684202</f>
        <v>38.556842019999998</v>
      </c>
      <c r="H5">
        <f>3.053883471</f>
        <v>3.0538834709999998</v>
      </c>
      <c r="I5">
        <f>41.61072549</f>
        <v>41.61072549</v>
      </c>
      <c r="J5">
        <f>148.6209</f>
        <v>148.62090000000001</v>
      </c>
      <c r="K5">
        <f>7.9211686</f>
        <v>7.9211685999999997</v>
      </c>
      <c r="L5">
        <f>7737.2676</f>
        <v>7737.2676000000001</v>
      </c>
    </row>
    <row r="6" spans="1:12" x14ac:dyDescent="0.25">
      <c r="A6">
        <f>0.64</f>
        <v>0.64</v>
      </c>
      <c r="B6">
        <f>42.41298791</f>
        <v>42.412987909999998</v>
      </c>
      <c r="C6">
        <f>40.56888013</f>
        <v>40.568880129999997</v>
      </c>
      <c r="D6">
        <f>18.16046865</f>
        <v>18.160468649999999</v>
      </c>
      <c r="E6">
        <f>58.72934878</f>
        <v>58.729348780000002</v>
      </c>
      <c r="F6">
        <f>41.02596521</f>
        <v>41.025965210000003</v>
      </c>
      <c r="G6">
        <f>39.24216488</f>
        <v>39.242164879999997</v>
      </c>
      <c r="H6">
        <f>3.061997022</f>
        <v>3.0619970219999999</v>
      </c>
      <c r="I6">
        <f>42.3041619</f>
        <v>42.304161899999997</v>
      </c>
      <c r="J6">
        <f>146.42238</f>
        <v>146.42238</v>
      </c>
      <c r="K6">
        <f>8.1194075</f>
        <v>8.1194074999999994</v>
      </c>
      <c r="L6">
        <f>7503.705</f>
        <v>7503.7049999999999</v>
      </c>
    </row>
    <row r="7" spans="1:12" x14ac:dyDescent="0.25">
      <c r="A7">
        <f>0.65</f>
        <v>0.65</v>
      </c>
      <c r="B7">
        <f>43.07569085</f>
        <v>43.075690850000001</v>
      </c>
      <c r="C7">
        <f>41.2774281</f>
        <v>41.277428100000002</v>
      </c>
      <c r="D7">
        <f>18.00250712</f>
        <v>18.002507120000001</v>
      </c>
      <c r="E7">
        <f>59.27993522</f>
        <v>59.279935219999999</v>
      </c>
      <c r="F7">
        <f>41.66699592</f>
        <v>41.666995919999998</v>
      </c>
      <c r="G7">
        <f>39.92754136</f>
        <v>39.927541359999999</v>
      </c>
      <c r="H7">
        <f>3.070481207</f>
        <v>3.0704812069999998</v>
      </c>
      <c r="I7">
        <f>42.99802257</f>
        <v>42.998022570000003</v>
      </c>
      <c r="J7">
        <f>144.07854</f>
        <v>144.07854</v>
      </c>
      <c r="K7">
        <f>8.3280824</f>
        <v>8.3280823999999996</v>
      </c>
      <c r="L7">
        <f>7269.9969</f>
        <v>7269.9969000000001</v>
      </c>
    </row>
    <row r="8" spans="1:12" x14ac:dyDescent="0.25">
      <c r="A8">
        <f>0.66</f>
        <v>0.66</v>
      </c>
      <c r="B8">
        <f>43.73839378</f>
        <v>43.738393780000003</v>
      </c>
      <c r="C8">
        <f>41.98603716</f>
        <v>41.986037160000002</v>
      </c>
      <c r="D8">
        <f>17.84434109</f>
        <v>17.84434109</v>
      </c>
      <c r="E8">
        <f>59.83037825</f>
        <v>59.830378250000003</v>
      </c>
      <c r="F8">
        <f>42.30802662</f>
        <v>42.30802662</v>
      </c>
      <c r="G8">
        <f>40.61297694</f>
        <v>40.612976940000003</v>
      </c>
      <c r="H8">
        <f>3.079364002</f>
        <v>3.0793640020000002</v>
      </c>
      <c r="I8">
        <f>43.69234094</f>
        <v>43.692340940000001</v>
      </c>
      <c r="J8">
        <f>141.58897</f>
        <v>141.58896999999999</v>
      </c>
      <c r="K8">
        <f>8.5480668</f>
        <v>8.5480668000000009</v>
      </c>
      <c r="L8">
        <f>7036.1285</f>
        <v>7036.1284999999998</v>
      </c>
    </row>
    <row r="9" spans="1:12" x14ac:dyDescent="0.25">
      <c r="A9">
        <f>0.67</f>
        <v>0.67</v>
      </c>
      <c r="B9">
        <f>44.40109672</f>
        <v>44.401096719999998</v>
      </c>
      <c r="C9">
        <f>42.69471375</f>
        <v>42.694713749999998</v>
      </c>
      <c r="D9">
        <f>17.68594882</f>
        <v>17.68594882</v>
      </c>
      <c r="E9">
        <f>60.38066257</f>
        <v>60.380662569999998</v>
      </c>
      <c r="F9">
        <f>42.94905733</f>
        <v>42.949057330000002</v>
      </c>
      <c r="G9">
        <f>41.29847783</f>
        <v>41.298477830000003</v>
      </c>
      <c r="H9">
        <f>3.088676428</f>
        <v>3.0886764279999999</v>
      </c>
      <c r="I9">
        <f>44.38715426</f>
        <v>44.387154260000003</v>
      </c>
      <c r="J9">
        <f>138.95317</f>
        <v>138.95317</v>
      </c>
      <c r="K9">
        <f>8.7803388</f>
        <v>8.7803388000000009</v>
      </c>
      <c r="L9">
        <f>6802.0831</f>
        <v>6802.0830999999998</v>
      </c>
    </row>
    <row r="10" spans="1:12" x14ac:dyDescent="0.25">
      <c r="A10">
        <f>0.68</f>
        <v>0.68</v>
      </c>
      <c r="B10">
        <f>45.06379966</f>
        <v>45.063799660000001</v>
      </c>
      <c r="C10">
        <f>43.40346527</f>
        <v>43.403465269999998</v>
      </c>
      <c r="D10">
        <f>17.52730539</f>
        <v>17.527305389999999</v>
      </c>
      <c r="E10">
        <f>60.93077066</f>
        <v>60.93077066</v>
      </c>
      <c r="F10">
        <f>43.59008803</f>
        <v>43.590088029999997</v>
      </c>
      <c r="G10">
        <f>41.98405121</f>
        <v>41.984051209999997</v>
      </c>
      <c r="H10">
        <f>3.098452998</f>
        <v>3.098452998</v>
      </c>
      <c r="I10">
        <f>45.0825042</f>
        <v>45.082504200000002</v>
      </c>
      <c r="J10">
        <f>136.17058</f>
        <v>136.17058</v>
      </c>
      <c r="K10">
        <f>9.0259969</f>
        <v>9.0259969000000009</v>
      </c>
      <c r="L10">
        <f>6567.8412</f>
        <v>6567.8411999999998</v>
      </c>
    </row>
    <row r="11" spans="1:12" x14ac:dyDescent="0.25">
      <c r="A11">
        <f>0.69</f>
        <v>0.69</v>
      </c>
      <c r="B11">
        <f>45.72650259</f>
        <v>45.726502590000003</v>
      </c>
      <c r="C11">
        <f>44.11230026</f>
        <v>44.112300259999998</v>
      </c>
      <c r="D11">
        <f>17.368382</f>
        <v>17.368382</v>
      </c>
      <c r="E11">
        <f>61.48068226</f>
        <v>61.480682260000002</v>
      </c>
      <c r="F11">
        <f>44.23111874</f>
        <v>44.231118739999999</v>
      </c>
      <c r="G11">
        <f>42.66970532</f>
        <v>42.669705319999998</v>
      </c>
      <c r="H11">
        <f>3.10873226</f>
        <v>3.10873226</v>
      </c>
      <c r="I11">
        <f>45.77843758</f>
        <v>45.778437580000002</v>
      </c>
      <c r="J11">
        <f>133.24055</f>
        <v>133.24055000000001</v>
      </c>
      <c r="K11">
        <f>9.2862814</f>
        <v>9.2862814</v>
      </c>
      <c r="L11">
        <f>6333.3808</f>
        <v>6333.3807999999999</v>
      </c>
    </row>
    <row r="12" spans="1:12" x14ac:dyDescent="0.25">
      <c r="A12">
        <f>0.7</f>
        <v>0.7</v>
      </c>
      <c r="B12">
        <f>46.38920553</f>
        <v>46.389205529999998</v>
      </c>
      <c r="C12">
        <f>44.82122862</f>
        <v>44.821228619999999</v>
      </c>
      <c r="D12">
        <f>17.20914525</f>
        <v>17.209145249999999</v>
      </c>
      <c r="E12">
        <f>62.03037386</f>
        <v>62.030373859999997</v>
      </c>
      <c r="F12">
        <f>44.87214945</f>
        <v>44.872149450000002</v>
      </c>
      <c r="G12">
        <f>43.35544974</f>
        <v>43.355449739999997</v>
      </c>
      <c r="H12">
        <f>3.119557451</f>
        <v>3.1195574509999999</v>
      </c>
      <c r="I12">
        <f>46.4750072</f>
        <v>46.4750072</v>
      </c>
      <c r="J12">
        <f>130.16233</f>
        <v>130.16233</v>
      </c>
      <c r="K12">
        <f>9.562598</f>
        <v>9.5625979999999995</v>
      </c>
      <c r="L12">
        <f>6098.676</f>
        <v>6098.6760000000004</v>
      </c>
    </row>
    <row r="13" spans="1:12" x14ac:dyDescent="0.25">
      <c r="A13">
        <f>0.71</f>
        <v>0.71</v>
      </c>
      <c r="B13">
        <f>47.05190846</f>
        <v>47.05190846</v>
      </c>
      <c r="C13">
        <f>45.5302619</f>
        <v>45.530261899999999</v>
      </c>
      <c r="D13">
        <f>17.04955609</f>
        <v>17.049556089999999</v>
      </c>
      <c r="E13">
        <f>62.57981799</f>
        <v>62.579817990000002</v>
      </c>
      <c r="F13">
        <f>45.51318015</f>
        <v>45.513180149999997</v>
      </c>
      <c r="G13">
        <f>44.04129567</f>
        <v>44.041295669999997</v>
      </c>
      <c r="H13">
        <f>3.130977291</f>
        <v>3.1309772910000002</v>
      </c>
      <c r="I13">
        <f>47.17227296</f>
        <v>47.172272960000001</v>
      </c>
      <c r="J13">
        <f>126.93505</f>
        <v>126.93505</v>
      </c>
      <c r="K13">
        <f>9.8565489</f>
        <v>9.8565488999999999</v>
      </c>
      <c r="L13">
        <f>5863.6966</f>
        <v>5863.6966000000002</v>
      </c>
    </row>
    <row r="14" spans="1:12" x14ac:dyDescent="0.25">
      <c r="A14">
        <f>0.72</f>
        <v>0.72</v>
      </c>
      <c r="B14">
        <f>47.7146114</f>
        <v>47.714611400000003</v>
      </c>
      <c r="C14">
        <f>46.23941369</f>
        <v>46.239413689999999</v>
      </c>
      <c r="D14">
        <f>16.88956864</f>
        <v>16.88956864</v>
      </c>
      <c r="E14">
        <f>63.12898233</f>
        <v>63.128982329999999</v>
      </c>
      <c r="F14">
        <f>46.15421086</f>
        <v>46.154210859999999</v>
      </c>
      <c r="G14">
        <f>44.72725622</f>
        <v>44.727256220000001</v>
      </c>
      <c r="H14">
        <f>3.143046959</f>
        <v>3.1430469589999999</v>
      </c>
      <c r="I14">
        <f>47.87030318</f>
        <v>47.870303180000001</v>
      </c>
      <c r="J14">
        <f>123.55768</f>
        <v>123.55768</v>
      </c>
      <c r="K14">
        <f>10.16997</f>
        <v>10.169969999999999</v>
      </c>
      <c r="L14">
        <f>5628.4074</f>
        <v>5628.4074000000001</v>
      </c>
    </row>
    <row r="15" spans="1:12" x14ac:dyDescent="0.25">
      <c r="A15">
        <f>0.73</f>
        <v>0.73</v>
      </c>
      <c r="B15">
        <f>48.37731434</f>
        <v>48.377314339999998</v>
      </c>
      <c r="C15">
        <f>46.94870007</f>
        <v>46.948700070000001</v>
      </c>
      <c r="D15">
        <f>16.72912853</f>
        <v>16.729128530000001</v>
      </c>
      <c r="E15">
        <f>63.6778286</f>
        <v>63.677828599999998</v>
      </c>
      <c r="F15">
        <f>46.79524157</f>
        <v>46.795241570000002</v>
      </c>
      <c r="G15">
        <f>45.41334696</f>
        <v>45.413346959999998</v>
      </c>
      <c r="H15">
        <f>3.155829312</f>
        <v>3.1558293119999998</v>
      </c>
      <c r="I15">
        <f>48.56917627</f>
        <v>48.56917627</v>
      </c>
      <c r="J15">
        <f>120.029</f>
        <v>120.029</v>
      </c>
      <c r="K15">
        <f>10.504978</f>
        <v>10.504977999999999</v>
      </c>
      <c r="L15">
        <f>5392.7664</f>
        <v>5392.7664000000004</v>
      </c>
    </row>
    <row r="16" spans="1:12" x14ac:dyDescent="0.25">
      <c r="A16">
        <f>0.74</f>
        <v>0.74</v>
      </c>
      <c r="B16">
        <f>49.04001727</f>
        <v>49.04001727</v>
      </c>
      <c r="C16">
        <f>47.65814022</f>
        <v>47.65814022</v>
      </c>
      <c r="D16">
        <f>16.56817087</f>
        <v>16.568170869999999</v>
      </c>
      <c r="E16">
        <f>64.22631109</f>
        <v>64.226311089999996</v>
      </c>
      <c r="F16">
        <f>47.43627227</f>
        <v>47.436272270000003</v>
      </c>
      <c r="G16">
        <f>46.09958644</f>
        <v>46.099586440000003</v>
      </c>
      <c r="H16">
        <f>3.169396403</f>
        <v>3.1693964029999999</v>
      </c>
      <c r="I16">
        <f>49.26898285</f>
        <v>49.26898285</v>
      </c>
      <c r="J16">
        <f>116.34757</f>
        <v>116.34757</v>
      </c>
      <c r="K16">
        <f>10.86403</f>
        <v>10.86403</v>
      </c>
      <c r="L16">
        <f>5156.7238</f>
        <v>5156.7237999999998</v>
      </c>
    </row>
    <row r="17" spans="1:12" x14ac:dyDescent="0.25">
      <c r="A17">
        <f>0.75</f>
        <v>0.75</v>
      </c>
      <c r="B17">
        <f>49.70272021</f>
        <v>49.702720210000003</v>
      </c>
      <c r="C17">
        <f>48.36775724</f>
        <v>48.367757240000003</v>
      </c>
      <c r="D17">
        <f>16.40661745</f>
        <v>16.406617449999999</v>
      </c>
      <c r="E17">
        <f>64.7743747</f>
        <v>64.774374699999996</v>
      </c>
      <c r="F17">
        <f>48.07730298</f>
        <v>48.077302979999999</v>
      </c>
      <c r="G17">
        <f>46.78599702</f>
        <v>46.785997020000003</v>
      </c>
      <c r="H17">
        <f>3.183831434</f>
        <v>3.183831434</v>
      </c>
      <c r="I17">
        <f>49.96982845</f>
        <v>49.969828450000001</v>
      </c>
      <c r="J17">
        <f>112.51164</f>
        <v>112.51164</v>
      </c>
      <c r="K17">
        <f>11.250001</f>
        <v>11.250000999999999</v>
      </c>
      <c r="L17">
        <f>4920.2194</f>
        <v>4920.2194</v>
      </c>
    </row>
    <row r="18" spans="1:12" x14ac:dyDescent="0.25">
      <c r="A18">
        <f>0.76</f>
        <v>0.76</v>
      </c>
      <c r="B18">
        <f>50.36542314</f>
        <v>50.365423139999997</v>
      </c>
      <c r="C18">
        <f>49.07757922</f>
        <v>49.077579219999997</v>
      </c>
      <c r="D18">
        <f>16.24437314</f>
        <v>16.24437314</v>
      </c>
      <c r="E18">
        <f>65.32195237</f>
        <v>65.321952370000005</v>
      </c>
      <c r="F18">
        <f>48.71833369</f>
        <v>48.718333690000001</v>
      </c>
      <c r="G18">
        <f>47.47260584</f>
        <v>47.47260584</v>
      </c>
      <c r="H18">
        <f>3.199231264</f>
        <v>3.1992312639999998</v>
      </c>
      <c r="I18">
        <f>50.67183711</f>
        <v>50.671837109999998</v>
      </c>
      <c r="J18">
        <f>108.5191</f>
        <v>108.51909999999999</v>
      </c>
      <c r="K18">
        <f>11.666285</f>
        <v>11.666285</v>
      </c>
      <c r="L18">
        <f>4683.1801</f>
        <v>4683.1800999999996</v>
      </c>
    </row>
    <row r="19" spans="1:12" x14ac:dyDescent="0.25">
      <c r="A19">
        <f>0.77</f>
        <v>0.77</v>
      </c>
      <c r="B19">
        <f>51.02812608</f>
        <v>51.02812608</v>
      </c>
      <c r="C19">
        <f>49.78764071</f>
        <v>49.787640709999998</v>
      </c>
      <c r="D19">
        <f>16.08132086</f>
        <v>16.081320860000002</v>
      </c>
      <c r="E19">
        <f>65.86896157</f>
        <v>65.868961569999996</v>
      </c>
      <c r="F19">
        <f>49.35936439</f>
        <v>49.359364390000003</v>
      </c>
      <c r="G19">
        <f>48.15944634</f>
        <v>48.159446340000002</v>
      </c>
      <c r="H19">
        <f>3.215709726</f>
        <v>3.215709726</v>
      </c>
      <c r="I19">
        <f>51.37515607</f>
        <v>51.375156070000003</v>
      </c>
      <c r="J19">
        <f>104.36734</f>
        <v>104.36734</v>
      </c>
      <c r="K19">
        <f>12.116928</f>
        <v>12.116928</v>
      </c>
      <c r="L19">
        <f>4445.516</f>
        <v>4445.5159999999996</v>
      </c>
    </row>
    <row r="20" spans="1:12" x14ac:dyDescent="0.25">
      <c r="A20">
        <f>0.78</f>
        <v>0.78</v>
      </c>
      <c r="B20">
        <f>51.69082902</f>
        <v>51.690829020000002</v>
      </c>
      <c r="C20">
        <f>50.4979847</f>
        <v>50.497984700000003</v>
      </c>
      <c r="D20">
        <f>15.91731474</f>
        <v>15.91731474</v>
      </c>
      <c r="E20">
        <f>66.41529944</f>
        <v>66.415299439999998</v>
      </c>
      <c r="F20">
        <f>50.0003951</f>
        <v>50.000395099999999</v>
      </c>
      <c r="G20">
        <f>48.8465601</f>
        <v>48.846560099999998</v>
      </c>
      <c r="H20">
        <f>3.233402071</f>
        <v>3.233402071</v>
      </c>
      <c r="I20">
        <f>52.07996218</f>
        <v>52.079962180000003</v>
      </c>
      <c r="J20">
        <f>100.05314</f>
        <v>100.05314</v>
      </c>
      <c r="K20">
        <f>12.606805</f>
        <v>12.606805</v>
      </c>
      <c r="L20">
        <f>4207.1153</f>
        <v>4207.1153000000004</v>
      </c>
    </row>
    <row r="21" spans="1:12" x14ac:dyDescent="0.25">
      <c r="A21">
        <f>0.79</f>
        <v>0.79</v>
      </c>
      <c r="B21">
        <f>52.35353195</f>
        <v>52.353531949999997</v>
      </c>
      <c r="C21">
        <f>51.20866552</f>
        <v>51.208665519999997</v>
      </c>
      <c r="D21">
        <f>15.75217038</f>
        <v>15.752170380000001</v>
      </c>
      <c r="E21">
        <f>66.9608359</f>
        <v>66.960835900000006</v>
      </c>
      <c r="F21">
        <f>50.6414258</f>
        <v>50.6414258</v>
      </c>
      <c r="G21">
        <f>49.53399969</f>
        <v>49.533999690000002</v>
      </c>
      <c r="H21">
        <f>3.25247107</f>
        <v>3.2524710699999999</v>
      </c>
      <c r="I21">
        <f>52.78647076</f>
        <v>52.78647076</v>
      </c>
      <c r="J21">
        <f>95.572421</f>
        <v>95.572421000000006</v>
      </c>
      <c r="K21">
        <f>13.141877</f>
        <v>13.141876999999999</v>
      </c>
      <c r="L21">
        <f>3967.8365</f>
        <v>3967.8364999999999</v>
      </c>
    </row>
    <row r="22" spans="1:12" x14ac:dyDescent="0.25">
      <c r="A22">
        <f>0.8</f>
        <v>0.8</v>
      </c>
      <c r="B22">
        <f>53.01623489</f>
        <v>53.01623489</v>
      </c>
      <c r="C22">
        <f>51.91975298</f>
        <v>51.919752979999998</v>
      </c>
      <c r="D22">
        <f>15.58565076</f>
        <v>15.58565076</v>
      </c>
      <c r="E22">
        <f>67.50540375</f>
        <v>67.505403749999999</v>
      </c>
      <c r="F22">
        <f>51.28245651</f>
        <v>51.282456510000003</v>
      </c>
      <c r="G22">
        <f>50.22183262</f>
        <v>50.221832620000001</v>
      </c>
      <c r="H22">
        <f>3.27311563</f>
        <v>3.2731156299999999</v>
      </c>
      <c r="I22">
        <f>53.49494825</f>
        <v>53.49494825</v>
      </c>
      <c r="J22">
        <f>90.919937</f>
        <v>90.919937000000004</v>
      </c>
      <c r="K22">
        <f>13.72954</f>
        <v>13.72954</v>
      </c>
      <c r="L22">
        <f>3727.4979</f>
        <v>3727.4978999999998</v>
      </c>
    </row>
    <row r="23" spans="1:12" x14ac:dyDescent="0.25">
      <c r="A23">
        <f>0.81</f>
        <v>0.81</v>
      </c>
      <c r="B23">
        <f>53.67893782</f>
        <v>53.678937820000002</v>
      </c>
      <c r="C23">
        <f>52.63133848</f>
        <v>52.631338479999997</v>
      </c>
      <c r="D23">
        <f>15.41744553</f>
        <v>15.41744553</v>
      </c>
      <c r="E23">
        <f>68.04878401</f>
        <v>68.048784010000006</v>
      </c>
      <c r="F23">
        <f>51.92348722</f>
        <v>51.923487219999998</v>
      </c>
      <c r="G23">
        <f>50.91014728</f>
        <v>50.910147279999997</v>
      </c>
      <c r="H23">
        <f>3.295583395</f>
        <v>3.295583395</v>
      </c>
      <c r="I23">
        <f>54.20573068</f>
        <v>54.205730680000002</v>
      </c>
      <c r="J23">
        <f>86.088847</f>
        <v>86.088847000000001</v>
      </c>
      <c r="K23">
        <f>14.379148</f>
        <v>14.379148000000001</v>
      </c>
      <c r="L23">
        <f>3485.8616</f>
        <v>3485.8616000000002</v>
      </c>
    </row>
    <row r="24" spans="1:12" x14ac:dyDescent="0.25">
      <c r="A24">
        <f>0.82</f>
        <v>0.82</v>
      </c>
      <c r="B24">
        <f>54.34164076</f>
        <v>54.341640759999997</v>
      </c>
      <c r="C24">
        <f>53.34354363</f>
        <v>53.343543629999999</v>
      </c>
      <c r="D24">
        <f>15.24714085</f>
        <v>15.247140849999999</v>
      </c>
      <c r="E24">
        <f>68.59068448</f>
        <v>68.590684479999993</v>
      </c>
      <c r="F24">
        <f>52.56451792</f>
        <v>52.56451792</v>
      </c>
      <c r="G24">
        <f>51.59906135</f>
        <v>51.599061349999999</v>
      </c>
      <c r="H24">
        <f>3.320188904</f>
        <v>3.3201889040000001</v>
      </c>
      <c r="I24">
        <f>54.91925025</f>
        <v>54.919250249999997</v>
      </c>
      <c r="J24">
        <f>81.071079</f>
        <v>81.071078999999997</v>
      </c>
      <c r="K24">
        <f>15.10279</f>
        <v>15.102790000000001</v>
      </c>
      <c r="L24">
        <f>3242.6522</f>
        <v>3242.6522</v>
      </c>
    </row>
    <row r="25" spans="1:12" x14ac:dyDescent="0.25">
      <c r="A25">
        <f>0.83</f>
        <v>0.83</v>
      </c>
      <c r="B25">
        <f>55.0043437</f>
        <v>55.0043437</v>
      </c>
      <c r="C25">
        <f>54.05653879</f>
        <v>54.056538789999998</v>
      </c>
      <c r="D25">
        <f>15.07415725</f>
        <v>15.074157250000001</v>
      </c>
      <c r="E25">
        <f>69.13069604</f>
        <v>69.130696040000004</v>
      </c>
      <c r="F25">
        <f>53.20554863</f>
        <v>53.205548630000003</v>
      </c>
      <c r="G25">
        <f>52.28873958</f>
        <v>52.288739579999998</v>
      </c>
      <c r="H25">
        <f>3.347345369</f>
        <v>3.3473453690000001</v>
      </c>
      <c r="I25">
        <f>55.63608495</f>
        <v>55.636084949999997</v>
      </c>
      <c r="J25">
        <f>75.851961</f>
        <v>75.851961000000003</v>
      </c>
      <c r="K25">
        <f>15.916587</f>
        <v>15.916587</v>
      </c>
      <c r="L25">
        <f>2997.3468</f>
        <v>2997.3467999999998</v>
      </c>
    </row>
    <row r="26" spans="1:12" x14ac:dyDescent="0.25">
      <c r="A26">
        <f>0.84</f>
        <v>0.84</v>
      </c>
      <c r="B26">
        <f>55.66704663</f>
        <v>55.667046630000002</v>
      </c>
      <c r="C26">
        <f>54.77056408</f>
        <v>54.77056408</v>
      </c>
      <c r="D26">
        <f>14.89767742</f>
        <v>14.897677420000001</v>
      </c>
      <c r="E26">
        <f>69.6682415</f>
        <v>69.668241499999993</v>
      </c>
      <c r="F26">
        <f>53.84657934</f>
        <v>53.846579339999998</v>
      </c>
      <c r="G26">
        <f>52.97941426</f>
        <v>52.979414259999999</v>
      </c>
      <c r="H26">
        <f>3.37761168</f>
        <v>3.3776116799999998</v>
      </c>
      <c r="I26">
        <f>56.35702594</f>
        <v>56.35702594</v>
      </c>
      <c r="J26">
        <f>70.414561</f>
        <v>70.414561000000006</v>
      </c>
      <c r="K26">
        <f>16.842729</f>
        <v>16.842728999999999</v>
      </c>
      <c r="L26">
        <f>2749.3591</f>
        <v>2749.3591000000001</v>
      </c>
    </row>
    <row r="27" spans="1:12" x14ac:dyDescent="0.25">
      <c r="A27">
        <f>0.85</f>
        <v>0.85</v>
      </c>
      <c r="B27">
        <f>56.32974957</f>
        <v>56.329749569999997</v>
      </c>
      <c r="C27">
        <f>55.48597856</f>
        <v>55.48597856</v>
      </c>
      <c r="D27">
        <f>14.71647855</f>
        <v>14.71647855</v>
      </c>
      <c r="E27">
        <f>70.20245711</f>
        <v>70.202457109999997</v>
      </c>
      <c r="F27">
        <f>54.48761004</f>
        <v>54.48761004</v>
      </c>
      <c r="G27">
        <f>53.6714327</f>
        <v>53.671432699999997</v>
      </c>
      <c r="H27">
        <f>3.411781986</f>
        <v>3.4117819859999998</v>
      </c>
      <c r="I27">
        <f>57.08321468</f>
        <v>57.083214679999998</v>
      </c>
      <c r="J27">
        <f>64.732203</f>
        <v>64.732202999999998</v>
      </c>
      <c r="K27">
        <f>17.913265</f>
        <v>17.913264999999999</v>
      </c>
      <c r="L27">
        <f>2497.7544</f>
        <v>2497.7543999999998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>
        <f>0.6</f>
        <v>0.6</v>
      </c>
      <c r="B2">
        <f>40.31442861</f>
        <v>40.31442861</v>
      </c>
      <c r="C2">
        <f>38.24272781</f>
        <v>38.242727809999998</v>
      </c>
      <c r="D2">
        <f>17.67620804</f>
        <v>17.676208039999999</v>
      </c>
      <c r="E2">
        <f>55.91893586</f>
        <v>55.918935859999998</v>
      </c>
      <c r="F2">
        <f>38.99603464</f>
        <v>38.996034639999998</v>
      </c>
      <c r="G2">
        <f>36.99208422</f>
        <v>36.992084220000002</v>
      </c>
      <c r="H2">
        <f>2.662577389</f>
        <v>2.662577389</v>
      </c>
      <c r="I2">
        <f>39.65466161</f>
        <v>39.654661609999998</v>
      </c>
      <c r="J2">
        <f>154.00136</f>
        <v>154.00136000000001</v>
      </c>
      <c r="K2">
        <f>7.3214489</f>
        <v>7.3214489</v>
      </c>
      <c r="L2">
        <f>8418.2455</f>
        <v>8418.2455000000009</v>
      </c>
    </row>
    <row r="3" spans="1:12" x14ac:dyDescent="0.25">
      <c r="A3">
        <f>0.61</f>
        <v>0.61</v>
      </c>
      <c r="B3">
        <f>40.98633576</f>
        <v>40.986335760000003</v>
      </c>
      <c r="C3">
        <f>38.96092331</f>
        <v>38.960923309999998</v>
      </c>
      <c r="D3">
        <f>17.51669485</f>
        <v>17.51669485</v>
      </c>
      <c r="E3">
        <f>56.47761815</f>
        <v>56.477618149999998</v>
      </c>
      <c r="F3">
        <f>39.64596855</f>
        <v>39.645968549999999</v>
      </c>
      <c r="G3">
        <f>37.68679272</f>
        <v>37.68679272</v>
      </c>
      <c r="H3">
        <f>2.668222186</f>
        <v>2.6682221859999999</v>
      </c>
      <c r="I3">
        <f>40.35501491</f>
        <v>40.355014910000001</v>
      </c>
      <c r="J3">
        <f>152.22985</f>
        <v>152.22985</v>
      </c>
      <c r="K3">
        <f>7.489975</f>
        <v>7.4899750000000003</v>
      </c>
      <c r="L3">
        <f>8184.9918</f>
        <v>8184.9917999999998</v>
      </c>
    </row>
    <row r="4" spans="1:12" x14ac:dyDescent="0.25">
      <c r="A4">
        <f>0.62</f>
        <v>0.62</v>
      </c>
      <c r="B4">
        <f>41.6582429</f>
        <v>41.658242899999998</v>
      </c>
      <c r="C4">
        <f>39.67916193</f>
        <v>39.679161929999999</v>
      </c>
      <c r="D4">
        <f>17.35703733</f>
        <v>17.357037330000001</v>
      </c>
      <c r="E4">
        <f>57.03619926</f>
        <v>57.036199259999997</v>
      </c>
      <c r="F4">
        <f>40.29590246</f>
        <v>40.295902460000001</v>
      </c>
      <c r="G4">
        <f>38.38154294</f>
        <v>38.381542940000003</v>
      </c>
      <c r="H4">
        <f>2.674102441</f>
        <v>2.6741024410000001</v>
      </c>
      <c r="I4">
        <f>41.05564538</f>
        <v>41.055645380000001</v>
      </c>
      <c r="J4">
        <f>150.31393</f>
        <v>150.31393</v>
      </c>
      <c r="K4">
        <f>7.6666105</f>
        <v>7.6666105</v>
      </c>
      <c r="L4">
        <f>7951.6236</f>
        <v>7951.6235999999999</v>
      </c>
    </row>
    <row r="5" spans="1:12" x14ac:dyDescent="0.25">
      <c r="A5">
        <f>0.63</f>
        <v>0.63</v>
      </c>
      <c r="B5">
        <f>42.33015004</f>
        <v>42.330150039999999</v>
      </c>
      <c r="C5">
        <f>40.39744765</f>
        <v>40.397447649999997</v>
      </c>
      <c r="D5">
        <f>17.19722208</f>
        <v>17.19722208</v>
      </c>
      <c r="E5">
        <f>57.59466974</f>
        <v>57.594669740000001</v>
      </c>
      <c r="F5">
        <f>40.94583637</f>
        <v>40.945836370000002</v>
      </c>
      <c r="G5">
        <f>39.07633872</f>
        <v>39.076338720000003</v>
      </c>
      <c r="H5">
        <f>2.680234494</f>
        <v>2.680234494</v>
      </c>
      <c r="I5">
        <f>41.75657322</f>
        <v>41.75657322</v>
      </c>
      <c r="J5">
        <f>148.25331</f>
        <v>148.25331</v>
      </c>
      <c r="K5">
        <f>7.8519712</f>
        <v>7.8519712000000004</v>
      </c>
      <c r="L5">
        <f>7718.1303</f>
        <v>7718.1302999999998</v>
      </c>
    </row>
    <row r="6" spans="1:12" x14ac:dyDescent="0.25">
      <c r="A6">
        <f>0.64</f>
        <v>0.64</v>
      </c>
      <c r="B6">
        <f>43.00205719</f>
        <v>43.002057190000002</v>
      </c>
      <c r="C6">
        <f>41.11578498</f>
        <v>41.115784980000001</v>
      </c>
      <c r="D6">
        <f>17.03723396</f>
        <v>17.037233959999998</v>
      </c>
      <c r="E6">
        <f>58.15301894</f>
        <v>58.153018940000003</v>
      </c>
      <c r="F6">
        <f>41.59577028</f>
        <v>41.595770280000004</v>
      </c>
      <c r="G6">
        <f>39.77118443</f>
        <v>39.771184429999998</v>
      </c>
      <c r="H6">
        <f>2.6866363</f>
        <v>2.6866363</v>
      </c>
      <c r="I6">
        <f>42.45782073</f>
        <v>42.457820730000002</v>
      </c>
      <c r="J6">
        <f>146.04763</f>
        <v>146.04763</v>
      </c>
      <c r="K6">
        <f>8.046739</f>
        <v>8.0467390000000005</v>
      </c>
      <c r="L6">
        <f>7484.5002</f>
        <v>7484.5002000000004</v>
      </c>
    </row>
    <row r="7" spans="1:12" x14ac:dyDescent="0.25">
      <c r="A7">
        <f>0.65</f>
        <v>0.65</v>
      </c>
      <c r="B7">
        <f>43.67396433</f>
        <v>43.673964329999997</v>
      </c>
      <c r="C7">
        <f>41.83417901</f>
        <v>41.83417901</v>
      </c>
      <c r="D7">
        <f>16.87705578</f>
        <v>16.877055779999999</v>
      </c>
      <c r="E7">
        <f>58.7112348</f>
        <v>58.7112348</v>
      </c>
      <c r="F7">
        <f>42.24570419</f>
        <v>42.245704189999998</v>
      </c>
      <c r="G7">
        <f>40.46608497</f>
        <v>40.466084969999997</v>
      </c>
      <c r="H7">
        <f>2.693327641</f>
        <v>2.6933276410000002</v>
      </c>
      <c r="I7">
        <f>43.15941261</f>
        <v>43.159412609999997</v>
      </c>
      <c r="J7">
        <f>143.6965</f>
        <v>143.69649999999999</v>
      </c>
      <c r="K7">
        <f>8.2516713</f>
        <v>8.2516712999999999</v>
      </c>
      <c r="L7">
        <f>7250.7197</f>
        <v>7250.7196999999996</v>
      </c>
    </row>
    <row r="8" spans="1:12" x14ac:dyDescent="0.25">
      <c r="A8">
        <f>0.66</f>
        <v>0.66</v>
      </c>
      <c r="B8">
        <f>44.34587147</f>
        <v>44.345871469999999</v>
      </c>
      <c r="C8">
        <f>42.55263553</f>
        <v>42.552635530000003</v>
      </c>
      <c r="D8">
        <f>16.71666803</f>
        <v>16.716668030000001</v>
      </c>
      <c r="E8">
        <f>59.26930356</f>
        <v>59.269303559999997</v>
      </c>
      <c r="F8">
        <f>42.8956381</f>
        <v>42.895638099999999</v>
      </c>
      <c r="G8">
        <f>41.16104596</f>
        <v>41.161045960000003</v>
      </c>
      <c r="H8">
        <f>2.700330382</f>
        <v>2.7003303820000002</v>
      </c>
      <c r="I8">
        <f>43.86137634</f>
        <v>43.86137634</v>
      </c>
      <c r="J8">
        <f>141.19949</f>
        <v>141.19949</v>
      </c>
      <c r="K8">
        <f>8.4676122</f>
        <v>8.4676121999999996</v>
      </c>
      <c r="L8">
        <f>7016.7737</f>
        <v>7016.7736999999997</v>
      </c>
    </row>
    <row r="9" spans="1:12" x14ac:dyDescent="0.25">
      <c r="A9">
        <f>0.67</f>
        <v>0.67</v>
      </c>
      <c r="B9">
        <f>45.01777862</f>
        <v>45.017778620000001</v>
      </c>
      <c r="C9">
        <f>43.27116116</f>
        <v>43.271161159999998</v>
      </c>
      <c r="D9">
        <f>16.55604836</f>
        <v>16.556048359999998</v>
      </c>
      <c r="E9">
        <f>59.82720951</f>
        <v>59.827209510000003</v>
      </c>
      <c r="F9">
        <f>43.54557201</f>
        <v>43.545572010000001</v>
      </c>
      <c r="G9">
        <f>41.8560738</f>
        <v>41.856073799999997</v>
      </c>
      <c r="H9">
        <f>2.707668765</f>
        <v>2.7076687650000002</v>
      </c>
      <c r="I9">
        <f>44.56374257</f>
        <v>44.563742570000002</v>
      </c>
      <c r="J9">
        <f>138.55608</f>
        <v>138.55608000000001</v>
      </c>
      <c r="K9">
        <f>8.6955057</f>
        <v>8.6955057</v>
      </c>
      <c r="L9">
        <f>6782.6447</f>
        <v>6782.6446999999998</v>
      </c>
    </row>
    <row r="10" spans="1:12" x14ac:dyDescent="0.25">
      <c r="A10">
        <f>0.68</f>
        <v>0.68</v>
      </c>
      <c r="B10">
        <f>45.68968576</f>
        <v>45.689685760000003</v>
      </c>
      <c r="C10">
        <f>43.98976349</f>
        <v>43.989763490000001</v>
      </c>
      <c r="D10">
        <f>16.39517109</f>
        <v>16.395171090000002</v>
      </c>
      <c r="E10">
        <f>60.38493459</f>
        <v>60.38493459</v>
      </c>
      <c r="F10">
        <f>44.19550592</f>
        <v>44.195505920000002</v>
      </c>
      <c r="G10">
        <f>42.55117584</f>
        <v>42.551175839999999</v>
      </c>
      <c r="H10">
        <f>2.715369768</f>
        <v>2.715369768</v>
      </c>
      <c r="I10">
        <f>45.26654561</f>
        <v>45.266545610000001</v>
      </c>
      <c r="J10">
        <f>135.76569</f>
        <v>135.76569000000001</v>
      </c>
      <c r="K10">
        <f>8.9364121</f>
        <v>8.9364121000000001</v>
      </c>
      <c r="L10">
        <f>6548.3126</f>
        <v>6548.3126000000002</v>
      </c>
    </row>
    <row r="11" spans="1:12" x14ac:dyDescent="0.25">
      <c r="A11">
        <f>0.69</f>
        <v>0.69</v>
      </c>
      <c r="B11">
        <f>46.36159291</f>
        <v>46.361592909999999</v>
      </c>
      <c r="C11">
        <f>44.70845132</f>
        <v>44.708451320000002</v>
      </c>
      <c r="D11">
        <f>16.2340066</f>
        <v>16.234006600000001</v>
      </c>
      <c r="E11">
        <f>60.94245792</f>
        <v>60.942457920000003</v>
      </c>
      <c r="F11">
        <f>44.84543983</f>
        <v>44.845439829999997</v>
      </c>
      <c r="G11">
        <f>43.24636058</f>
        <v>43.246360580000001</v>
      </c>
      <c r="H11">
        <f>2.723463526</f>
        <v>2.7234635260000002</v>
      </c>
      <c r="I11">
        <f>45.9698241</f>
        <v>45.969824099999997</v>
      </c>
      <c r="J11">
        <f>132.82765</f>
        <v>132.82765000000001</v>
      </c>
      <c r="K11">
        <f>9.1915268</f>
        <v>9.1915268000000001</v>
      </c>
      <c r="L11">
        <f>6313.7544</f>
        <v>6313.7543999999998</v>
      </c>
    </row>
    <row r="12" spans="1:12" x14ac:dyDescent="0.25">
      <c r="A12">
        <f>0.7</f>
        <v>0.7</v>
      </c>
      <c r="B12">
        <f>47.03350005</f>
        <v>47.033500050000001</v>
      </c>
      <c r="C12">
        <f>45.42723482</f>
        <v>45.427234820000002</v>
      </c>
      <c r="D12">
        <f>16.07252044</f>
        <v>16.072520440000002</v>
      </c>
      <c r="E12">
        <f>61.49975526</f>
        <v>61.499755260000001</v>
      </c>
      <c r="F12">
        <f>45.49537374</f>
        <v>45.495373739999998</v>
      </c>
      <c r="G12">
        <f>43.94163786</f>
        <v>43.94163786</v>
      </c>
      <c r="H12">
        <f>2.731983846</f>
        <v>2.7319838459999999</v>
      </c>
      <c r="I12">
        <f>46.6736217</f>
        <v>46.673621699999998</v>
      </c>
      <c r="J12">
        <f>129.74118</f>
        <v>129.74118000000001</v>
      </c>
      <c r="K12">
        <f>9.4622042</f>
        <v>9.4622042000000004</v>
      </c>
      <c r="L12">
        <f>6078.9433</f>
        <v>6078.9432999999999</v>
      </c>
    </row>
    <row r="13" spans="1:12" x14ac:dyDescent="0.25">
      <c r="A13">
        <f>0.71</f>
        <v>0.71</v>
      </c>
      <c r="B13">
        <f>47.70540719</f>
        <v>47.705407190000003</v>
      </c>
      <c r="C13">
        <f>46.1461259</f>
        <v>46.146125900000001</v>
      </c>
      <c r="D13">
        <f>15.91067236</f>
        <v>15.91067236</v>
      </c>
      <c r="E13">
        <f>62.05679825</f>
        <v>62.05679825</v>
      </c>
      <c r="F13">
        <f>46.14530766</f>
        <v>46.14530766</v>
      </c>
      <c r="G13">
        <f>44.6370192</f>
        <v>44.637019199999997</v>
      </c>
      <c r="H13">
        <f>2.740968831</f>
        <v>2.740968831</v>
      </c>
      <c r="I13">
        <f>47.37798803</f>
        <v>47.377988029999997</v>
      </c>
      <c r="J13">
        <f>126.50538</f>
        <v>126.50538</v>
      </c>
      <c r="K13">
        <f>9.7499863</f>
        <v>9.7499862999999998</v>
      </c>
      <c r="L13">
        <f>5843.848</f>
        <v>5843.848</v>
      </c>
    </row>
    <row r="14" spans="1:12" x14ac:dyDescent="0.25">
      <c r="A14">
        <f>0.72</f>
        <v>0.72</v>
      </c>
      <c r="B14">
        <f>48.37731434</f>
        <v>48.377314339999998</v>
      </c>
      <c r="C14">
        <f>46.86513855</f>
        <v>46.865138549999998</v>
      </c>
      <c r="D14">
        <f>15.74841499</f>
        <v>15.748414990000001</v>
      </c>
      <c r="E14">
        <f>62.61355354</f>
        <v>62.613553539999998</v>
      </c>
      <c r="F14">
        <f>46.79524157</f>
        <v>46.795241570000002</v>
      </c>
      <c r="G14">
        <f>45.33251813</f>
        <v>45.332518129999997</v>
      </c>
      <c r="H14">
        <f>2.750461646</f>
        <v>2.7504616460000002</v>
      </c>
      <c r="I14">
        <f>48.08297978</f>
        <v>48.082979780000002</v>
      </c>
      <c r="J14">
        <f>123.11916</f>
        <v>123.11915999999999</v>
      </c>
      <c r="K14">
        <f>10.056639</f>
        <v>10.056639000000001</v>
      </c>
      <c r="L14">
        <f>5608.4317</f>
        <v>5608.4317000000001</v>
      </c>
    </row>
    <row r="15" spans="1:12" x14ac:dyDescent="0.25">
      <c r="A15">
        <f>0.73</f>
        <v>0.73</v>
      </c>
      <c r="B15">
        <f>49.04922148</f>
        <v>49.04922148</v>
      </c>
      <c r="C15">
        <f>47.58428935</f>
        <v>47.584289349999999</v>
      </c>
      <c r="D15">
        <f>15.5856922</f>
        <v>15.5856922</v>
      </c>
      <c r="E15">
        <f>63.16998155</f>
        <v>63.169981550000003</v>
      </c>
      <c r="F15">
        <f>47.44517548</f>
        <v>47.445175480000003</v>
      </c>
      <c r="G15">
        <f>46.0281507</f>
        <v>46.028150699999998</v>
      </c>
      <c r="H15">
        <f>2.760511481</f>
        <v>2.760511481</v>
      </c>
      <c r="I15">
        <f>48.78866218</f>
        <v>48.788662180000003</v>
      </c>
      <c r="J15">
        <f>119.58128</f>
        <v>119.58128000000001</v>
      </c>
      <c r="K15">
        <f>10.384196</f>
        <v>10.384195999999999</v>
      </c>
      <c r="L15">
        <f>5372.6507</f>
        <v>5372.6507000000001</v>
      </c>
    </row>
    <row r="16" spans="1:12" x14ac:dyDescent="0.25">
      <c r="A16">
        <f>0.74</f>
        <v>0.74</v>
      </c>
      <c r="B16">
        <f>49.72112862</f>
        <v>49.721128620000002</v>
      </c>
      <c r="C16">
        <f>48.30359812</f>
        <v>48.303598119999997</v>
      </c>
      <c r="D16">
        <f>15.42243686</f>
        <v>15.422436859999999</v>
      </c>
      <c r="E16">
        <f>63.72603497</f>
        <v>63.726034970000001</v>
      </c>
      <c r="F16">
        <f>48.09510939</f>
        <v>48.095109389999998</v>
      </c>
      <c r="G16">
        <f>46.72393607</f>
        <v>46.723936070000001</v>
      </c>
      <c r="H16">
        <f>2.771174742</f>
        <v>2.7711747419999999</v>
      </c>
      <c r="I16">
        <f>49.49511081</f>
        <v>49.49511081</v>
      </c>
      <c r="J16">
        <f>115.89022</f>
        <v>115.89022</v>
      </c>
      <c r="K16">
        <f>10.735018</f>
        <v>10.735018</v>
      </c>
      <c r="L16">
        <f>5136.4532</f>
        <v>5136.4531999999999</v>
      </c>
    </row>
    <row r="17" spans="1:12" x14ac:dyDescent="0.25">
      <c r="A17">
        <f>0.75</f>
        <v>0.75</v>
      </c>
      <c r="B17">
        <f>50.39303577</f>
        <v>50.393035769999997</v>
      </c>
      <c r="C17">
        <f>49.02308872</f>
        <v>49.023088719999997</v>
      </c>
      <c r="D17">
        <f>15.25856803</f>
        <v>15.258568029999999</v>
      </c>
      <c r="E17">
        <f>64.28165675</f>
        <v>64.281656749999996</v>
      </c>
      <c r="F17">
        <f>48.7450433</f>
        <v>48.745043299999999</v>
      </c>
      <c r="G17">
        <f>47.41989733</f>
        <v>47.419897329999998</v>
      </c>
      <c r="H17">
        <f>2.782516597</f>
        <v>2.7825165969999999</v>
      </c>
      <c r="I17">
        <f>50.20241393</f>
        <v>50.202413929999999</v>
      </c>
      <c r="J17">
        <f>112.04416</f>
        <v>112.04416000000001</v>
      </c>
      <c r="K17">
        <f>11.111864</f>
        <v>11.111864000000001</v>
      </c>
      <c r="L17">
        <f>4899.7762</f>
        <v>4899.7762000000002</v>
      </c>
    </row>
    <row r="18" spans="1:12" x14ac:dyDescent="0.25">
      <c r="A18">
        <f>0.76</f>
        <v>0.76</v>
      </c>
      <c r="B18">
        <f>51.06494291</f>
        <v>51.064942909999999</v>
      </c>
      <c r="C18">
        <f>49.74279024</f>
        <v>49.742790239999998</v>
      </c>
      <c r="D18">
        <f>15.09398709</f>
        <v>15.093987090000001</v>
      </c>
      <c r="E18">
        <f>64.83677733</f>
        <v>64.836777330000004</v>
      </c>
      <c r="F18">
        <f>49.39497721</f>
        <v>49.39497721</v>
      </c>
      <c r="G18">
        <f>48.11606261</f>
        <v>48.11606261</v>
      </c>
      <c r="H18">
        <f>2.794612955</f>
        <v>2.7946129549999998</v>
      </c>
      <c r="I18">
        <f>50.91067556</f>
        <v>50.910675560000001</v>
      </c>
      <c r="J18">
        <f>108.04091</f>
        <v>108.04091</v>
      </c>
      <c r="K18">
        <f>11.517988</f>
        <v>11.517988000000001</v>
      </c>
      <c r="L18">
        <f>4662.5435</f>
        <v>4662.5434999999998</v>
      </c>
    </row>
    <row r="19" spans="1:12" x14ac:dyDescent="0.25">
      <c r="A19">
        <f>0.77</f>
        <v>0.77</v>
      </c>
      <c r="B19">
        <f>51.73685005</f>
        <v>51.736850050000001</v>
      </c>
      <c r="C19">
        <f>50.46273846</f>
        <v>50.462738459999997</v>
      </c>
      <c r="D19">
        <f>14.92857253</f>
        <v>14.92857253</v>
      </c>
      <c r="E19">
        <f>65.39131099</f>
        <v>65.391310989999994</v>
      </c>
      <c r="F19">
        <f>50.04491112</f>
        <v>50.044911120000002</v>
      </c>
      <c r="G19">
        <f>48.81246652</f>
        <v>48.812466520000001</v>
      </c>
      <c r="H19">
        <f>2.807553097</f>
        <v>2.807553097</v>
      </c>
      <c r="I19">
        <f>51.62001962</f>
        <v>51.620019620000001</v>
      </c>
      <c r="J19">
        <f>103.87773</f>
        <v>103.87773</v>
      </c>
      <c r="K19">
        <f>11.957266</f>
        <v>11.957266000000001</v>
      </c>
      <c r="L19">
        <f>4424.6611</f>
        <v>4424.6611000000003</v>
      </c>
    </row>
    <row r="20" spans="1:12" x14ac:dyDescent="0.25">
      <c r="A20">
        <f>0.78</f>
        <v>0.78</v>
      </c>
      <c r="B20">
        <f>52.4087572</f>
        <v>52.408757199999997</v>
      </c>
      <c r="C20">
        <f>51.18297805</f>
        <v>51.182978050000003</v>
      </c>
      <c r="D20">
        <f>14.76217267</f>
        <v>14.76217267</v>
      </c>
      <c r="E20">
        <f>65.94515073</f>
        <v>65.945150729999995</v>
      </c>
      <c r="F20">
        <f>50.69484503</f>
        <v>50.694845030000003</v>
      </c>
      <c r="G20">
        <f>49.50915227</f>
        <v>49.509152270000001</v>
      </c>
      <c r="H20">
        <f>2.821443197</f>
        <v>2.8214431969999998</v>
      </c>
      <c r="I20">
        <f>52.33059547</f>
        <v>52.330595469999999</v>
      </c>
      <c r="J20">
        <f>99.551259</f>
        <v>99.551259000000002</v>
      </c>
      <c r="K20">
        <f>12.434369</f>
        <v>12.434369</v>
      </c>
      <c r="L20">
        <f>4186.0116</f>
        <v>4186.0115999999998</v>
      </c>
    </row>
    <row r="21" spans="1:12" x14ac:dyDescent="0.25">
      <c r="A21">
        <f>0.79</f>
        <v>0.79</v>
      </c>
      <c r="B21">
        <f>53.08066434</f>
        <v>53.080664339999998</v>
      </c>
      <c r="C21">
        <f>51.90356553</f>
        <v>51.903565530000002</v>
      </c>
      <c r="D21">
        <f>14.59459542</f>
        <v>14.594595419999999</v>
      </c>
      <c r="E21">
        <f>66.49816095</f>
        <v>66.498160949999999</v>
      </c>
      <c r="F21">
        <f>51.34477894</f>
        <v>51.344778939999998</v>
      </c>
      <c r="G21">
        <f>50.20617453</f>
        <v>50.206174529999998</v>
      </c>
      <c r="H21">
        <f>2.836411188</f>
        <v>2.836411188</v>
      </c>
      <c r="I21">
        <f>53.04258572</f>
        <v>53.042585719999998</v>
      </c>
      <c r="J21">
        <f>95.057206</f>
        <v>95.057205999999994</v>
      </c>
      <c r="K21">
        <f>12.955004</f>
        <v>12.955004000000001</v>
      </c>
      <c r="L21">
        <f>3946.4466</f>
        <v>3946.4466000000002</v>
      </c>
    </row>
    <row r="22" spans="1:12" x14ac:dyDescent="0.25">
      <c r="A22">
        <f>0.8</f>
        <v>0.8</v>
      </c>
      <c r="B22">
        <f>53.75257148</f>
        <v>53.75257148</v>
      </c>
      <c r="C22">
        <f>52.62457367</f>
        <v>52.624573669999997</v>
      </c>
      <c r="D22">
        <f>14.42559329</f>
        <v>14.42559329</v>
      </c>
      <c r="E22">
        <f>67.05016696</f>
        <v>67.050166959999999</v>
      </c>
      <c r="F22">
        <f>51.99471285</f>
        <v>51.994712849999999</v>
      </c>
      <c r="G22">
        <f>50.9036037</f>
        <v>50.903603699999998</v>
      </c>
      <c r="H22">
        <f>2.852613639</f>
        <v>2.8526136389999999</v>
      </c>
      <c r="I22">
        <f>53.75621734</f>
        <v>53.756217339999999</v>
      </c>
      <c r="J22">
        <f>90.390073</f>
        <v>90.390073000000001</v>
      </c>
      <c r="K22">
        <f>13.52625</f>
        <v>13.526249999999999</v>
      </c>
      <c r="L22">
        <f>3705.7748</f>
        <v>3705.7748000000001</v>
      </c>
    </row>
    <row r="23" spans="1:12" x14ac:dyDescent="0.25">
      <c r="A23">
        <f>0.81</f>
        <v>0.81</v>
      </c>
      <c r="B23">
        <f>54.42447863</f>
        <v>54.424478630000003</v>
      </c>
      <c r="C23">
        <f>53.34609725</f>
        <v>53.34609725</v>
      </c>
      <c r="D23">
        <f>14.25484378</f>
        <v>14.25484378</v>
      </c>
      <c r="E23">
        <f>67.60094102</f>
        <v>67.600941019999993</v>
      </c>
      <c r="F23">
        <f>52.64464676</f>
        <v>52.644646760000001</v>
      </c>
      <c r="G23">
        <f>51.60153145</f>
        <v>51.601531450000003</v>
      </c>
      <c r="H23">
        <f>2.870245496</f>
        <v>2.8702454959999999</v>
      </c>
      <c r="I23">
        <f>54.47177695</f>
        <v>54.471776949999999</v>
      </c>
      <c r="J23">
        <f>85.543742</f>
        <v>85.543741999999995</v>
      </c>
      <c r="K23">
        <f>14.157053</f>
        <v>14.157052999999999</v>
      </c>
      <c r="L23">
        <f>3463.7896</f>
        <v>3463.7896000000001</v>
      </c>
    </row>
    <row r="24" spans="1:12" x14ac:dyDescent="0.25">
      <c r="A24">
        <f>0.82</f>
        <v>0.82</v>
      </c>
      <c r="B24">
        <f>55.09638577</f>
        <v>55.096385769999998</v>
      </c>
      <c r="C24">
        <f>54.06826619</f>
        <v>54.068266190000003</v>
      </c>
      <c r="D24">
        <f>14.08190491</f>
        <v>14.08190491</v>
      </c>
      <c r="E24">
        <f>68.1501711</f>
        <v>68.150171099999994</v>
      </c>
      <c r="F24">
        <f>53.29458067</f>
        <v>53.294580670000002</v>
      </c>
      <c r="G24">
        <f>52.30008346</f>
        <v>52.300083460000003</v>
      </c>
      <c r="H24">
        <f>2.889556519</f>
        <v>2.8895565190000001</v>
      </c>
      <c r="I24">
        <f>55.18963998</f>
        <v>55.189639980000003</v>
      </c>
      <c r="J24">
        <f>80.506448</f>
        <v>80.506448000000006</v>
      </c>
      <c r="K24">
        <f>14.859025</f>
        <v>14.859025000000001</v>
      </c>
      <c r="L24">
        <f>3220.0683</f>
        <v>3220.0682999999999</v>
      </c>
    </row>
    <row r="25" spans="1:12" x14ac:dyDescent="0.25">
      <c r="A25">
        <f>0.83</f>
        <v>0.83</v>
      </c>
      <c r="B25">
        <f>55.76829292</f>
        <v>55.76829292</v>
      </c>
      <c r="C25">
        <f>54.7912577</f>
        <v>54.791257700000003</v>
      </c>
      <c r="D25">
        <f>13.90617251</f>
        <v>13.906172509999999</v>
      </c>
      <c r="E25">
        <f>68.69743021</f>
        <v>68.697430209999993</v>
      </c>
      <c r="F25">
        <f>53.94451458</f>
        <v>53.944514580000003</v>
      </c>
      <c r="G25">
        <f>52.99943114</f>
        <v>52.999431139999999</v>
      </c>
      <c r="H25">
        <f>2.910873468</f>
        <v>2.9108734680000001</v>
      </c>
      <c r="I25">
        <f>55.91030461</f>
        <v>55.910304609999997</v>
      </c>
      <c r="J25">
        <f>75.265844</f>
        <v>75.265844000000001</v>
      </c>
      <c r="K25">
        <f>15.647602</f>
        <v>15.647601999999999</v>
      </c>
      <c r="L25">
        <f>2974.1859</f>
        <v>2974.1858999999999</v>
      </c>
    </row>
    <row r="26" spans="1:12" x14ac:dyDescent="0.25">
      <c r="A26">
        <f>0.84</f>
        <v>0.84</v>
      </c>
      <c r="B26">
        <f>56.44020006</f>
        <v>56.440200060000002</v>
      </c>
      <c r="C26">
        <f>55.51532687</f>
        <v>55.515326870000003</v>
      </c>
      <c r="D26">
        <f>13.72677738</f>
        <v>13.72677738</v>
      </c>
      <c r="E26">
        <f>69.24210426</f>
        <v>69.242104260000005</v>
      </c>
      <c r="F26">
        <f>54.59444849</f>
        <v>54.594448489999998</v>
      </c>
      <c r="G26">
        <f>53.69982123</f>
        <v>53.699821229999998</v>
      </c>
      <c r="H26">
        <f>2.934642083</f>
        <v>2.934642083</v>
      </c>
      <c r="I26">
        <f>56.63446332</f>
        <v>56.634463320000002</v>
      </c>
      <c r="J26">
        <f>69.802811</f>
        <v>69.802811000000005</v>
      </c>
      <c r="K26">
        <f>16.544131</f>
        <v>16.544131</v>
      </c>
      <c r="L26">
        <f>2725.4731</f>
        <v>2725.4731000000002</v>
      </c>
    </row>
    <row r="27" spans="1:12" x14ac:dyDescent="0.25">
      <c r="A27">
        <f>0.85</f>
        <v>0.85</v>
      </c>
      <c r="B27">
        <f>57.1121072</f>
        <v>57.112107199999997</v>
      </c>
      <c r="C27">
        <f>56.24085671</f>
        <v>56.240856710000003</v>
      </c>
      <c r="D27">
        <f>13.5424136</f>
        <v>13.5424136</v>
      </c>
      <c r="E27">
        <f>69.7832703</f>
        <v>69.783270299999998</v>
      </c>
      <c r="F27">
        <f>55.2443824</f>
        <v>55.244382399999999</v>
      </c>
      <c r="G27">
        <f>54.40162422</f>
        <v>54.401624220000002</v>
      </c>
      <c r="H27">
        <f>2.961499242</f>
        <v>2.9614992419999999</v>
      </c>
      <c r="I27">
        <f>57.36312346</f>
        <v>57.363123459999997</v>
      </c>
      <c r="J27">
        <f>64.088739</f>
        <v>64.088739000000004</v>
      </c>
      <c r="K27">
        <f>17.579555</f>
        <v>17.579554999999999</v>
      </c>
      <c r="L27">
        <f>2472.9257</f>
        <v>2472.9256999999998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Gross_elec_eff</vt:lpstr>
      <vt:lpstr>Net_elec_eff</vt:lpstr>
      <vt:lpstr>Heat_eff</vt:lpstr>
      <vt:lpstr>Tot_eff</vt:lpstr>
      <vt:lpstr>P_i</vt:lpstr>
      <vt:lpstr>FU 0.7</vt:lpstr>
      <vt:lpstr>FU 0.71</vt:lpstr>
      <vt:lpstr>FU 0.72</vt:lpstr>
      <vt:lpstr>FU 0.73</vt:lpstr>
      <vt:lpstr>FU 0.74</vt:lpstr>
      <vt:lpstr>FU 0.75</vt:lpstr>
      <vt:lpstr>FU 0.76</vt:lpstr>
      <vt:lpstr>FU 0.77</vt:lpstr>
      <vt:lpstr>FU 0.78</vt:lpstr>
      <vt:lpstr>FU 0.79</vt:lpstr>
      <vt:lpstr>FU 0.8</vt:lpstr>
      <vt:lpstr>FU 0.81</vt:lpstr>
      <vt:lpstr>FU 0.82</vt:lpstr>
      <vt:lpstr>FU 0.83</vt:lpstr>
      <vt:lpstr>FU 0.84</vt:lpstr>
      <vt:lpstr>FU 0.85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Berend van Veldhuizen</cp:lastModifiedBy>
  <dcterms:created xsi:type="dcterms:W3CDTF">2021-11-10T14:26:52Z</dcterms:created>
  <dcterms:modified xsi:type="dcterms:W3CDTF">2021-12-02T17:24:20Z</dcterms:modified>
</cp:coreProperties>
</file>