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H:\My Documents\PhD_Project\Thesis\Chapter V - Adaptation of TA2 to oxygen\"/>
    </mc:Choice>
  </mc:AlternateContent>
  <xr:revisionPtr revIDLastSave="0" documentId="8_{A4D120D4-E8FA-485B-A70A-3EAFBF2BF7F4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Raw values" sheetId="11" r:id="rId1"/>
    <sheet name="q rates" sheetId="1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9" i="15" l="1"/>
  <c r="S10" i="15"/>
  <c r="S11" i="15"/>
  <c r="S12" i="15"/>
  <c r="S13" i="15"/>
  <c r="S15" i="15"/>
  <c r="S7" i="15"/>
  <c r="R8" i="15"/>
  <c r="R9" i="15"/>
  <c r="R10" i="15"/>
  <c r="R11" i="15"/>
  <c r="R12" i="15"/>
  <c r="R13" i="15"/>
  <c r="R14" i="15"/>
  <c r="R15" i="15"/>
  <c r="R16" i="15"/>
  <c r="R7" i="15"/>
  <c r="Q13" i="15"/>
  <c r="Q14" i="15"/>
  <c r="Q15" i="15"/>
  <c r="Q16" i="15"/>
  <c r="Q12" i="15"/>
  <c r="Q8" i="15"/>
  <c r="Q9" i="15"/>
  <c r="Q10" i="15"/>
  <c r="Q11" i="15"/>
  <c r="Q7" i="15"/>
  <c r="J15" i="15"/>
  <c r="J12" i="15"/>
  <c r="J9" i="15"/>
  <c r="L7" i="15"/>
  <c r="J14" i="15"/>
  <c r="J11" i="15"/>
  <c r="J8" i="15"/>
  <c r="E8" i="15"/>
  <c r="J10" i="15"/>
  <c r="J13" i="15"/>
  <c r="J7" i="15"/>
  <c r="N16" i="15"/>
  <c r="N15" i="15"/>
  <c r="N14" i="15"/>
  <c r="N13" i="15"/>
  <c r="N12" i="15"/>
  <c r="M16" i="15"/>
  <c r="M15" i="15"/>
  <c r="M14" i="15"/>
  <c r="M13" i="15"/>
  <c r="M12" i="15"/>
  <c r="N11" i="15"/>
  <c r="N10" i="15"/>
  <c r="M11" i="15"/>
  <c r="M10" i="15"/>
  <c r="N7" i="15"/>
  <c r="M7" i="15"/>
  <c r="N9" i="15"/>
  <c r="N8" i="15"/>
  <c r="I13" i="11" l="1"/>
  <c r="B9" i="15" s="1"/>
  <c r="C9" i="15" s="1"/>
  <c r="E9" i="15" s="1"/>
  <c r="J48" i="11" l="1"/>
  <c r="D16" i="15" s="1"/>
  <c r="F16" i="15" s="1"/>
  <c r="I48" i="11"/>
  <c r="B16" i="15" s="1"/>
  <c r="C16" i="15" s="1"/>
  <c r="E16" i="15" s="1"/>
  <c r="J43" i="11"/>
  <c r="D15" i="15" s="1"/>
  <c r="F15" i="15" s="1"/>
  <c r="I43" i="11"/>
  <c r="B15" i="15" s="1"/>
  <c r="C15" i="15" s="1"/>
  <c r="E15" i="15" s="1"/>
  <c r="J38" i="11"/>
  <c r="D14" i="15" s="1"/>
  <c r="F14" i="15" s="1"/>
  <c r="I38" i="11"/>
  <c r="B14" i="15" s="1"/>
  <c r="C14" i="15" s="1"/>
  <c r="E14" i="15" s="1"/>
  <c r="J33" i="11"/>
  <c r="D13" i="15" s="1"/>
  <c r="F13" i="15" s="1"/>
  <c r="I33" i="11"/>
  <c r="B13" i="15" s="1"/>
  <c r="C13" i="15" s="1"/>
  <c r="E13" i="15" s="1"/>
  <c r="J28" i="11"/>
  <c r="D12" i="15" s="1"/>
  <c r="F12" i="15" s="1"/>
  <c r="I28" i="11"/>
  <c r="B12" i="15" s="1"/>
  <c r="C12" i="15" s="1"/>
  <c r="E12" i="15" s="1"/>
  <c r="J23" i="11"/>
  <c r="D11" i="15" s="1"/>
  <c r="F11" i="15" s="1"/>
  <c r="I23" i="11"/>
  <c r="B11" i="15" s="1"/>
  <c r="C11" i="15" s="1"/>
  <c r="E11" i="15" s="1"/>
  <c r="J18" i="11"/>
  <c r="D10" i="15" s="1"/>
  <c r="F10" i="15" s="1"/>
  <c r="I18" i="11"/>
  <c r="B10" i="15" s="1"/>
  <c r="C10" i="15" s="1"/>
  <c r="E10" i="15" s="1"/>
  <c r="J13" i="11"/>
  <c r="D9" i="15" s="1"/>
  <c r="F9" i="15" s="1"/>
  <c r="J8" i="11"/>
  <c r="D8" i="15" s="1"/>
  <c r="F8" i="15" s="1"/>
  <c r="I8" i="11"/>
  <c r="B8" i="15" s="1"/>
  <c r="C8" i="15" s="1"/>
  <c r="J3" i="11"/>
  <c r="D7" i="15" s="1"/>
  <c r="F7" i="15" s="1"/>
  <c r="I3" i="11"/>
  <c r="B7" i="15" s="1"/>
  <c r="C7" i="15" s="1"/>
  <c r="E7" i="15" s="1"/>
  <c r="O48" i="11" l="1"/>
  <c r="M48" i="11"/>
  <c r="O43" i="11"/>
  <c r="M43" i="11"/>
  <c r="O38" i="11"/>
  <c r="M38" i="11"/>
  <c r="O33" i="11"/>
  <c r="M33" i="11"/>
  <c r="O28" i="11"/>
  <c r="M28" i="11"/>
  <c r="O23" i="11"/>
  <c r="M23" i="11"/>
  <c r="O18" i="11"/>
  <c r="M18" i="11"/>
  <c r="O13" i="11"/>
  <c r="M13" i="11"/>
  <c r="O8" i="11"/>
  <c r="M8" i="11"/>
  <c r="O3" i="11"/>
  <c r="M3" i="11"/>
  <c r="H20" i="15" s="1"/>
  <c r="J20" i="15" s="1"/>
  <c r="F43" i="11"/>
  <c r="C28" i="15" s="1"/>
  <c r="E28" i="15" s="1"/>
  <c r="D43" i="11"/>
  <c r="E43" i="11" s="1"/>
  <c r="B28" i="15" s="1"/>
  <c r="F33" i="11"/>
  <c r="C26" i="15" s="1"/>
  <c r="E26" i="15" s="1"/>
  <c r="D33" i="11"/>
  <c r="E33" i="11" s="1"/>
  <c r="B26" i="15" s="1"/>
  <c r="F28" i="11"/>
  <c r="C25" i="15" s="1"/>
  <c r="E25" i="15" s="1"/>
  <c r="D28" i="11"/>
  <c r="E28" i="11" s="1"/>
  <c r="B25" i="15" s="1"/>
  <c r="F23" i="11"/>
  <c r="C24" i="15" s="1"/>
  <c r="E24" i="15" s="1"/>
  <c r="D23" i="11"/>
  <c r="E23" i="11" s="1"/>
  <c r="B24" i="15" s="1"/>
  <c r="F13" i="11"/>
  <c r="C22" i="15" s="1"/>
  <c r="E22" i="15" s="1"/>
  <c r="D13" i="11"/>
  <c r="E13" i="11" s="1"/>
  <c r="B22" i="15" s="1"/>
  <c r="D22" i="15" s="1"/>
  <c r="F3" i="11"/>
  <c r="C20" i="15" s="1"/>
  <c r="E20" i="15" s="1"/>
  <c r="D3" i="11"/>
  <c r="G28" i="15" l="1"/>
  <c r="K28" i="15" s="1"/>
  <c r="H15" i="15"/>
  <c r="K15" i="15" s="1"/>
  <c r="G29" i="15"/>
  <c r="K29" i="15" s="1"/>
  <c r="H16" i="15"/>
  <c r="K16" i="15" s="1"/>
  <c r="G26" i="15"/>
  <c r="K26" i="15" s="1"/>
  <c r="H13" i="15"/>
  <c r="K13" i="15" s="1"/>
  <c r="G24" i="15"/>
  <c r="K24" i="15" s="1"/>
  <c r="H11" i="15"/>
  <c r="K11" i="15" s="1"/>
  <c r="G21" i="15"/>
  <c r="K21" i="15" s="1"/>
  <c r="H8" i="15"/>
  <c r="K8" i="15" s="1"/>
  <c r="G20" i="15"/>
  <c r="K20" i="15" s="1"/>
  <c r="H7" i="15"/>
  <c r="K7" i="15" s="1"/>
  <c r="G25" i="15"/>
  <c r="K25" i="15" s="1"/>
  <c r="H12" i="15"/>
  <c r="K12" i="15" s="1"/>
  <c r="G22" i="15"/>
  <c r="K22" i="15" s="1"/>
  <c r="H9" i="15"/>
  <c r="K9" i="15" s="1"/>
  <c r="G23" i="15"/>
  <c r="K23" i="15" s="1"/>
  <c r="H10" i="15"/>
  <c r="K10" i="15" s="1"/>
  <c r="G27" i="15"/>
  <c r="K27" i="15" s="1"/>
  <c r="H14" i="15"/>
  <c r="K14" i="15" s="1"/>
  <c r="M20" i="15"/>
  <c r="N8" i="11"/>
  <c r="H21" i="15"/>
  <c r="J21" i="15" s="1"/>
  <c r="H29" i="15"/>
  <c r="J29" i="15" s="1"/>
  <c r="N48" i="11"/>
  <c r="N33" i="11"/>
  <c r="H26" i="15"/>
  <c r="J26" i="15" s="1"/>
  <c r="M26" i="15" s="1"/>
  <c r="N18" i="11"/>
  <c r="H23" i="15"/>
  <c r="J23" i="15" s="1"/>
  <c r="H27" i="15"/>
  <c r="J27" i="15" s="1"/>
  <c r="N38" i="11"/>
  <c r="N28" i="11"/>
  <c r="H25" i="15"/>
  <c r="J25" i="15" s="1"/>
  <c r="M25" i="15" s="1"/>
  <c r="N13" i="11"/>
  <c r="H22" i="15"/>
  <c r="J22" i="15" s="1"/>
  <c r="M22" i="15" s="1"/>
  <c r="N23" i="11"/>
  <c r="H24" i="15"/>
  <c r="J24" i="15" s="1"/>
  <c r="M24" i="15" s="1"/>
  <c r="H28" i="15"/>
  <c r="J28" i="15" s="1"/>
  <c r="M28" i="15" s="1"/>
  <c r="N43" i="11"/>
  <c r="N3" i="11"/>
  <c r="D28" i="15"/>
  <c r="D25" i="15"/>
  <c r="D26" i="15"/>
  <c r="D24" i="15"/>
  <c r="E3" i="11"/>
  <c r="B20" i="15" s="1"/>
  <c r="D20" i="15" s="1"/>
  <c r="F48" i="11"/>
  <c r="C29" i="15" s="1"/>
  <c r="E29" i="15" s="1"/>
  <c r="D48" i="11"/>
  <c r="F38" i="11"/>
  <c r="C27" i="15" s="1"/>
  <c r="E27" i="15" s="1"/>
  <c r="D38" i="11"/>
  <c r="F8" i="11"/>
  <c r="C21" i="15" s="1"/>
  <c r="E21" i="15" s="1"/>
  <c r="D8" i="11"/>
  <c r="F18" i="11"/>
  <c r="C23" i="15" s="1"/>
  <c r="E23" i="15" s="1"/>
  <c r="D18" i="11"/>
  <c r="E18" i="11" s="1"/>
  <c r="B23" i="15" s="1"/>
  <c r="D23" i="15" s="1"/>
  <c r="F25" i="15" l="1"/>
  <c r="I25" i="15" s="1"/>
  <c r="G12" i="15"/>
  <c r="I12" i="15" s="1"/>
  <c r="L12" i="15" s="1"/>
  <c r="F20" i="15"/>
  <c r="I20" i="15" s="1"/>
  <c r="G7" i="15"/>
  <c r="I7" i="15" s="1"/>
  <c r="F28" i="15"/>
  <c r="I28" i="15" s="1"/>
  <c r="G15" i="15"/>
  <c r="I15" i="15" s="1"/>
  <c r="L15" i="15" s="1"/>
  <c r="F21" i="15"/>
  <c r="I21" i="15" s="1"/>
  <c r="G8" i="15"/>
  <c r="I8" i="15" s="1"/>
  <c r="L8" i="15" s="1"/>
  <c r="F27" i="15"/>
  <c r="I27" i="15" s="1"/>
  <c r="G14" i="15"/>
  <c r="I14" i="15" s="1"/>
  <c r="L14" i="15" s="1"/>
  <c r="F24" i="15"/>
  <c r="I24" i="15" s="1"/>
  <c r="L24" i="15" s="1"/>
  <c r="G11" i="15"/>
  <c r="I11" i="15" s="1"/>
  <c r="L11" i="15" s="1"/>
  <c r="F22" i="15"/>
  <c r="I22" i="15" s="1"/>
  <c r="G9" i="15"/>
  <c r="I9" i="15" s="1"/>
  <c r="L9" i="15" s="1"/>
  <c r="F26" i="15"/>
  <c r="I26" i="15" s="1"/>
  <c r="L26" i="15" s="1"/>
  <c r="G13" i="15"/>
  <c r="I13" i="15" s="1"/>
  <c r="L13" i="15" s="1"/>
  <c r="F23" i="15"/>
  <c r="I23" i="15" s="1"/>
  <c r="G10" i="15"/>
  <c r="I10" i="15" s="1"/>
  <c r="L10" i="15" s="1"/>
  <c r="F29" i="15"/>
  <c r="I29" i="15" s="1"/>
  <c r="G16" i="15"/>
  <c r="I16" i="15" s="1"/>
  <c r="L16" i="15" s="1"/>
  <c r="L20" i="15"/>
  <c r="M27" i="15"/>
  <c r="O28" i="15" s="1"/>
  <c r="M23" i="15"/>
  <c r="N26" i="15" s="1"/>
  <c r="M29" i="15"/>
  <c r="N29" i="15"/>
  <c r="L22" i="15"/>
  <c r="L23" i="15"/>
  <c r="O27" i="15"/>
  <c r="N27" i="15"/>
  <c r="N28" i="15"/>
  <c r="L25" i="15"/>
  <c r="L28" i="15"/>
  <c r="M21" i="15"/>
  <c r="E38" i="11"/>
  <c r="B27" i="15" s="1"/>
  <c r="D27" i="15" s="1"/>
  <c r="L27" i="15" s="1"/>
  <c r="E48" i="11"/>
  <c r="B29" i="15" s="1"/>
  <c r="D29" i="15" s="1"/>
  <c r="L29" i="15" s="1"/>
  <c r="E8" i="11"/>
  <c r="B21" i="15" s="1"/>
  <c r="D21" i="15" s="1"/>
  <c r="L21" i="15" s="1"/>
  <c r="M8" i="15" l="1"/>
  <c r="N22" i="15"/>
  <c r="M9" i="15"/>
  <c r="O26" i="15"/>
  <c r="O22" i="15"/>
  <c r="N20" i="15"/>
  <c r="O21" i="15"/>
  <c r="O29" i="15"/>
  <c r="N21" i="15"/>
  <c r="O24" i="15"/>
  <c r="O23" i="15"/>
  <c r="N24" i="15"/>
  <c r="N23" i="15"/>
  <c r="O20" i="15"/>
  <c r="N25" i="15"/>
  <c r="O25" i="15"/>
</calcChain>
</file>

<file path=xl/sharedStrings.xml><?xml version="1.0" encoding="utf-8"?>
<sst xmlns="http://schemas.openxmlformats.org/spreadsheetml/2006/main" count="115" uniqueCount="66">
  <si>
    <t>STDEV</t>
  </si>
  <si>
    <t>PSS2</t>
  </si>
  <si>
    <t>PSS3</t>
  </si>
  <si>
    <t>PSS4</t>
  </si>
  <si>
    <t>PSS5</t>
  </si>
  <si>
    <t>SS</t>
  </si>
  <si>
    <t>PSS1</t>
  </si>
  <si>
    <t>PSS6</t>
  </si>
  <si>
    <t>O2 (%)</t>
  </si>
  <si>
    <t>Sucrose</t>
  </si>
  <si>
    <t>F (L/h)</t>
  </si>
  <si>
    <t>Acetate</t>
  </si>
  <si>
    <t>Cac (mM)</t>
  </si>
  <si>
    <t>Cs (mM)</t>
  </si>
  <si>
    <t>qac (mmol/Cmolx/h)</t>
  </si>
  <si>
    <t>V (L)</t>
  </si>
  <si>
    <t>Cx</t>
  </si>
  <si>
    <t>0.25% O2</t>
  </si>
  <si>
    <t>2.0% O2</t>
  </si>
  <si>
    <t>4.2% O2</t>
  </si>
  <si>
    <t>2.1% O2</t>
  </si>
  <si>
    <t>1.05% O2</t>
  </si>
  <si>
    <t>0.42% O2</t>
  </si>
  <si>
    <t>Acetate 1 [mM]</t>
  </si>
  <si>
    <t>Acetate 2 [mM]</t>
  </si>
  <si>
    <t>Acetate all (mM)</t>
  </si>
  <si>
    <t>Acetate stdev</t>
  </si>
  <si>
    <t>Medium acetate (mM) - HPLC new</t>
  </si>
  <si>
    <t>Medium acetate (mM) - HPLC old</t>
  </si>
  <si>
    <t>Acetate corrected(mM)</t>
  </si>
  <si>
    <t>PSS7</t>
  </si>
  <si>
    <t>PSS8</t>
  </si>
  <si>
    <t>Gandalf 8 - Switched to chemostat mode on 09-12-20 17:50 - Operator: Martijn Wissink</t>
  </si>
  <si>
    <t>Gandalf 8 - Switched to chemostat mode on 10-11-2022 at 15:10 - Operator: Sam de Jong</t>
  </si>
  <si>
    <t>Gandalf 8 - Switched to chemostat mode on 12-01-21 at 16:58 - Operator: Martijn Wissink</t>
  </si>
  <si>
    <t>Gandalf 8 - Switched to chemostat mode on 03-02-21 at 17:30 - Operator: Martijn Wissink</t>
  </si>
  <si>
    <t>Gandalf 8 - Switched to chemostat mode on 17-02-21 at 19:00 - Operator: Martijn Wissink</t>
  </si>
  <si>
    <t>Gandalf 8 - Switched to chemostat mode on 23-11-22 at 16:50 - Operator: Sam de Jong</t>
  </si>
  <si>
    <t>Gandalf 8 - Switched to chemostat mode on 15-06-2022 - Operator: Kadir Yildirim</t>
  </si>
  <si>
    <t>Gandalf 8 - Switched to chemostat mode on 01-06-2022 - Operator: Kadir Yildirim</t>
  </si>
  <si>
    <t>Gandalf 8 - Switched to chemostat mode on 06-12-22 14:50 - Operator: Sam de Jong</t>
  </si>
  <si>
    <t>DW1</t>
  </si>
  <si>
    <t>DW2</t>
  </si>
  <si>
    <t>DW all</t>
  </si>
  <si>
    <t>DW stdev</t>
  </si>
  <si>
    <t>DW corr</t>
  </si>
  <si>
    <t>Rac (mol/L)</t>
  </si>
  <si>
    <t>X weight</t>
  </si>
  <si>
    <t>g/cmol</t>
  </si>
  <si>
    <t>VL*Cx</t>
  </si>
  <si>
    <t>qs (mmol/Cmolx/h)</t>
  </si>
  <si>
    <t>Rs (mmol/L)</t>
  </si>
  <si>
    <t>AV</t>
  </si>
  <si>
    <t>STD</t>
  </si>
  <si>
    <t>Cx uncor</t>
  </si>
  <si>
    <t>VL*Cxun</t>
  </si>
  <si>
    <t>Medium dry weight - above 1 %</t>
  </si>
  <si>
    <t>Medium dry weight - below 1 %</t>
  </si>
  <si>
    <t>Sucrose 1</t>
  </si>
  <si>
    <t>Sucrose 2</t>
  </si>
  <si>
    <t>Sucrose All</t>
  </si>
  <si>
    <t>Sucrose STD</t>
  </si>
  <si>
    <t>Medium sucrose (mM)</t>
  </si>
  <si>
    <t>Cscons (mM)</t>
  </si>
  <si>
    <t>Balance</t>
  </si>
  <si>
    <t>Percent to Acetate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</si>
</sst>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8">
    <xf numFmtId="0" fontId="0" fillId="0" borderId="0" xfId="0"/>
    <xf numFmtId="0" fontId="1" fillId="0" borderId="0" xfId="0" applyFont="1"/>
    <xf numFmtId="2" fontId="0" fillId="0" borderId="0" xfId="0" applyNumberFormat="1"/>
    <xf numFmtId="0" fontId="3" fillId="0" borderId="0" xfId="0" applyFont="1"/>
    <xf numFmtId="164" fontId="0" fillId="0" borderId="0" xfId="0" applyNumberFormat="1"/>
    <xf numFmtId="2" fontId="0" fillId="2" borderId="0" xfId="0" applyNumberFormat="1" applyFill="1"/>
    <xf numFmtId="49" fontId="1" fillId="0" borderId="0" xfId="0" applyNumberFormat="1" applyFont="1"/>
    <xf numFmtId="49" fontId="0" fillId="0" borderId="0" xfId="0" applyNumberFormat="1"/>
    <xf numFmtId="49" fontId="0" fillId="0" borderId="0" xfId="0" applyNumberFormat="1" applyAlignment="1">
      <alignment horizontal="left"/>
    </xf>
    <xf numFmtId="49" fontId="1" fillId="0" borderId="0" xfId="0" applyNumberFormat="1" applyFont="1" applyAlignment="1">
      <alignment horizontal="left"/>
    </xf>
    <xf numFmtId="2" fontId="0" fillId="0" borderId="0" xfId="0" applyNumberFormat="1" applyAlignment="1">
      <alignment horizontal="right"/>
    </xf>
    <xf numFmtId="2" fontId="2" fillId="0" borderId="0" xfId="0" applyNumberFormat="1" applyFont="1" applyAlignment="1">
      <alignment horizontal="right"/>
    </xf>
    <xf numFmtId="2" fontId="0" fillId="2" borderId="0" xfId="0" applyNumberFormat="1" applyFill="1" applyAlignment="1">
      <alignment horizontal="right"/>
    </xf>
    <xf numFmtId="2" fontId="2" fillId="2" borderId="0" xfId="0" applyNumberFormat="1" applyFont="1" applyFill="1" applyAlignment="1">
      <alignment horizontal="right"/>
    </xf>
    <xf numFmtId="164" fontId="1" fillId="0" borderId="0" xfId="0" applyNumberFormat="1" applyFont="1"/>
    <xf numFmtId="9" fontId="1" fillId="0" borderId="0" xfId="1" applyFont="1"/>
    <xf numFmtId="2" fontId="1" fillId="0" borderId="0" xfId="0" applyNumberFormat="1" applyFont="1"/>
    <xf numFmtId="49" fontId="1" fillId="0" borderId="0" xfId="0" applyNumberFormat="1" applyFont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3300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'q rates'!$L$19</c:f>
              <c:strCache>
                <c:ptCount val="1"/>
                <c:pt idx="0">
                  <c:v>qac (mmol/Cmolx/h)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trendline>
            <c:spPr>
              <a:ln w="15875" cap="rnd">
                <a:solidFill>
                  <a:schemeClr val="tx1"/>
                </a:solidFill>
                <a:prstDash val="dash"/>
              </a:ln>
              <a:effectLst/>
            </c:spPr>
            <c:trendlineType val="linear"/>
            <c:forward val="0.30000000000000004"/>
            <c:backward val="0.25"/>
            <c:dispRSqr val="0"/>
            <c:dispEq val="0"/>
          </c:trendline>
          <c:errBars>
            <c:errDir val="y"/>
            <c:errBarType val="both"/>
            <c:errValType val="cust"/>
            <c:noEndCap val="0"/>
            <c:plus>
              <c:numRef>
                <c:f>'q rates'!$O$20:$O$24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5.5236017914479305</c:v>
                  </c:pt>
                  <c:pt idx="2">
                    <c:v>11.136630576243768</c:v>
                  </c:pt>
                  <c:pt idx="3">
                    <c:v>48.72588212860984</c:v>
                  </c:pt>
                  <c:pt idx="4">
                    <c:v>33.37114287315088</c:v>
                  </c:pt>
                </c:numCache>
              </c:numRef>
            </c:plus>
            <c:minus>
              <c:numRef>
                <c:f>'q rates'!$O$20:$O$24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5.5236017914479305</c:v>
                  </c:pt>
                  <c:pt idx="2">
                    <c:v>11.136630576243768</c:v>
                  </c:pt>
                  <c:pt idx="3">
                    <c:v>48.72588212860984</c:v>
                  </c:pt>
                  <c:pt idx="4">
                    <c:v>33.37114287315088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'q rates'!$P$20:$P$24</c:f>
              <c:numCache>
                <c:formatCode>0.00</c:formatCode>
                <c:ptCount val="5"/>
                <c:pt idx="0">
                  <c:v>4.2</c:v>
                </c:pt>
                <c:pt idx="1">
                  <c:v>2.0499999999999998</c:v>
                </c:pt>
                <c:pt idx="2">
                  <c:v>1.05</c:v>
                </c:pt>
                <c:pt idx="3">
                  <c:v>0.42</c:v>
                </c:pt>
                <c:pt idx="4">
                  <c:v>0.25</c:v>
                </c:pt>
              </c:numCache>
            </c:numRef>
          </c:xVal>
          <c:yVal>
            <c:numRef>
              <c:f>'q rates'!$N$20:$N$24</c:f>
              <c:numCache>
                <c:formatCode>0.00</c:formatCode>
                <c:ptCount val="5"/>
                <c:pt idx="0">
                  <c:v>0</c:v>
                </c:pt>
                <c:pt idx="1">
                  <c:v>77.36280073213095</c:v>
                </c:pt>
                <c:pt idx="2">
                  <c:v>44.177506260484584</c:v>
                </c:pt>
                <c:pt idx="3">
                  <c:v>71.015263284234237</c:v>
                </c:pt>
                <c:pt idx="4">
                  <c:v>123.63729939488989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61D3-4A4A-BA50-4853A32DE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5922672"/>
        <c:axId val="805924592"/>
      </c:scatterChart>
      <c:valAx>
        <c:axId val="805922672"/>
        <c:scaling>
          <c:orientation val="minMax"/>
          <c:max val="4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</a:t>
                </a:r>
                <a:r>
                  <a:rPr lang="en-US" sz="1200" b="1" baseline="-25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in gas inlet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805924592"/>
        <c:crosses val="autoZero"/>
        <c:crossBetween val="midCat"/>
        <c:majorUnit val="1"/>
      </c:valAx>
      <c:valAx>
        <c:axId val="805924592"/>
        <c:scaling>
          <c:orientation val="minMax"/>
          <c:max val="17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q</a:t>
                </a:r>
                <a:r>
                  <a:rPr lang="en-US" sz="1200" b="1" baseline="-25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ac</a:t>
                </a: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(mmol</a:t>
                </a:r>
                <a:r>
                  <a:rPr lang="en-US" sz="1200" b="1" baseline="-25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ac</a:t>
                </a: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/Cmol</a:t>
                </a:r>
                <a:r>
                  <a:rPr lang="en-US" sz="1200" b="1" baseline="-25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</a:t>
                </a: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805922672"/>
        <c:crosses val="autoZero"/>
        <c:crossBetween val="midCat"/>
        <c:majorUnit val="3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'q rates'!$L$6</c:f>
              <c:strCache>
                <c:ptCount val="1"/>
                <c:pt idx="0">
                  <c:v>qs (mmol/Cmolx/h)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'q rates'!$N$7:$N$11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5.5594219051266087</c:v>
                  </c:pt>
                  <c:pt idx="2">
                    <c:v>1.3549469545793222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plus>
            <c:minus>
              <c:numRef>
                <c:f>'q rates'!$N$7:$N$11</c:f>
                <c:numCache>
                  <c:formatCode>General</c:formatCode>
                  <c:ptCount val="5"/>
                  <c:pt idx="0">
                    <c:v>0</c:v>
                  </c:pt>
                  <c:pt idx="1">
                    <c:v>5.5594219051266087</c:v>
                  </c:pt>
                  <c:pt idx="2">
                    <c:v>1.3549469545793222</c:v>
                  </c:pt>
                  <c:pt idx="3">
                    <c:v>0</c:v>
                  </c:pt>
                  <c:pt idx="4">
                    <c:v>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'q rates'!$P$20:$P$24</c:f>
              <c:numCache>
                <c:formatCode>0.00</c:formatCode>
                <c:ptCount val="5"/>
                <c:pt idx="0">
                  <c:v>4.2</c:v>
                </c:pt>
                <c:pt idx="1">
                  <c:v>2.0499999999999998</c:v>
                </c:pt>
                <c:pt idx="2">
                  <c:v>1.05</c:v>
                </c:pt>
                <c:pt idx="3">
                  <c:v>0.42</c:v>
                </c:pt>
                <c:pt idx="4">
                  <c:v>0.25</c:v>
                </c:pt>
              </c:numCache>
            </c:numRef>
          </c:xVal>
          <c:yVal>
            <c:numRef>
              <c:f>'q rates'!$M$7:$M$11</c:f>
              <c:numCache>
                <c:formatCode>0.00</c:formatCode>
                <c:ptCount val="5"/>
                <c:pt idx="0">
                  <c:v>29.270569902851349</c:v>
                </c:pt>
                <c:pt idx="1">
                  <c:v>38.503060439642219</c:v>
                </c:pt>
                <c:pt idx="2">
                  <c:v>33.85408734377107</c:v>
                </c:pt>
                <c:pt idx="3">
                  <c:v>32.556497573205206</c:v>
                </c:pt>
                <c:pt idx="4">
                  <c:v>50.967337790128802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8BD-4021-B557-4D168EC4B7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5922672"/>
        <c:axId val="805924592"/>
      </c:scatterChart>
      <c:valAx>
        <c:axId val="805922672"/>
        <c:scaling>
          <c:orientation val="minMax"/>
          <c:max val="4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</a:t>
                </a:r>
                <a:r>
                  <a:rPr lang="en-US" sz="1200" b="1" baseline="-25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in gas inlet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805924592"/>
        <c:crosses val="autoZero"/>
        <c:crossBetween val="midCat"/>
        <c:majorUnit val="1"/>
      </c:valAx>
      <c:valAx>
        <c:axId val="805924592"/>
        <c:scaling>
          <c:orientation val="minMax"/>
          <c:max val="7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q</a:t>
                </a:r>
                <a:r>
                  <a:rPr lang="en-US" sz="1200" b="1" baseline="-25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</a:t>
                </a: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(mmol</a:t>
                </a:r>
                <a:r>
                  <a:rPr lang="en-US" sz="1200" b="1" baseline="-25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</a:t>
                </a: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/Cmol</a:t>
                </a:r>
                <a:r>
                  <a:rPr lang="en-US" sz="1200" b="1" baseline="-25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</a:t>
                </a: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805922672"/>
        <c:crosses val="autoZero"/>
        <c:crossBetween val="midCat"/>
        <c:majorUnit val="2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'q rates'!$L$6</c:f>
              <c:strCache>
                <c:ptCount val="1"/>
                <c:pt idx="0">
                  <c:v>qs (mmol/Cmolx/h)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square"/>
            <c:size val="5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'q rates'!$N$12:$N$16</c:f>
                <c:numCache>
                  <c:formatCode>General</c:formatCode>
                  <c:ptCount val="5"/>
                  <c:pt idx="0">
                    <c:v>19.971558503906564</c:v>
                  </c:pt>
                  <c:pt idx="1">
                    <c:v>5.5594219051266087</c:v>
                  </c:pt>
                  <c:pt idx="2">
                    <c:v>1.3549469545793222</c:v>
                  </c:pt>
                  <c:pt idx="3">
                    <c:v>72.635520289857666</c:v>
                  </c:pt>
                  <c:pt idx="4">
                    <c:v>155.40390653559783</c:v>
                  </c:pt>
                </c:numCache>
              </c:numRef>
            </c:plus>
            <c:minus>
              <c:numRef>
                <c:f>'q rates'!$N$12:$N$16</c:f>
                <c:numCache>
                  <c:formatCode>General</c:formatCode>
                  <c:ptCount val="5"/>
                  <c:pt idx="0">
                    <c:v>19.971558503906564</c:v>
                  </c:pt>
                  <c:pt idx="1">
                    <c:v>5.5594219051266087</c:v>
                  </c:pt>
                  <c:pt idx="2">
                    <c:v>1.3549469545793222</c:v>
                  </c:pt>
                  <c:pt idx="3">
                    <c:v>72.635520289857666</c:v>
                  </c:pt>
                  <c:pt idx="4">
                    <c:v>155.40390653559783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'q rates'!$P$20:$P$24</c:f>
              <c:numCache>
                <c:formatCode>0.00</c:formatCode>
                <c:ptCount val="5"/>
                <c:pt idx="0">
                  <c:v>4.2</c:v>
                </c:pt>
                <c:pt idx="1">
                  <c:v>2.0499999999999998</c:v>
                </c:pt>
                <c:pt idx="2">
                  <c:v>1.05</c:v>
                </c:pt>
                <c:pt idx="3">
                  <c:v>0.42</c:v>
                </c:pt>
                <c:pt idx="4">
                  <c:v>0.25</c:v>
                </c:pt>
              </c:numCache>
            </c:numRef>
          </c:xVal>
          <c:yVal>
            <c:numRef>
              <c:f>'q rates'!$M$12:$M$16</c:f>
              <c:numCache>
                <c:formatCode>0.00</c:formatCode>
                <c:ptCount val="5"/>
                <c:pt idx="0">
                  <c:v>49.242128406757914</c:v>
                </c:pt>
                <c:pt idx="1">
                  <c:v>38.503060439642219</c:v>
                </c:pt>
                <c:pt idx="2">
                  <c:v>33.85408734377107</c:v>
                </c:pt>
                <c:pt idx="3">
                  <c:v>105.19201786306289</c:v>
                </c:pt>
                <c:pt idx="4">
                  <c:v>206.37124432572659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F4-494B-822F-A8A09A36E3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5922672"/>
        <c:axId val="805924592"/>
      </c:scatterChart>
      <c:valAx>
        <c:axId val="805922672"/>
        <c:scaling>
          <c:orientation val="minMax"/>
          <c:max val="4.5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O</a:t>
                </a:r>
                <a:r>
                  <a:rPr lang="en-US" sz="1200" b="1" baseline="-25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2</a:t>
                </a: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in gas inlet (%)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805924592"/>
        <c:crosses val="autoZero"/>
        <c:crossBetween val="midCat"/>
        <c:majorUnit val="1"/>
      </c:valAx>
      <c:valAx>
        <c:axId val="805924592"/>
        <c:scaling>
          <c:orientation val="minMax"/>
          <c:max val="375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q</a:t>
                </a:r>
                <a:r>
                  <a:rPr lang="en-US" sz="1200" b="1" baseline="-25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</a:t>
                </a: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 (mmol</a:t>
                </a:r>
                <a:r>
                  <a:rPr lang="en-US" sz="1200" b="1" baseline="-25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</a:t>
                </a: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/Cmol</a:t>
                </a:r>
                <a:r>
                  <a:rPr lang="en-US" sz="1200" b="1" baseline="-250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x</a:t>
                </a:r>
                <a:r>
                  <a:rPr lang="en-US" sz="1200" b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/h)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0.00" sourceLinked="1"/>
        <c:majorTickMark val="out"/>
        <c:minorTickMark val="none"/>
        <c:tickLblPos val="nextTo"/>
        <c:spPr>
          <a:noFill/>
          <a:ln w="190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nl-NL"/>
          </a:p>
        </c:txPr>
        <c:crossAx val="805922672"/>
        <c:crosses val="autoZero"/>
        <c:crossBetween val="midCat"/>
        <c:majorUnit val="5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555624</xdr:colOff>
      <xdr:row>30</xdr:row>
      <xdr:rowOff>15875</xdr:rowOff>
    </xdr:from>
    <xdr:to>
      <xdr:col>9</xdr:col>
      <xdr:colOff>28574</xdr:colOff>
      <xdr:row>48</xdr:row>
      <xdr:rowOff>66675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782C8F52-96B3-4269-8218-9F5665CE7A8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533400</xdr:colOff>
      <xdr:row>30</xdr:row>
      <xdr:rowOff>57150</xdr:rowOff>
    </xdr:from>
    <xdr:to>
      <xdr:col>18</xdr:col>
      <xdr:colOff>581025</xdr:colOff>
      <xdr:row>48</xdr:row>
      <xdr:rowOff>104775</xdr:rowOff>
    </xdr:to>
    <xdr:graphicFrame macro="">
      <xdr:nvGraphicFramePr>
        <xdr:cNvPr id="4" name="Grafiek 2">
          <a:extLst>
            <a:ext uri="{FF2B5EF4-FFF2-40B4-BE49-F238E27FC236}">
              <a16:creationId xmlns:a16="http://schemas.microsoft.com/office/drawing/2014/main" id="{32C98C45-1160-41DA-9A25-EE3BA29D852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9525</xdr:colOff>
      <xdr:row>50</xdr:row>
      <xdr:rowOff>171450</xdr:rowOff>
    </xdr:from>
    <xdr:to>
      <xdr:col>9</xdr:col>
      <xdr:colOff>95250</xdr:colOff>
      <xdr:row>69</xdr:row>
      <xdr:rowOff>38100</xdr:rowOff>
    </xdr:to>
    <xdr:graphicFrame macro="">
      <xdr:nvGraphicFramePr>
        <xdr:cNvPr id="5" name="Grafiek 2">
          <a:extLst>
            <a:ext uri="{FF2B5EF4-FFF2-40B4-BE49-F238E27FC236}">
              <a16:creationId xmlns:a16="http://schemas.microsoft.com/office/drawing/2014/main" id="{15DF8918-AFFF-4AF0-BF9D-0B3FCE9E3D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S66"/>
  <sheetViews>
    <sheetView topLeftCell="A19" workbookViewId="0">
      <selection activeCell="F56" sqref="F56"/>
    </sheetView>
  </sheetViews>
  <sheetFormatPr defaultRowHeight="14.5" x14ac:dyDescent="0.35"/>
  <cols>
    <col min="1" max="1" width="8.7265625" style="7"/>
  </cols>
  <sheetData>
    <row r="1" spans="1:17" x14ac:dyDescent="0.35">
      <c r="A1" s="8"/>
      <c r="B1" s="9" t="s">
        <v>23</v>
      </c>
      <c r="C1" s="9" t="s">
        <v>24</v>
      </c>
      <c r="D1" s="9" t="s">
        <v>25</v>
      </c>
      <c r="E1" s="9" t="s">
        <v>29</v>
      </c>
      <c r="F1" s="9" t="s">
        <v>26</v>
      </c>
      <c r="G1" s="9" t="s">
        <v>58</v>
      </c>
      <c r="H1" s="9" t="s">
        <v>59</v>
      </c>
      <c r="I1" s="9" t="s">
        <v>60</v>
      </c>
      <c r="J1" s="9" t="s">
        <v>61</v>
      </c>
      <c r="K1" s="9" t="s">
        <v>41</v>
      </c>
      <c r="L1" s="9" t="s">
        <v>42</v>
      </c>
      <c r="M1" s="9" t="s">
        <v>43</v>
      </c>
      <c r="N1" s="9" t="s">
        <v>45</v>
      </c>
      <c r="O1" s="9" t="s">
        <v>44</v>
      </c>
    </row>
    <row r="2" spans="1:17" x14ac:dyDescent="0.35">
      <c r="A2" s="9" t="s">
        <v>19</v>
      </c>
      <c r="B2" s="17" t="s">
        <v>32</v>
      </c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"/>
      <c r="P2" s="1"/>
      <c r="Q2" s="1"/>
    </row>
    <row r="3" spans="1:17" x14ac:dyDescent="0.35">
      <c r="A3" s="8" t="s">
        <v>7</v>
      </c>
      <c r="B3" s="10">
        <v>7.9632350629184412</v>
      </c>
      <c r="C3" s="10">
        <v>7.9655228152035296</v>
      </c>
      <c r="D3" s="11">
        <f>AVERAGE(B3:C6)</f>
        <v>6.7328575755010611</v>
      </c>
      <c r="E3" s="12">
        <f>IF(D3-$A$57&gt;0,D3-$A$57,0)</f>
        <v>0</v>
      </c>
      <c r="F3" s="12">
        <f>_xlfn.STDEV.P(B3:C6)</f>
        <v>0.7790344570114951</v>
      </c>
      <c r="G3" s="10">
        <v>20.284151076597247</v>
      </c>
      <c r="H3" s="10">
        <v>20.072361454288739</v>
      </c>
      <c r="I3" s="13">
        <f>AVERAGE(G3:H6)</f>
        <v>20.469466996117188</v>
      </c>
      <c r="J3" s="12">
        <f>_xlfn.STDEV.P(G3:H6)</f>
        <v>0.29834347872179651</v>
      </c>
      <c r="K3" s="10">
        <v>1.3399999999999994</v>
      </c>
      <c r="L3" s="10">
        <v>1.3300000000000005</v>
      </c>
      <c r="M3" s="10">
        <f>AVERAGE(K3:L6)</f>
        <v>1.3450000000000004</v>
      </c>
      <c r="N3" s="5">
        <f>M3-$A$60</f>
        <v>0.71611111111111136</v>
      </c>
      <c r="O3" s="12">
        <f>_xlfn.STDEV.P(K3:L6)</f>
        <v>5.809475019311125E-2</v>
      </c>
    </row>
    <row r="4" spans="1:17" x14ac:dyDescent="0.35">
      <c r="A4" s="8" t="s">
        <v>30</v>
      </c>
      <c r="B4" s="10">
        <v>6.4293025727014843</v>
      </c>
      <c r="C4" s="10">
        <v>7.0153833588694994</v>
      </c>
      <c r="D4" s="10"/>
      <c r="E4" s="10"/>
      <c r="F4" s="10"/>
      <c r="G4" s="10">
        <v>20.178256265442993</v>
      </c>
      <c r="H4" s="10">
        <v>20.70773032121426</v>
      </c>
      <c r="I4" s="10"/>
      <c r="J4" s="10"/>
      <c r="K4" s="10">
        <v>1.36</v>
      </c>
      <c r="L4" s="10">
        <v>1.3700000000000003</v>
      </c>
      <c r="M4" s="10"/>
      <c r="N4" s="10"/>
    </row>
    <row r="5" spans="1:17" x14ac:dyDescent="0.35">
      <c r="A5" s="8" t="s">
        <v>31</v>
      </c>
      <c r="B5" s="10">
        <v>6.0851330828198051</v>
      </c>
      <c r="C5" s="10">
        <v>5.834884220490534</v>
      </c>
      <c r="D5" s="10"/>
      <c r="E5" s="10"/>
      <c r="F5" s="10"/>
      <c r="G5" s="10">
        <v>20.231203671020118</v>
      </c>
      <c r="H5" s="10">
        <v>20.654782915637135</v>
      </c>
      <c r="I5" s="10"/>
      <c r="J5" s="10"/>
      <c r="K5" s="10">
        <v>1.26</v>
      </c>
      <c r="L5" s="10">
        <v>1.340000000000001</v>
      </c>
      <c r="M5" s="10"/>
      <c r="N5" s="10"/>
    </row>
    <row r="6" spans="1:17" x14ac:dyDescent="0.35">
      <c r="A6" s="8" t="s">
        <v>5</v>
      </c>
      <c r="B6" s="10">
        <v>6.1790952402084853</v>
      </c>
      <c r="C6" s="10">
        <v>6.3903042507967083</v>
      </c>
      <c r="D6" s="10"/>
      <c r="E6" s="10"/>
      <c r="F6" s="10"/>
      <c r="G6" s="10">
        <v>20.654782915637135</v>
      </c>
      <c r="H6" s="10">
        <v>20.972467349099894</v>
      </c>
      <c r="I6" s="10"/>
      <c r="J6" s="10"/>
      <c r="K6" s="10">
        <v>1.4700000000000004</v>
      </c>
      <c r="L6" s="10">
        <v>1.2900000000000009</v>
      </c>
      <c r="M6" s="10"/>
      <c r="N6" s="10"/>
    </row>
    <row r="7" spans="1:17" x14ac:dyDescent="0.35">
      <c r="A7" s="9" t="s">
        <v>19</v>
      </c>
      <c r="B7" s="17" t="s">
        <v>33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"/>
      <c r="P7" s="1"/>
      <c r="Q7" s="1"/>
    </row>
    <row r="8" spans="1:17" x14ac:dyDescent="0.35">
      <c r="A8" s="8" t="s">
        <v>6</v>
      </c>
      <c r="B8" s="10">
        <v>6.7670000000000003</v>
      </c>
      <c r="C8" s="10">
        <v>7.1950000000000003</v>
      </c>
      <c r="D8" s="11">
        <f>AVERAGE(B8:C11)</f>
        <v>8.8554999999999993</v>
      </c>
      <c r="E8" s="12">
        <f>IF(D8-$A$54&gt;0,D8-$A$54,0)</f>
        <v>0</v>
      </c>
      <c r="F8" s="12">
        <f>_xlfn.STDEV.P(B8:C11)</f>
        <v>3.6715050728550005</v>
      </c>
      <c r="G8" s="10">
        <v>8.6457404434932528</v>
      </c>
      <c r="H8" s="10">
        <v>8.0130491647345572</v>
      </c>
      <c r="I8" s="13">
        <f>AVERAGE(G8:H11)</f>
        <v>8.0310233487902032</v>
      </c>
      <c r="J8" s="12">
        <f>_xlfn.STDEV.P(G8:H11)</f>
        <v>0.44225259802406314</v>
      </c>
      <c r="K8" s="10">
        <v>1.4</v>
      </c>
      <c r="L8" s="10">
        <v>1.36</v>
      </c>
      <c r="M8" s="10">
        <f>AVERAGE(K8:L11)</f>
        <v>1.3624999999999998</v>
      </c>
      <c r="N8" s="5">
        <f>M8-$A$60</f>
        <v>0.73361111111111077</v>
      </c>
      <c r="O8" s="12">
        <f>_xlfn.STDEV.P(K8:L11)</f>
        <v>3.7996710383926727E-2</v>
      </c>
    </row>
    <row r="9" spans="1:17" x14ac:dyDescent="0.35">
      <c r="A9" s="8" t="s">
        <v>1</v>
      </c>
      <c r="B9" s="10">
        <v>7.0789999999999997</v>
      </c>
      <c r="C9" s="10">
        <v>6.7430000000000003</v>
      </c>
      <c r="D9" s="10"/>
      <c r="E9" s="10"/>
      <c r="F9" s="10"/>
      <c r="G9" s="10">
        <v>7.2653231080197376</v>
      </c>
      <c r="H9" s="10">
        <v>7.5816687473990836</v>
      </c>
      <c r="I9" s="10"/>
      <c r="J9" s="10"/>
      <c r="K9" s="10">
        <v>1.4100000000000001</v>
      </c>
      <c r="L9" s="10">
        <v>1.36</v>
      </c>
      <c r="M9" s="10"/>
      <c r="N9" s="10"/>
    </row>
    <row r="10" spans="1:17" x14ac:dyDescent="0.35">
      <c r="A10" s="8" t="s">
        <v>2</v>
      </c>
      <c r="B10" s="10">
        <v>16.210999999999999</v>
      </c>
      <c r="C10" s="10">
        <v>13.472</v>
      </c>
      <c r="D10" s="10"/>
      <c r="E10" s="10"/>
      <c r="F10" s="10"/>
      <c r="G10" s="10">
        <v>7.7829796088223056</v>
      </c>
      <c r="H10" s="10">
        <v>8.1856013316687477</v>
      </c>
      <c r="I10" s="10"/>
      <c r="J10" s="10"/>
      <c r="K10" s="10">
        <v>1.31</v>
      </c>
      <c r="L10" s="10">
        <v>1.4100000000000001</v>
      </c>
      <c r="M10" s="10"/>
      <c r="N10" s="10"/>
    </row>
    <row r="11" spans="1:17" x14ac:dyDescent="0.35">
      <c r="A11" s="8" t="s">
        <v>5</v>
      </c>
      <c r="B11" s="10">
        <v>8.7249999999999996</v>
      </c>
      <c r="C11" s="10">
        <v>4.6520000000000001</v>
      </c>
      <c r="D11" s="10"/>
      <c r="E11" s="10"/>
      <c r="F11" s="10"/>
      <c r="G11" s="10">
        <v>8.2143600261577792</v>
      </c>
      <c r="H11" s="10">
        <v>8.5594643600261584</v>
      </c>
      <c r="I11" s="10"/>
      <c r="J11" s="10"/>
      <c r="K11" s="10">
        <v>1.3299999999999992</v>
      </c>
      <c r="L11" s="10">
        <v>1.3200000000000003</v>
      </c>
      <c r="M11" s="10"/>
      <c r="N11" s="10"/>
    </row>
    <row r="12" spans="1:17" x14ac:dyDescent="0.35">
      <c r="A12" s="9" t="s">
        <v>20</v>
      </c>
      <c r="B12" s="17" t="s">
        <v>34</v>
      </c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"/>
      <c r="P12" s="1"/>
      <c r="Q12" s="1"/>
    </row>
    <row r="13" spans="1:17" x14ac:dyDescent="0.35">
      <c r="A13" s="8" t="s">
        <v>7</v>
      </c>
      <c r="B13" s="10">
        <v>26.407515603425757</v>
      </c>
      <c r="C13" s="10">
        <v>23.221098288417302</v>
      </c>
      <c r="D13" s="11">
        <f>AVERAGE(B13:C16)</f>
        <v>28.823311144911237</v>
      </c>
      <c r="E13" s="12">
        <f>IF(D13-$A$57&gt;0,D13-$A$57,0)</f>
        <v>20.300825872254155</v>
      </c>
      <c r="F13" s="12">
        <f>_xlfn.STDEV.P(B13:C16)</f>
        <v>4.0300174158184987</v>
      </c>
      <c r="G13" s="10">
        <v>19.966466643134485</v>
      </c>
      <c r="H13" s="10">
        <v>20.019414048711614</v>
      </c>
      <c r="I13" s="13">
        <f>AVERAGE(G15:H16,G13:H13)</f>
        <v>19.90469466996117</v>
      </c>
      <c r="J13" s="12">
        <f>_xlfn.STDEV.P(G13:H16)</f>
        <v>4.07247281254479</v>
      </c>
      <c r="K13" s="10">
        <v>1.36</v>
      </c>
      <c r="L13" s="10">
        <v>1.3399999999999994</v>
      </c>
      <c r="M13" s="10">
        <f>AVERAGE(K13:L16)</f>
        <v>1.3062500000000001</v>
      </c>
      <c r="N13" s="5">
        <f>M13-$A$60</f>
        <v>0.67736111111111108</v>
      </c>
      <c r="O13" s="12">
        <f>_xlfn.STDEV.P(K13:L16)</f>
        <v>8.8732392619606693E-2</v>
      </c>
    </row>
    <row r="14" spans="1:17" x14ac:dyDescent="0.35">
      <c r="A14" s="8" t="s">
        <v>30</v>
      </c>
      <c r="B14" s="10">
        <v>26.668038586119792</v>
      </c>
      <c r="C14" s="10">
        <v>26.343169636234414</v>
      </c>
      <c r="D14" s="10"/>
      <c r="E14" s="10"/>
      <c r="F14" s="10"/>
      <c r="G14" s="10">
        <v>10.435933639251676</v>
      </c>
      <c r="H14" s="10">
        <v>10.647723261560184</v>
      </c>
      <c r="I14" s="10"/>
      <c r="J14" s="10"/>
      <c r="K14" s="10">
        <v>1.1599999999999999</v>
      </c>
      <c r="L14" s="10">
        <v>1.3800000000000008</v>
      </c>
      <c r="M14" s="10"/>
      <c r="N14" s="10"/>
    </row>
    <row r="15" spans="1:17" x14ac:dyDescent="0.35">
      <c r="A15" s="8" t="s">
        <v>31</v>
      </c>
      <c r="B15" s="10">
        <v>32.78901913535325</v>
      </c>
      <c r="C15" s="10">
        <v>27.324651479438668</v>
      </c>
      <c r="D15" s="10"/>
      <c r="E15" s="10"/>
      <c r="F15" s="10"/>
      <c r="G15" s="10">
        <v>20.125308859865868</v>
      </c>
      <c r="H15" s="10">
        <v>20.548888104482881</v>
      </c>
      <c r="I15" s="10"/>
      <c r="J15" s="10"/>
      <c r="K15" s="10">
        <v>1.3399999999999994</v>
      </c>
      <c r="L15" s="10">
        <v>1.3399999999999994</v>
      </c>
      <c r="M15" s="10"/>
      <c r="N15" s="10"/>
    </row>
    <row r="16" spans="1:17" x14ac:dyDescent="0.35">
      <c r="A16" s="8" t="s">
        <v>5</v>
      </c>
      <c r="B16" s="10">
        <v>36.371822486775613</v>
      </c>
      <c r="C16" s="10">
        <v>31.4611739435251</v>
      </c>
      <c r="D16" s="10"/>
      <c r="E16" s="10"/>
      <c r="F16" s="10"/>
      <c r="G16" s="10">
        <v>19.119308153900459</v>
      </c>
      <c r="H16" s="10">
        <v>19.648782209671726</v>
      </c>
      <c r="I16" s="10"/>
      <c r="J16" s="10"/>
      <c r="K16" s="10">
        <v>1.1499999999999997</v>
      </c>
      <c r="L16" s="10">
        <v>1.3800000000000008</v>
      </c>
      <c r="M16" s="10"/>
      <c r="N16" s="10"/>
    </row>
    <row r="17" spans="1:19" x14ac:dyDescent="0.35">
      <c r="A17" s="9" t="s">
        <v>18</v>
      </c>
      <c r="B17" s="17" t="s">
        <v>39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"/>
      <c r="P17" s="1"/>
      <c r="Q17" s="1"/>
    </row>
    <row r="18" spans="1:19" x14ac:dyDescent="0.35">
      <c r="A18" s="8" t="s">
        <v>6</v>
      </c>
      <c r="B18" s="10">
        <v>27.478999999999999</v>
      </c>
      <c r="C18" s="10">
        <v>29.277999999999999</v>
      </c>
      <c r="D18" s="11">
        <f>AVERAGE(B18:C21)</f>
        <v>30.340875</v>
      </c>
      <c r="E18" s="12">
        <f>IF(D18-$A$54&gt;0,D18-$A$54,0)</f>
        <v>18.840875</v>
      </c>
      <c r="F18" s="12">
        <f>_xlfn.STDEV.P(B18:C21)</f>
        <v>2.6087805310863166</v>
      </c>
      <c r="G18" s="10">
        <v>17.043890098252632</v>
      </c>
      <c r="H18" s="10">
        <v>17.317467788433255</v>
      </c>
      <c r="I18" s="13">
        <f>AVERAGE(G18:H21)</f>
        <v>19.198314408425016</v>
      </c>
      <c r="J18" s="12">
        <f>_xlfn.STDEV.P(G18:H21)</f>
        <v>1.2186880481497522</v>
      </c>
      <c r="K18" s="10">
        <v>1.0500000000000009</v>
      </c>
      <c r="L18" s="10">
        <v>1.1600000000000013</v>
      </c>
      <c r="M18" s="10">
        <f>AVERAGE(K18:L21)</f>
        <v>1.1737500000000003</v>
      </c>
      <c r="N18" s="5">
        <f>M18-$A$60</f>
        <v>0.54486111111111124</v>
      </c>
      <c r="O18" s="12">
        <f>_xlfn.STDEV.P(K18:L21)</f>
        <v>7.7449580373297966E-2</v>
      </c>
    </row>
    <row r="19" spans="1:19" x14ac:dyDescent="0.35">
      <c r="A19" s="8" t="s">
        <v>1</v>
      </c>
      <c r="B19" s="10">
        <v>33.737000000000002</v>
      </c>
      <c r="C19" s="10">
        <v>35.015000000000001</v>
      </c>
      <c r="D19" s="11"/>
      <c r="E19" s="10"/>
      <c r="F19" s="10"/>
      <c r="G19" s="10">
        <v>19.711272577513679</v>
      </c>
      <c r="H19" s="10">
        <v>20.668794493145846</v>
      </c>
      <c r="I19" s="10"/>
      <c r="J19" s="10"/>
      <c r="K19" s="10">
        <v>1.1599999999999999</v>
      </c>
      <c r="L19" s="10">
        <v>1.3299999999999992</v>
      </c>
      <c r="M19" s="10"/>
      <c r="N19" s="10"/>
    </row>
    <row r="20" spans="1:19" x14ac:dyDescent="0.35">
      <c r="A20" s="8" t="s">
        <v>2</v>
      </c>
      <c r="B20" s="10">
        <v>27.637</v>
      </c>
      <c r="C20" s="10">
        <v>28.83</v>
      </c>
      <c r="D20" s="11"/>
      <c r="E20" s="10"/>
      <c r="F20" s="10"/>
      <c r="G20" s="10">
        <v>19.84806142260399</v>
      </c>
      <c r="H20" s="10">
        <v>19.84806142260399</v>
      </c>
      <c r="I20" s="10"/>
      <c r="J20" s="10"/>
      <c r="K20" s="10">
        <v>1.1400000000000008</v>
      </c>
      <c r="L20" s="10">
        <v>1.2300000000000004</v>
      </c>
      <c r="M20" s="10"/>
      <c r="N20" s="10"/>
    </row>
    <row r="21" spans="1:19" x14ac:dyDescent="0.35">
      <c r="A21" s="8" t="s">
        <v>5</v>
      </c>
      <c r="B21" s="10">
        <v>31.411999999999999</v>
      </c>
      <c r="C21" s="10">
        <v>29.338999999999999</v>
      </c>
      <c r="D21" s="10"/>
      <c r="E21" s="10"/>
      <c r="F21" s="10"/>
      <c r="G21" s="10">
        <v>19.300906042242747</v>
      </c>
      <c r="H21" s="10">
        <v>19.84806142260399</v>
      </c>
      <c r="I21" s="10"/>
      <c r="J21" s="10"/>
      <c r="K21" s="10">
        <v>1.1200000000000001</v>
      </c>
      <c r="L21" s="10">
        <v>1.2000000000000011</v>
      </c>
      <c r="M21" s="10"/>
      <c r="N21" s="10"/>
    </row>
    <row r="22" spans="1:19" x14ac:dyDescent="0.35">
      <c r="A22" s="9" t="s">
        <v>21</v>
      </c>
      <c r="B22" s="17" t="s">
        <v>35</v>
      </c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"/>
      <c r="P22" s="1"/>
      <c r="Q22" s="1"/>
      <c r="R22" s="1"/>
      <c r="S22" s="1"/>
    </row>
    <row r="23" spans="1:19" x14ac:dyDescent="0.35">
      <c r="A23" s="8" t="s">
        <v>6</v>
      </c>
      <c r="B23" s="10">
        <v>15.355218194816079</v>
      </c>
      <c r="C23" s="10">
        <v>15.733460206891623</v>
      </c>
      <c r="D23" s="11">
        <f>AVERAGE(B23:C26)</f>
        <v>17.807532230428485</v>
      </c>
      <c r="E23" s="12">
        <f>IF(D23-$A$57&gt;0,D23-$A$57,0)</f>
        <v>9.285046957771403</v>
      </c>
      <c r="F23" s="12">
        <f>_xlfn.STDEV.P(B23:C26)</f>
        <v>1.539513943625292</v>
      </c>
      <c r="G23" s="10">
        <v>25.102364984115777</v>
      </c>
      <c r="H23" s="10">
        <v>24.731733145075889</v>
      </c>
      <c r="I23" s="13">
        <f>AVERAGE(G23:H26)</f>
        <v>23.758824567596186</v>
      </c>
      <c r="J23" s="12">
        <f>_xlfn.STDEV.P(G23:H26)</f>
        <v>1.05958907754821</v>
      </c>
      <c r="K23" s="10">
        <v>1.0499999999999996</v>
      </c>
      <c r="L23" s="10">
        <v>1.07</v>
      </c>
      <c r="M23" s="10">
        <f>AVERAGE(K23:L26)</f>
        <v>1.03125</v>
      </c>
      <c r="N23" s="5">
        <f>M23-$A$60</f>
        <v>0.40236111111111095</v>
      </c>
      <c r="O23" s="12">
        <f>_xlfn.STDEV.P(K23:L26)</f>
        <v>2.8476964374736274E-2</v>
      </c>
    </row>
    <row r="24" spans="1:19" x14ac:dyDescent="0.35">
      <c r="A24" s="8" t="s">
        <v>1</v>
      </c>
      <c r="B24" s="10">
        <v>17.150115147943097</v>
      </c>
      <c r="C24" s="10">
        <v>18.373884764427721</v>
      </c>
      <c r="D24" s="10"/>
      <c r="E24" s="10"/>
      <c r="F24" s="10"/>
      <c r="G24" s="10">
        <v>23.831627250264738</v>
      </c>
      <c r="H24" s="10">
        <v>23.672785033533359</v>
      </c>
      <c r="I24" s="10"/>
      <c r="J24" s="10"/>
      <c r="K24" s="10">
        <v>0.98000000000000032</v>
      </c>
      <c r="L24" s="10">
        <v>1.0299999999999989</v>
      </c>
      <c r="M24" s="10"/>
      <c r="N24" s="10"/>
    </row>
    <row r="25" spans="1:19" x14ac:dyDescent="0.35">
      <c r="A25" s="8" t="s">
        <v>2</v>
      </c>
      <c r="B25" s="10">
        <v>18.552724878931773</v>
      </c>
      <c r="C25" s="10">
        <v>20.004599829609766</v>
      </c>
      <c r="D25" s="10"/>
      <c r="E25" s="10"/>
      <c r="F25" s="10"/>
      <c r="G25" s="10">
        <v>24.361101306036005</v>
      </c>
      <c r="H25" s="10">
        <v>24.202259089304626</v>
      </c>
      <c r="I25" s="10"/>
      <c r="J25" s="10"/>
      <c r="K25" s="10">
        <v>0.99999999999999956</v>
      </c>
      <c r="L25" s="10">
        <v>1.0599999999999998</v>
      </c>
      <c r="M25" s="10"/>
      <c r="N25" s="10"/>
    </row>
    <row r="26" spans="1:19" x14ac:dyDescent="0.35">
      <c r="A26" s="8" t="s">
        <v>5</v>
      </c>
      <c r="B26" s="10">
        <v>17.901250851440331</v>
      </c>
      <c r="C26" s="10">
        <v>19.389003969367511</v>
      </c>
      <c r="D26" s="10"/>
      <c r="E26" s="10"/>
      <c r="F26" s="10"/>
      <c r="G26" s="10">
        <v>22.243205082950933</v>
      </c>
      <c r="H26" s="10">
        <v>21.925520649488174</v>
      </c>
      <c r="I26" s="10"/>
      <c r="J26" s="10"/>
      <c r="K26" s="10">
        <v>1.0400000000000007</v>
      </c>
      <c r="L26" s="10">
        <v>1.02</v>
      </c>
      <c r="M26" s="10"/>
      <c r="N26" s="10"/>
    </row>
    <row r="27" spans="1:19" x14ac:dyDescent="0.35">
      <c r="A27" s="9" t="s">
        <v>21</v>
      </c>
      <c r="B27" s="17" t="s">
        <v>36</v>
      </c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"/>
      <c r="P27" s="1"/>
      <c r="Q27" s="1"/>
      <c r="R27" s="1"/>
      <c r="S27" s="1"/>
    </row>
    <row r="28" spans="1:19" x14ac:dyDescent="0.35">
      <c r="A28" s="8" t="s">
        <v>1</v>
      </c>
      <c r="B28" s="10">
        <v>12.009704591160959</v>
      </c>
      <c r="C28" s="10">
        <v>11.874901451088551</v>
      </c>
      <c r="D28" s="11">
        <f>AVERAGE(B28:C31)</f>
        <v>12.141401006062877</v>
      </c>
      <c r="E28" s="12">
        <f>IF(D28-$A$57&gt;0,D28-$A$57,0)</f>
        <v>3.6189157334057942</v>
      </c>
      <c r="F28" s="12">
        <f>_xlfn.STDEV.P(B28:C31)</f>
        <v>0.72776228117981046</v>
      </c>
      <c r="G28" s="10">
        <v>26.990950226244344</v>
      </c>
      <c r="H28" s="10">
        <v>25.859728506787331</v>
      </c>
      <c r="I28" s="13">
        <f>AVERAGE(G28:H31)</f>
        <v>25.35774886877828</v>
      </c>
      <c r="J28" s="12">
        <f>_xlfn.STDEV.P(G28:H31)</f>
        <v>0.89181852676076168</v>
      </c>
      <c r="K28" s="10">
        <v>0.89000000000000057</v>
      </c>
      <c r="L28" s="10">
        <v>0.84999999999999942</v>
      </c>
      <c r="M28" s="10">
        <f>AVERAGE(K28:L31)</f>
        <v>0.89142857142857124</v>
      </c>
      <c r="N28" s="5">
        <f>M28-$A$60</f>
        <v>0.26253968253968218</v>
      </c>
      <c r="O28" s="12">
        <f>_xlfn.STDEV.P(K28:L31)</f>
        <v>3.6811710647786169E-2</v>
      </c>
    </row>
    <row r="29" spans="1:19" x14ac:dyDescent="0.35">
      <c r="A29" s="8" t="s">
        <v>2</v>
      </c>
      <c r="B29" s="10">
        <v>11.410621354949592</v>
      </c>
      <c r="C29" s="10">
        <v>11.060441775501285</v>
      </c>
      <c r="D29" s="10"/>
      <c r="E29" s="10"/>
      <c r="F29" s="10"/>
      <c r="G29" s="10">
        <v>25.350678733031678</v>
      </c>
      <c r="H29" s="10">
        <v>25.520361990950228</v>
      </c>
      <c r="I29" s="10"/>
      <c r="J29" s="10"/>
      <c r="K29" s="10">
        <v>0.91999999999999993</v>
      </c>
      <c r="L29" s="10"/>
      <c r="M29" s="10"/>
      <c r="N29" s="10"/>
    </row>
    <row r="30" spans="1:19" x14ac:dyDescent="0.35">
      <c r="A30" s="8" t="s">
        <v>3</v>
      </c>
      <c r="B30" s="10">
        <v>12.291804129443525</v>
      </c>
      <c r="C30" s="10">
        <v>12.242901844410326</v>
      </c>
      <c r="D30" s="10"/>
      <c r="E30" s="10"/>
      <c r="F30" s="10"/>
      <c r="G30" s="10">
        <v>25.350678733031678</v>
      </c>
      <c r="H30" s="10">
        <v>25.067873303167424</v>
      </c>
      <c r="I30" s="10"/>
      <c r="J30" s="10"/>
      <c r="K30" s="10">
        <v>0.91999999999999993</v>
      </c>
      <c r="L30" s="10">
        <v>0.94999999999999951</v>
      </c>
      <c r="M30" s="10"/>
      <c r="N30" s="10"/>
    </row>
    <row r="31" spans="1:19" x14ac:dyDescent="0.35">
      <c r="A31" s="8" t="s">
        <v>5</v>
      </c>
      <c r="B31" s="10">
        <v>12.62223988303445</v>
      </c>
      <c r="C31" s="10">
        <v>13.618593018914309</v>
      </c>
      <c r="D31" s="10"/>
      <c r="E31" s="10"/>
      <c r="F31" s="10"/>
      <c r="G31" s="10">
        <v>25.180995475113125</v>
      </c>
      <c r="H31" s="10">
        <v>23.540723981900456</v>
      </c>
      <c r="I31" s="10"/>
      <c r="J31" s="10"/>
      <c r="K31" s="10">
        <v>0.84999999999999942</v>
      </c>
      <c r="L31" s="10">
        <v>0.85999999999999965</v>
      </c>
      <c r="M31" s="10"/>
      <c r="N31" s="10"/>
    </row>
    <row r="32" spans="1:19" x14ac:dyDescent="0.35">
      <c r="A32" s="9" t="s">
        <v>22</v>
      </c>
      <c r="B32" s="17" t="s">
        <v>34</v>
      </c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"/>
      <c r="Q32" s="1"/>
    </row>
    <row r="33" spans="1:17" x14ac:dyDescent="0.35">
      <c r="A33" s="8" t="s">
        <v>2</v>
      </c>
      <c r="B33" s="10">
        <v>9.4392677387915445</v>
      </c>
      <c r="C33" s="10">
        <v>9.1890856853293208</v>
      </c>
      <c r="D33" s="11">
        <f>AVERAGE(B33:C36)</f>
        <v>10.707718719286929</v>
      </c>
      <c r="E33" s="12">
        <f>IF(D33-$A$57&gt;0,D33-$A$57,0)</f>
        <v>2.1852334466298462</v>
      </c>
      <c r="F33" s="12">
        <f>_xlfn.STDEV.P(B33:C36)</f>
        <v>0.87846374978017516</v>
      </c>
      <c r="G33" s="10">
        <v>26.21426050123544</v>
      </c>
      <c r="H33" s="10">
        <v>26.320155312389691</v>
      </c>
      <c r="I33" s="13">
        <f>AVERAGE(G33:H36)</f>
        <v>26.022326156018355</v>
      </c>
      <c r="J33" s="12">
        <f>_xlfn.STDEV.P(G33:H36)</f>
        <v>0.52877038044583202</v>
      </c>
      <c r="K33" s="10">
        <v>0.74999999999999933</v>
      </c>
      <c r="L33" s="10">
        <v>0.74000000000000044</v>
      </c>
      <c r="M33" s="10">
        <f>AVERAGE(K33:L36)</f>
        <v>0.78875000000000006</v>
      </c>
      <c r="N33" s="5">
        <f>M33-$A$63</f>
        <v>0.23500000000000032</v>
      </c>
      <c r="O33" s="12">
        <f>_xlfn.STDEV.P(K33:L36)</f>
        <v>3.6890886408434069E-2</v>
      </c>
    </row>
    <row r="34" spans="1:17" x14ac:dyDescent="0.35">
      <c r="A34" s="8" t="s">
        <v>3</v>
      </c>
      <c r="B34" s="10">
        <v>11.552158648255812</v>
      </c>
      <c r="C34" s="10">
        <v>11.537043593497739</v>
      </c>
      <c r="D34" s="10"/>
      <c r="E34" s="10"/>
      <c r="F34" s="10"/>
      <c r="G34" s="10">
        <v>25.261207200847156</v>
      </c>
      <c r="H34" s="10">
        <v>25.631839039887044</v>
      </c>
      <c r="I34" s="10"/>
      <c r="J34" s="10"/>
      <c r="K34" s="10">
        <v>0.78000000000000014</v>
      </c>
      <c r="L34" s="10">
        <v>0.81999999999999984</v>
      </c>
      <c r="M34" s="10"/>
      <c r="N34" s="10"/>
    </row>
    <row r="35" spans="1:17" x14ac:dyDescent="0.35">
      <c r="A35" s="8" t="s">
        <v>4</v>
      </c>
      <c r="B35" s="10">
        <v>10.441098298946715</v>
      </c>
      <c r="C35" s="10">
        <v>10.853867855770066</v>
      </c>
      <c r="D35" s="10"/>
      <c r="E35" s="10"/>
      <c r="F35" s="10"/>
      <c r="G35" s="10">
        <v>25.261207200847156</v>
      </c>
      <c r="H35" s="10">
        <v>26.690787151429578</v>
      </c>
      <c r="I35" s="10"/>
      <c r="J35" s="10"/>
      <c r="K35" s="10">
        <v>0.77000000000000124</v>
      </c>
      <c r="L35" s="10">
        <v>0.78000000000000014</v>
      </c>
      <c r="M35" s="10"/>
      <c r="N35" s="10"/>
    </row>
    <row r="36" spans="1:17" x14ac:dyDescent="0.35">
      <c r="A36" s="8" t="s">
        <v>5</v>
      </c>
      <c r="B36" s="10">
        <v>11.369056308598681</v>
      </c>
      <c r="C36" s="10">
        <v>11.280171625105558</v>
      </c>
      <c r="D36" s="10"/>
      <c r="E36" s="10"/>
      <c r="F36" s="10"/>
      <c r="G36" s="10">
        <v>26.21426050123544</v>
      </c>
      <c r="H36" s="10">
        <v>26.584892340275328</v>
      </c>
      <c r="I36" s="10"/>
      <c r="J36" s="10"/>
      <c r="K36" s="10">
        <v>0.85999999999999965</v>
      </c>
      <c r="L36" s="10">
        <v>0.80999999999999961</v>
      </c>
      <c r="M36" s="10"/>
      <c r="N36" s="10"/>
    </row>
    <row r="37" spans="1:17" x14ac:dyDescent="0.35">
      <c r="A37" s="9" t="s">
        <v>22</v>
      </c>
      <c r="B37" s="17" t="s">
        <v>37</v>
      </c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"/>
    </row>
    <row r="38" spans="1:17" x14ac:dyDescent="0.35">
      <c r="A38" s="8" t="s">
        <v>6</v>
      </c>
      <c r="B38" s="10">
        <v>24.844000000000001</v>
      </c>
      <c r="C38" s="10">
        <v>25.620999999999999</v>
      </c>
      <c r="D38" s="11">
        <f>AVERAGE(B38:C41)</f>
        <v>25.112625000000001</v>
      </c>
      <c r="E38" s="12">
        <f>IF(D38-$A$54&gt;0,D38-$A$54,0)</f>
        <v>13.612625000000001</v>
      </c>
      <c r="F38" s="12">
        <f>_xlfn.STDEV.P(B38:C41)</f>
        <v>3.8841596239566361</v>
      </c>
      <c r="G38" s="10">
        <v>8.5882230545151899</v>
      </c>
      <c r="H38" s="10">
        <v>9.2496730277629151</v>
      </c>
      <c r="I38" s="13">
        <f>AVERAGE(G38:H41)</f>
        <v>8.9980344509838908</v>
      </c>
      <c r="J38" s="12">
        <f>_xlfn.STDEV.P(G38:H41)</f>
        <v>1.3362545659063356</v>
      </c>
      <c r="K38" s="10">
        <v>0.84999999999999942</v>
      </c>
      <c r="L38" s="10">
        <v>0.82999999999999874</v>
      </c>
      <c r="M38" s="10">
        <f>AVERAGE(K38:L41)</f>
        <v>0.82624999999999971</v>
      </c>
      <c r="N38" s="5">
        <f>M38-$A$63</f>
        <v>0.27249999999999996</v>
      </c>
      <c r="O38" s="12">
        <f>_xlfn.STDEV.P(K38:L41)</f>
        <v>1.7275343701356301E-2</v>
      </c>
    </row>
    <row r="39" spans="1:17" x14ac:dyDescent="0.35">
      <c r="A39" s="8" t="s">
        <v>1</v>
      </c>
      <c r="B39" s="10">
        <v>30.448</v>
      </c>
      <c r="C39" s="10">
        <v>31.68</v>
      </c>
      <c r="D39" s="10"/>
      <c r="E39" s="10"/>
      <c r="F39" s="10"/>
      <c r="G39" s="10">
        <v>7.294081802508769</v>
      </c>
      <c r="H39" s="10">
        <v>7.9555317757564943</v>
      </c>
      <c r="I39" s="10"/>
      <c r="J39" s="10"/>
      <c r="K39" s="10">
        <v>0.80999999999999961</v>
      </c>
      <c r="L39" s="10">
        <v>0.80999999999999961</v>
      </c>
      <c r="M39" s="10"/>
      <c r="N39" s="10"/>
    </row>
    <row r="40" spans="1:17" x14ac:dyDescent="0.35">
      <c r="A40" s="8" t="s">
        <v>2</v>
      </c>
      <c r="B40" s="10">
        <v>21.462</v>
      </c>
      <c r="C40" s="10">
        <v>24.686</v>
      </c>
      <c r="D40" s="10"/>
      <c r="E40" s="10"/>
      <c r="F40" s="10"/>
      <c r="G40" s="10">
        <v>11.86671422626479</v>
      </c>
      <c r="H40" s="10">
        <v>7.9555317757564943</v>
      </c>
      <c r="I40" s="10"/>
      <c r="J40" s="10"/>
      <c r="K40" s="10">
        <v>0.84999999999999942</v>
      </c>
      <c r="L40" s="10">
        <v>0.83000000000000018</v>
      </c>
      <c r="M40" s="10"/>
      <c r="N40" s="10"/>
    </row>
    <row r="41" spans="1:17" x14ac:dyDescent="0.35">
      <c r="A41" s="8" t="s">
        <v>5</v>
      </c>
      <c r="B41" s="10">
        <v>19.911000000000001</v>
      </c>
      <c r="C41" s="10">
        <v>22.248999999999999</v>
      </c>
      <c r="D41" s="10"/>
      <c r="E41" s="10"/>
      <c r="F41" s="10"/>
      <c r="G41" s="10">
        <v>9.2496730277629151</v>
      </c>
      <c r="H41" s="10">
        <v>9.8248469175435478</v>
      </c>
      <c r="I41" s="10"/>
      <c r="J41" s="10"/>
      <c r="K41" s="10">
        <v>0.80000000000000071</v>
      </c>
      <c r="L41" s="10">
        <v>0.83000000000000018</v>
      </c>
      <c r="M41" s="10"/>
      <c r="N41" s="10"/>
    </row>
    <row r="42" spans="1:17" x14ac:dyDescent="0.35">
      <c r="A42" s="9" t="s">
        <v>17</v>
      </c>
      <c r="B42" s="17" t="s">
        <v>38</v>
      </c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"/>
      <c r="P42" s="1"/>
      <c r="Q42" s="1"/>
    </row>
    <row r="43" spans="1:17" x14ac:dyDescent="0.35">
      <c r="A43" s="8" t="s">
        <v>3</v>
      </c>
      <c r="B43" s="10">
        <v>22.722000000000001</v>
      </c>
      <c r="C43" s="10">
        <v>22.271000000000001</v>
      </c>
      <c r="D43" s="11">
        <f>AVERAGE(B43:C46)</f>
        <v>21.244000000000003</v>
      </c>
      <c r="E43" s="12">
        <f>IF(D43-$A$54&gt;0,D43-$A$54,0)</f>
        <v>9.7440000000000033</v>
      </c>
      <c r="F43" s="12">
        <f>_xlfn.STDEV.P(B43:C46)</f>
        <v>1.0625144704896965</v>
      </c>
      <c r="G43" s="10">
        <v>22.994204859681119</v>
      </c>
      <c r="H43" s="10">
        <v>22.310260634229568</v>
      </c>
      <c r="I43" s="13">
        <f>AVERAGE(G43:H46)</f>
        <v>23.712346296405247</v>
      </c>
      <c r="J43" s="12">
        <f>_xlfn.STDEV.P(G43:H46)</f>
        <v>0.88978488873548722</v>
      </c>
      <c r="K43" s="10">
        <v>0.74999999999999933</v>
      </c>
      <c r="L43" s="10">
        <v>0.83000000000000018</v>
      </c>
      <c r="M43" s="10">
        <f>AVERAGE(K43:L46)</f>
        <v>0.81250000000000022</v>
      </c>
      <c r="N43" s="5">
        <f>M43-$A$63</f>
        <v>0.25875000000000048</v>
      </c>
      <c r="O43" s="12">
        <f>_xlfn.STDEV.P(K43:L46)</f>
        <v>4.1758232721225093E-2</v>
      </c>
    </row>
    <row r="44" spans="1:17" x14ac:dyDescent="0.35">
      <c r="A44" s="8" t="s">
        <v>4</v>
      </c>
      <c r="B44" s="10">
        <v>21.094999999999999</v>
      </c>
      <c r="C44" s="10">
        <v>21.08</v>
      </c>
      <c r="D44" s="10"/>
      <c r="E44" s="10"/>
      <c r="F44" s="10"/>
      <c r="G44" s="10">
        <v>23.404571394952047</v>
      </c>
      <c r="H44" s="10">
        <v>22.994204859681119</v>
      </c>
      <c r="I44" s="10"/>
      <c r="J44" s="10"/>
      <c r="K44" s="10">
        <v>0.78000000000000014</v>
      </c>
      <c r="L44" s="10">
        <v>0.83000000000000018</v>
      </c>
      <c r="M44" s="10"/>
      <c r="N44" s="10"/>
    </row>
    <row r="45" spans="1:17" x14ac:dyDescent="0.35">
      <c r="A45" s="8" t="s">
        <v>7</v>
      </c>
      <c r="B45" s="10">
        <v>18.98</v>
      </c>
      <c r="C45" s="10">
        <v>20.989000000000001</v>
      </c>
      <c r="D45" s="11"/>
      <c r="E45" s="10"/>
      <c r="F45" s="10"/>
      <c r="G45" s="10">
        <v>24.156910042948756</v>
      </c>
      <c r="H45" s="10">
        <v>24.293698888039064</v>
      </c>
      <c r="I45" s="10"/>
      <c r="J45" s="10"/>
      <c r="K45" s="10">
        <v>0.89999999999999947</v>
      </c>
      <c r="L45" s="10">
        <v>0.81999999999999984</v>
      </c>
      <c r="M45" s="10"/>
      <c r="N45" s="10"/>
    </row>
    <row r="46" spans="1:17" x14ac:dyDescent="0.35">
      <c r="A46" s="8" t="s">
        <v>5</v>
      </c>
      <c r="B46" s="10">
        <v>20.908000000000001</v>
      </c>
      <c r="C46" s="10">
        <v>21.907</v>
      </c>
      <c r="D46" s="10"/>
      <c r="E46" s="10"/>
      <c r="F46" s="10"/>
      <c r="G46" s="10">
        <v>24.293698888039064</v>
      </c>
      <c r="H46" s="10">
        <v>25.251220803671238</v>
      </c>
      <c r="I46" s="10"/>
      <c r="J46" s="10"/>
      <c r="K46" s="10">
        <v>0.79000000000000048</v>
      </c>
      <c r="L46" s="10">
        <v>0.80000000000000071</v>
      </c>
      <c r="M46" s="10"/>
      <c r="N46" s="10"/>
    </row>
    <row r="47" spans="1:17" x14ac:dyDescent="0.35">
      <c r="A47" s="9" t="s">
        <v>17</v>
      </c>
      <c r="B47" s="17" t="s">
        <v>40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"/>
      <c r="P47" s="1"/>
    </row>
    <row r="48" spans="1:17" x14ac:dyDescent="0.35">
      <c r="A48" s="8" t="s">
        <v>6</v>
      </c>
      <c r="B48" s="10">
        <v>19.765000000000001</v>
      </c>
      <c r="C48" s="10">
        <v>18.126000000000001</v>
      </c>
      <c r="D48" s="11">
        <f>AVERAGE(B48:C51)</f>
        <v>19.442124999999997</v>
      </c>
      <c r="E48" s="12">
        <f>IF(D48-$A$54&gt;0,D48-$A$54,0)</f>
        <v>7.9421249999999972</v>
      </c>
      <c r="F48" s="12">
        <f>_xlfn.STDEV.P(B48:C51)</f>
        <v>1.1168917178379467</v>
      </c>
      <c r="G48" s="10">
        <v>12.729475060935735</v>
      </c>
      <c r="H48" s="10">
        <v>14.426238035788598</v>
      </c>
      <c r="I48" s="13">
        <f>AVERAGE(G48:H51)</f>
        <v>10.914082471315618</v>
      </c>
      <c r="J48" s="12">
        <f>_xlfn.STDEV.P(G48:H51)</f>
        <v>2.4109512170925509</v>
      </c>
      <c r="K48" s="10">
        <v>0.68999999999999895</v>
      </c>
      <c r="L48" s="10">
        <v>0.63</v>
      </c>
      <c r="M48" s="10">
        <f>AVERAGE(K48:L51)</f>
        <v>0.67500000000000004</v>
      </c>
      <c r="N48" s="5">
        <f>M48-$A$63</f>
        <v>0.1212500000000003</v>
      </c>
      <c r="O48" s="12">
        <f>_xlfn.STDEV.P(K48:L51)</f>
        <v>3.0413812651491009E-2</v>
      </c>
    </row>
    <row r="49" spans="1:14" x14ac:dyDescent="0.35">
      <c r="A49" s="8" t="s">
        <v>1</v>
      </c>
      <c r="B49" s="10">
        <v>20.041</v>
      </c>
      <c r="C49" s="10">
        <v>17.888000000000002</v>
      </c>
      <c r="D49" s="10"/>
      <c r="E49" s="10"/>
      <c r="F49" s="10"/>
      <c r="G49" s="10">
        <v>9.4797425836751685</v>
      </c>
      <c r="H49" s="10">
        <v>11.521609892396413</v>
      </c>
      <c r="I49" s="10"/>
      <c r="J49" s="10"/>
      <c r="K49" s="10">
        <v>0.70000000000000062</v>
      </c>
      <c r="L49" s="10">
        <v>0.66999999999999971</v>
      </c>
      <c r="M49" s="10"/>
      <c r="N49" s="10"/>
    </row>
    <row r="50" spans="1:14" x14ac:dyDescent="0.35">
      <c r="A50" s="8" t="s">
        <v>2</v>
      </c>
      <c r="B50" s="10">
        <v>20.091000000000001</v>
      </c>
      <c r="C50" s="10">
        <v>18.189</v>
      </c>
      <c r="D50" s="10"/>
      <c r="E50" s="10"/>
      <c r="F50" s="10"/>
      <c r="G50" s="10">
        <v>6.57511444028298</v>
      </c>
      <c r="H50" s="10">
        <v>8.3581534986029364</v>
      </c>
      <c r="I50" s="10"/>
      <c r="J50" s="10"/>
      <c r="K50" s="10">
        <v>0.70000000000000062</v>
      </c>
      <c r="L50" s="10">
        <v>0.71999999999999975</v>
      </c>
      <c r="M50" s="10"/>
      <c r="N50" s="10"/>
    </row>
    <row r="51" spans="1:14" x14ac:dyDescent="0.35">
      <c r="A51" s="8" t="s">
        <v>5</v>
      </c>
      <c r="B51" s="10">
        <v>20.474</v>
      </c>
      <c r="C51" s="10">
        <v>20.963000000000001</v>
      </c>
      <c r="D51" s="10"/>
      <c r="E51" s="10"/>
      <c r="F51" s="10"/>
      <c r="G51" s="10">
        <v>12.441888116045419</v>
      </c>
      <c r="H51" s="10">
        <v>11.780438142797696</v>
      </c>
      <c r="I51" s="10"/>
      <c r="J51" s="10"/>
      <c r="K51" s="10">
        <v>0.65000000000000058</v>
      </c>
      <c r="L51" s="10">
        <v>0.64000000000000035</v>
      </c>
      <c r="M51" s="10"/>
      <c r="N51" s="10"/>
    </row>
    <row r="53" spans="1:14" x14ac:dyDescent="0.35">
      <c r="A53" s="6" t="s">
        <v>27</v>
      </c>
    </row>
    <row r="54" spans="1:14" x14ac:dyDescent="0.35">
      <c r="A54" s="10">
        <v>11.5</v>
      </c>
    </row>
    <row r="56" spans="1:14" x14ac:dyDescent="0.35">
      <c r="A56" s="6" t="s">
        <v>28</v>
      </c>
    </row>
    <row r="57" spans="1:14" x14ac:dyDescent="0.35">
      <c r="A57" s="10">
        <v>8.5224852726570823</v>
      </c>
    </row>
    <row r="59" spans="1:14" x14ac:dyDescent="0.35">
      <c r="A59" s="6" t="s">
        <v>56</v>
      </c>
    </row>
    <row r="60" spans="1:14" x14ac:dyDescent="0.35">
      <c r="A60" s="2">
        <v>0.62888888888888905</v>
      </c>
    </row>
    <row r="62" spans="1:14" x14ac:dyDescent="0.35">
      <c r="A62" s="6" t="s">
        <v>57</v>
      </c>
    </row>
    <row r="63" spans="1:14" x14ac:dyDescent="0.35">
      <c r="A63" s="2">
        <v>0.55374999999999974</v>
      </c>
    </row>
    <row r="65" spans="1:1" x14ac:dyDescent="0.35">
      <c r="A65" s="6" t="s">
        <v>62</v>
      </c>
    </row>
    <row r="66" spans="1:1" x14ac:dyDescent="0.35">
      <c r="A66" s="2">
        <v>29.214139643587497</v>
      </c>
    </row>
  </sheetData>
  <mergeCells count="10">
    <mergeCell ref="B2:N2"/>
    <mergeCell ref="B7:N7"/>
    <mergeCell ref="B12:N12"/>
    <mergeCell ref="B42:N42"/>
    <mergeCell ref="B17:N17"/>
    <mergeCell ref="B47:N47"/>
    <mergeCell ref="B22:N22"/>
    <mergeCell ref="B27:N27"/>
    <mergeCell ref="B32:N32"/>
    <mergeCell ref="B37:N3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31"/>
  <sheetViews>
    <sheetView tabSelected="1" topLeftCell="A5" zoomScale="48" zoomScaleNormal="100" workbookViewId="0">
      <selection activeCell="C14" sqref="C14"/>
    </sheetView>
  </sheetViews>
  <sheetFormatPr defaultRowHeight="14.5" x14ac:dyDescent="0.35"/>
  <cols>
    <col min="2" max="2" width="12" bestFit="1" customWidth="1"/>
    <col min="4" max="4" width="10" bestFit="1" customWidth="1"/>
    <col min="6" max="6" width="10" bestFit="1" customWidth="1"/>
    <col min="7" max="8" width="10" customWidth="1"/>
    <col min="17" max="17" width="10.90625" bestFit="1" customWidth="1"/>
  </cols>
  <sheetData>
    <row r="1" spans="1:24" x14ac:dyDescent="0.35">
      <c r="B1" s="1" t="s">
        <v>47</v>
      </c>
      <c r="C1">
        <v>23.97</v>
      </c>
      <c r="D1" t="s">
        <v>48</v>
      </c>
    </row>
    <row r="2" spans="1:24" x14ac:dyDescent="0.35">
      <c r="B2" s="1" t="s">
        <v>10</v>
      </c>
      <c r="C2">
        <v>0.1</v>
      </c>
      <c r="E2" s="1"/>
      <c r="Q2" s="1"/>
      <c r="R2" s="1"/>
      <c r="S2" s="1"/>
      <c r="T2" s="1"/>
      <c r="U2" s="1"/>
      <c r="V2" s="1"/>
    </row>
    <row r="3" spans="1:24" x14ac:dyDescent="0.35">
      <c r="B3" s="1" t="s">
        <v>15</v>
      </c>
      <c r="C3">
        <v>1</v>
      </c>
      <c r="Q3" s="1"/>
      <c r="R3" s="1"/>
      <c r="S3" s="1"/>
      <c r="T3" s="1"/>
      <c r="U3" s="1"/>
      <c r="V3" s="1"/>
    </row>
    <row r="4" spans="1:24" x14ac:dyDescent="0.35">
      <c r="Q4" s="1"/>
      <c r="R4" s="1"/>
      <c r="S4" s="1"/>
      <c r="T4" s="1"/>
      <c r="U4" s="1"/>
      <c r="V4" s="1"/>
    </row>
    <row r="5" spans="1:24" ht="15.5" x14ac:dyDescent="0.35">
      <c r="A5" s="3" t="s">
        <v>9</v>
      </c>
      <c r="Q5" s="1"/>
      <c r="R5" s="1"/>
      <c r="S5" s="1"/>
      <c r="T5" s="1"/>
      <c r="U5" s="1"/>
      <c r="V5" s="1"/>
      <c r="W5" s="1"/>
      <c r="X5" s="1"/>
    </row>
    <row r="6" spans="1:24" x14ac:dyDescent="0.35">
      <c r="A6" s="1" t="s">
        <v>8</v>
      </c>
      <c r="B6" s="1" t="s">
        <v>13</v>
      </c>
      <c r="C6" s="1" t="s">
        <v>63</v>
      </c>
      <c r="D6" s="1" t="s">
        <v>0</v>
      </c>
      <c r="E6" s="1" t="s">
        <v>51</v>
      </c>
      <c r="F6" s="1" t="s">
        <v>0</v>
      </c>
      <c r="G6" s="1" t="s">
        <v>16</v>
      </c>
      <c r="H6" s="1" t="s">
        <v>0</v>
      </c>
      <c r="I6" s="1" t="s">
        <v>49</v>
      </c>
      <c r="J6" s="1"/>
      <c r="K6" s="1" t="s">
        <v>0</v>
      </c>
      <c r="L6" s="1" t="s">
        <v>50</v>
      </c>
      <c r="M6" s="1" t="s">
        <v>52</v>
      </c>
      <c r="N6" s="1" t="s">
        <v>0</v>
      </c>
      <c r="O6" s="1"/>
      <c r="P6" s="1"/>
      <c r="Q6" s="1" t="s">
        <v>64</v>
      </c>
      <c r="R6" s="1" t="s">
        <v>65</v>
      </c>
      <c r="S6" s="1"/>
      <c r="T6" s="1"/>
      <c r="U6" s="1"/>
      <c r="V6" s="1"/>
      <c r="W6" s="1"/>
      <c r="X6" s="1"/>
    </row>
    <row r="7" spans="1:24" x14ac:dyDescent="0.35">
      <c r="A7">
        <v>4.2</v>
      </c>
      <c r="B7" s="2">
        <f>'Raw values'!I3</f>
        <v>20.469466996117188</v>
      </c>
      <c r="C7" s="2">
        <f>'Raw values'!$A$66-'q rates'!B7</f>
        <v>8.7446726474703098</v>
      </c>
      <c r="D7" s="2">
        <f>'Raw values'!J3</f>
        <v>0.29834347872179651</v>
      </c>
      <c r="E7" s="2">
        <f>C7*$C$2</f>
        <v>0.87446726474703107</v>
      </c>
      <c r="F7" s="2">
        <f>D7*$C$2</f>
        <v>2.9834347872179652E-2</v>
      </c>
      <c r="G7" s="4">
        <f>'Raw values'!N3</f>
        <v>0.71611111111111136</v>
      </c>
      <c r="H7" s="4">
        <f>'Raw values'!O3</f>
        <v>5.809475019311125E-2</v>
      </c>
      <c r="I7" s="4">
        <f t="shared" ref="I7:I16" si="0">(G7/$C$1)*$C$3</f>
        <v>2.9875307096834017E-2</v>
      </c>
      <c r="J7" s="2">
        <f>'Raw values'!$A$66-('q rates'!B8*2)</f>
        <v>13.152092946007091</v>
      </c>
      <c r="K7" s="4">
        <f t="shared" ref="K7:K16" si="1">(H7/$C$1)*$C$3</f>
        <v>2.4236441465628391E-3</v>
      </c>
      <c r="L7" s="4">
        <f>E7/I7</f>
        <v>29.270569902851349</v>
      </c>
      <c r="M7" s="2">
        <f>AVERAGE(L7)</f>
        <v>29.270569902851349</v>
      </c>
      <c r="N7" s="2">
        <f>_xlfn.STDEV.P(L7)</f>
        <v>0</v>
      </c>
      <c r="O7" s="1"/>
      <c r="P7" s="1"/>
      <c r="Q7" s="14">
        <f>M7-N20/4</f>
        <v>29.270569902851349</v>
      </c>
      <c r="R7" s="15">
        <f>(M7-Q7)/M7</f>
        <v>0</v>
      </c>
      <c r="S7" s="16">
        <f>C7-B20</f>
        <v>8.7446726474703098</v>
      </c>
      <c r="T7" s="1"/>
      <c r="U7" s="1"/>
      <c r="V7" s="1"/>
      <c r="W7" s="1"/>
      <c r="X7" s="1"/>
    </row>
    <row r="8" spans="1:24" x14ac:dyDescent="0.35">
      <c r="A8">
        <v>4.2</v>
      </c>
      <c r="B8" s="2">
        <f>'Raw values'!I8</f>
        <v>8.0310233487902032</v>
      </c>
      <c r="C8" s="2">
        <f>'Raw values'!$A$66-'q rates'!B8</f>
        <v>21.183116294797294</v>
      </c>
      <c r="D8" s="2">
        <f>'Raw values'!J8</f>
        <v>0.44225259802406314</v>
      </c>
      <c r="E8" s="2">
        <f>C8*$C$2</f>
        <v>2.1183116294797295</v>
      </c>
      <c r="F8" s="2">
        <f t="shared" ref="F8:F16" si="2">D8*$C$2</f>
        <v>4.4225259802406318E-2</v>
      </c>
      <c r="G8" s="2">
        <f>'Raw values'!N8</f>
        <v>0.73361111111111077</v>
      </c>
      <c r="H8" s="2">
        <f>'Raw values'!O8</f>
        <v>3.7996710383926727E-2</v>
      </c>
      <c r="I8" s="4">
        <f t="shared" si="0"/>
        <v>3.0605386362582844E-2</v>
      </c>
      <c r="J8" s="2">
        <f>J7*$C$2</f>
        <v>1.3152092946007092</v>
      </c>
      <c r="K8" s="4">
        <f t="shared" si="1"/>
        <v>1.5851777381696592E-3</v>
      </c>
      <c r="L8" s="4">
        <f t="shared" ref="L8:L16" si="3">E8/I8</f>
        <v>69.213686910664478</v>
      </c>
      <c r="M8" s="2">
        <f>AVERAGE(L9:L10)</f>
        <v>38.503060439642219</v>
      </c>
      <c r="N8" s="2">
        <f>_xlfn.STDEV.P(L9:L10)</f>
        <v>5.5594219051266087</v>
      </c>
      <c r="O8" s="1"/>
      <c r="P8" s="1"/>
      <c r="Q8" s="14">
        <f t="shared" ref="Q8:Q11" si="4">M8-N21/4</f>
        <v>19.162360256609482</v>
      </c>
      <c r="R8" s="15">
        <f t="shared" ref="R8:R16" si="5">(M8-Q8)/M8</f>
        <v>0.50231591884368287</v>
      </c>
      <c r="S8" s="16"/>
      <c r="T8" s="1"/>
      <c r="U8" s="1"/>
      <c r="V8" s="1"/>
      <c r="W8" s="1"/>
      <c r="X8" s="1"/>
    </row>
    <row r="9" spans="1:24" x14ac:dyDescent="0.35">
      <c r="A9">
        <v>2.1</v>
      </c>
      <c r="B9" s="2">
        <f>'Raw values'!I13</f>
        <v>19.90469466996117</v>
      </c>
      <c r="C9" s="2">
        <f>'Raw values'!$A$66-'q rates'!B9</f>
        <v>9.3094449736263272</v>
      </c>
      <c r="D9" s="2">
        <f>'Raw values'!J13</f>
        <v>4.07247281254479</v>
      </c>
      <c r="E9" s="2">
        <f t="shared" ref="E9:E16" si="6">C9*$C$2</f>
        <v>0.93094449736263274</v>
      </c>
      <c r="F9" s="2">
        <f t="shared" si="2"/>
        <v>0.40724728125447901</v>
      </c>
      <c r="G9" s="4">
        <f>'Raw values'!N13</f>
        <v>0.67736111111111108</v>
      </c>
      <c r="H9" s="4">
        <f>'Raw values'!O13</f>
        <v>8.8732392619606693E-2</v>
      </c>
      <c r="I9" s="4">
        <f t="shared" si="0"/>
        <v>2.8258703008390118E-2</v>
      </c>
      <c r="J9">
        <f>J8/I8</f>
        <v>42.973131559895663</v>
      </c>
      <c r="K9" s="4">
        <f t="shared" si="1"/>
        <v>3.7018102886777929E-3</v>
      </c>
      <c r="L9" s="4">
        <f t="shared" si="3"/>
        <v>32.943638534515607</v>
      </c>
      <c r="M9" s="2">
        <f>AVERAGE(L11:L12)</f>
        <v>33.85408734377107</v>
      </c>
      <c r="N9" s="2">
        <f>_xlfn.STDEV.P(L11:L12)</f>
        <v>1.3549469545793222</v>
      </c>
      <c r="O9" s="1"/>
      <c r="P9" s="1"/>
      <c r="Q9" s="14">
        <f t="shared" si="4"/>
        <v>22.809710778649922</v>
      </c>
      <c r="R9" s="15">
        <f t="shared" si="5"/>
        <v>0.32623465677780977</v>
      </c>
      <c r="S9" s="16">
        <f t="shared" ref="S9:S15" si="7">C9-B22</f>
        <v>-10.991380898627828</v>
      </c>
      <c r="T9" s="1"/>
      <c r="U9" s="1"/>
      <c r="V9" s="1"/>
      <c r="W9" s="1"/>
      <c r="X9" s="1"/>
    </row>
    <row r="10" spans="1:24" x14ac:dyDescent="0.35">
      <c r="A10">
        <v>2</v>
      </c>
      <c r="B10" s="2">
        <f>'Raw values'!I18</f>
        <v>19.198314408425016</v>
      </c>
      <c r="C10" s="2">
        <f>'Raw values'!$A$66-'q rates'!B10</f>
        <v>10.015825235162481</v>
      </c>
      <c r="D10" s="2">
        <f>'Raw values'!J18</f>
        <v>1.2186880481497522</v>
      </c>
      <c r="E10" s="2">
        <f t="shared" si="6"/>
        <v>1.0015825235162481</v>
      </c>
      <c r="F10" s="2">
        <f t="shared" si="2"/>
        <v>0.12186880481497522</v>
      </c>
      <c r="G10" s="4">
        <f>'Raw values'!N18</f>
        <v>0.54486111111111124</v>
      </c>
      <c r="H10" s="4">
        <f>'Raw values'!O18</f>
        <v>7.7449580373297966E-2</v>
      </c>
      <c r="I10" s="4">
        <f t="shared" si="0"/>
        <v>2.2730959996291666E-2</v>
      </c>
      <c r="J10" s="2">
        <f>'Raw values'!$A$66-('q rates'!B14*2)</f>
        <v>11.218070741619716</v>
      </c>
      <c r="K10" s="4">
        <f t="shared" si="1"/>
        <v>3.231104729799665E-3</v>
      </c>
      <c r="L10" s="4">
        <f t="shared" si="3"/>
        <v>44.062482344768831</v>
      </c>
      <c r="M10" s="2">
        <f>AVERAGE(L13)</f>
        <v>32.556497573205206</v>
      </c>
      <c r="N10" s="2">
        <f>_xlfn.STDEV.P(L13)</f>
        <v>0</v>
      </c>
      <c r="O10" s="1"/>
      <c r="P10" s="1"/>
      <c r="Q10" s="14">
        <f t="shared" si="4"/>
        <v>14.802681752146647</v>
      </c>
      <c r="R10" s="15">
        <f t="shared" si="5"/>
        <v>0.54532327321567853</v>
      </c>
      <c r="S10" s="16">
        <f t="shared" si="7"/>
        <v>-8.8250497648375195</v>
      </c>
      <c r="T10" s="1"/>
      <c r="U10" s="1"/>
      <c r="V10" s="1"/>
      <c r="W10" s="1"/>
      <c r="X10" s="1"/>
    </row>
    <row r="11" spans="1:24" x14ac:dyDescent="0.35">
      <c r="A11">
        <v>1.05</v>
      </c>
      <c r="B11" s="2">
        <f>'Raw values'!I23</f>
        <v>23.758824567596186</v>
      </c>
      <c r="C11" s="2">
        <f>'Raw values'!$A$66-'q rates'!B11</f>
        <v>5.4553150759913116</v>
      </c>
      <c r="D11" s="2">
        <f>'Raw values'!J23</f>
        <v>1.05958907754821</v>
      </c>
      <c r="E11" s="2">
        <f t="shared" si="6"/>
        <v>0.54553150759913116</v>
      </c>
      <c r="F11" s="2">
        <f t="shared" si="2"/>
        <v>0.105958907754821</v>
      </c>
      <c r="G11" s="4">
        <f>'Raw values'!N23</f>
        <v>0.40236111111111095</v>
      </c>
      <c r="H11" s="4">
        <f>'Raw values'!O23</f>
        <v>2.8476964374736274E-2</v>
      </c>
      <c r="I11" s="4">
        <f t="shared" si="0"/>
        <v>1.6786028832336711E-2</v>
      </c>
      <c r="J11" s="2">
        <f>J10*$C$2</f>
        <v>1.1218070741619717</v>
      </c>
      <c r="K11" s="4">
        <f t="shared" si="1"/>
        <v>1.1880252137979254E-3</v>
      </c>
      <c r="L11" s="4">
        <f t="shared" si="3"/>
        <v>32.499140389191744</v>
      </c>
      <c r="M11" s="2">
        <f>AVERAGE(L15)</f>
        <v>50.967337790128802</v>
      </c>
      <c r="N11" s="2">
        <f>_xlfn.STDEV.P(L15)</f>
        <v>0</v>
      </c>
      <c r="O11" s="1"/>
      <c r="P11" s="1"/>
      <c r="Q11" s="14">
        <f t="shared" si="4"/>
        <v>20.058012941406329</v>
      </c>
      <c r="R11" s="15">
        <f t="shared" si="5"/>
        <v>0.60645358751127265</v>
      </c>
      <c r="S11" s="16">
        <f t="shared" si="7"/>
        <v>-3.8297318817800914</v>
      </c>
      <c r="T11" s="1"/>
      <c r="U11" s="1"/>
      <c r="V11" s="1"/>
      <c r="W11" s="1"/>
      <c r="X11" s="1"/>
    </row>
    <row r="12" spans="1:24" x14ac:dyDescent="0.35">
      <c r="A12">
        <v>1.05</v>
      </c>
      <c r="B12" s="2">
        <f>'Raw values'!I28</f>
        <v>25.35774886877828</v>
      </c>
      <c r="C12" s="2">
        <f>'Raw values'!$A$66-'q rates'!B12</f>
        <v>3.856390774809217</v>
      </c>
      <c r="D12" s="2">
        <f>'Raw values'!J28</f>
        <v>0.89181852676076168</v>
      </c>
      <c r="E12" s="2">
        <f t="shared" si="6"/>
        <v>0.38563907748092174</v>
      </c>
      <c r="F12" s="2">
        <f t="shared" si="2"/>
        <v>8.9181852676076173E-2</v>
      </c>
      <c r="G12" s="2">
        <f>'Raw values'!N28</f>
        <v>0.26253968253968218</v>
      </c>
      <c r="H12" s="2">
        <f>'Raw values'!O28</f>
        <v>3.6811710647786169E-2</v>
      </c>
      <c r="I12" s="4">
        <f t="shared" si="0"/>
        <v>1.095284449477189E-2</v>
      </c>
      <c r="J12">
        <f>J11/I14</f>
        <v>98.677855294174179</v>
      </c>
      <c r="K12" s="4">
        <f t="shared" si="1"/>
        <v>1.5357409531825687E-3</v>
      </c>
      <c r="L12" s="4">
        <f t="shared" si="3"/>
        <v>35.209034298350389</v>
      </c>
      <c r="M12" s="2">
        <f>AVERAGE(L7:L8)</f>
        <v>49.242128406757914</v>
      </c>
      <c r="N12" s="2">
        <f>_xlfn.STDEV.P(L7:L8)</f>
        <v>19.971558503906564</v>
      </c>
      <c r="O12" s="1"/>
      <c r="P12" s="1"/>
      <c r="Q12" s="14">
        <f>M12-N20/4</f>
        <v>49.242128406757914</v>
      </c>
      <c r="R12" s="15">
        <f t="shared" si="5"/>
        <v>0</v>
      </c>
      <c r="S12" s="16">
        <f t="shared" si="7"/>
        <v>0.23747504140342279</v>
      </c>
      <c r="T12" s="1"/>
      <c r="U12" s="1"/>
      <c r="V12" s="1"/>
      <c r="W12" s="1"/>
      <c r="X12" s="1"/>
    </row>
    <row r="13" spans="1:24" x14ac:dyDescent="0.35">
      <c r="A13">
        <v>0.42</v>
      </c>
      <c r="B13" s="2">
        <f>'Raw values'!I33</f>
        <v>26.022326156018355</v>
      </c>
      <c r="C13" s="2">
        <f>'Raw values'!$A$66-'q rates'!B13</f>
        <v>3.1918134875691422</v>
      </c>
      <c r="D13" s="2">
        <f>'Raw values'!J33</f>
        <v>0.52877038044583202</v>
      </c>
      <c r="E13" s="2">
        <f t="shared" si="6"/>
        <v>0.31918134875691423</v>
      </c>
      <c r="F13" s="2">
        <f t="shared" si="2"/>
        <v>5.2877038044583206E-2</v>
      </c>
      <c r="G13" s="4">
        <f>'Raw values'!N33</f>
        <v>0.23500000000000032</v>
      </c>
      <c r="H13" s="4">
        <f>'Raw values'!O33</f>
        <v>3.6890886408434069E-2</v>
      </c>
      <c r="I13" s="4">
        <f t="shared" si="0"/>
        <v>9.8039215686274647E-3</v>
      </c>
      <c r="J13" s="2">
        <f>'Raw values'!$A$66-('q rates'!B16*2)</f>
        <v>7.3859747009562611</v>
      </c>
      <c r="K13" s="4">
        <f t="shared" si="1"/>
        <v>1.5390440721082216E-3</v>
      </c>
      <c r="L13" s="4">
        <f t="shared" si="3"/>
        <v>32.556497573205206</v>
      </c>
      <c r="M13" s="2">
        <f>AVERAGE(L9:L10)</f>
        <v>38.503060439642219</v>
      </c>
      <c r="N13" s="2">
        <f>_xlfn.STDEV.P(L9:L10)</f>
        <v>5.5594219051266087</v>
      </c>
      <c r="O13" s="1"/>
      <c r="P13" s="1"/>
      <c r="Q13" s="14">
        <f t="shared" ref="Q13:Q16" si="8">M13-N21/4</f>
        <v>19.162360256609482</v>
      </c>
      <c r="R13" s="15">
        <f t="shared" si="5"/>
        <v>0.50231591884368287</v>
      </c>
      <c r="S13" s="16">
        <f t="shared" si="7"/>
        <v>1.006580040939296</v>
      </c>
      <c r="T13" s="1"/>
      <c r="U13" s="1"/>
      <c r="V13" s="1"/>
      <c r="W13" s="1"/>
      <c r="X13" s="1"/>
    </row>
    <row r="14" spans="1:24" x14ac:dyDescent="0.35">
      <c r="A14">
        <v>0.42</v>
      </c>
      <c r="B14" s="2">
        <f>'Raw values'!I38</f>
        <v>8.9980344509838908</v>
      </c>
      <c r="C14" s="2">
        <f>'Raw values'!$A$66-'q rates'!B14</f>
        <v>20.216105192603607</v>
      </c>
      <c r="D14" s="2">
        <f>'Raw values'!J38</f>
        <v>1.3362545659063356</v>
      </c>
      <c r="E14" s="2">
        <f t="shared" si="6"/>
        <v>2.0216105192603608</v>
      </c>
      <c r="F14" s="2">
        <f t="shared" si="2"/>
        <v>0.13362545659063357</v>
      </c>
      <c r="G14" s="4">
        <f>'Raw values'!N38</f>
        <v>0.27249999999999996</v>
      </c>
      <c r="H14" s="4">
        <f>'Raw values'!O38</f>
        <v>1.7275343701356301E-2</v>
      </c>
      <c r="I14" s="4">
        <f t="shared" si="0"/>
        <v>1.1368377138089277E-2</v>
      </c>
      <c r="J14" s="2">
        <f>J13*$C$2</f>
        <v>0.73859747009562615</v>
      </c>
      <c r="K14" s="4">
        <f t="shared" si="1"/>
        <v>7.207068711454444E-4</v>
      </c>
      <c r="L14" s="4">
        <f t="shared" si="3"/>
        <v>177.82753815292057</v>
      </c>
      <c r="M14" s="2">
        <f>AVERAGE(L11:L12)</f>
        <v>33.85408734377107</v>
      </c>
      <c r="N14" s="2">
        <f>_xlfn.STDEV.P(L11:L12)</f>
        <v>1.3549469545793222</v>
      </c>
      <c r="O14" s="1"/>
      <c r="P14" s="1"/>
      <c r="Q14" s="14">
        <f t="shared" si="8"/>
        <v>22.809710778649922</v>
      </c>
      <c r="R14" s="15">
        <f t="shared" si="5"/>
        <v>0.32623465677780977</v>
      </c>
      <c r="S14" s="16"/>
      <c r="T14" s="1"/>
      <c r="U14" s="1"/>
      <c r="V14" s="1"/>
      <c r="W14" s="1"/>
      <c r="X14" s="1"/>
    </row>
    <row r="15" spans="1:24" x14ac:dyDescent="0.35">
      <c r="A15">
        <v>0.25</v>
      </c>
      <c r="B15" s="2">
        <f>'Raw values'!I43</f>
        <v>23.712346296405247</v>
      </c>
      <c r="C15" s="2">
        <f>'Raw values'!$A$66-'q rates'!B15</f>
        <v>5.5017933471822502</v>
      </c>
      <c r="D15" s="2">
        <f>'Raw values'!J43</f>
        <v>0.88978488873548722</v>
      </c>
      <c r="E15" s="2">
        <f t="shared" si="6"/>
        <v>0.550179334718225</v>
      </c>
      <c r="F15" s="2">
        <f t="shared" si="2"/>
        <v>8.8978488873548728E-2</v>
      </c>
      <c r="G15" s="4">
        <f>'Raw values'!N43</f>
        <v>0.25875000000000048</v>
      </c>
      <c r="H15" s="4">
        <f>'Raw values'!O43</f>
        <v>4.1758232721225093E-2</v>
      </c>
      <c r="I15" s="4">
        <f t="shared" si="0"/>
        <v>1.079474342928663E-2</v>
      </c>
      <c r="J15">
        <f>J14/I16</f>
        <v>146.01386687168753</v>
      </c>
      <c r="K15" s="4">
        <f t="shared" si="1"/>
        <v>1.7421039933760991E-3</v>
      </c>
      <c r="L15" s="4">
        <f t="shared" si="3"/>
        <v>50.967337790128802</v>
      </c>
      <c r="M15" s="2">
        <f>AVERAGE(L13:L14)</f>
        <v>105.19201786306289</v>
      </c>
      <c r="N15" s="2">
        <f>_xlfn.STDEV.P(L13:L14)</f>
        <v>72.635520289857666</v>
      </c>
      <c r="O15" s="1"/>
      <c r="P15" s="1"/>
      <c r="Q15" s="14">
        <f t="shared" si="8"/>
        <v>87.43820204200432</v>
      </c>
      <c r="R15" s="15">
        <f t="shared" si="5"/>
        <v>0.16877531377114727</v>
      </c>
      <c r="S15" s="16">
        <f t="shared" si="7"/>
        <v>-4.2422066528177531</v>
      </c>
      <c r="T15" s="1"/>
      <c r="U15" s="1"/>
      <c r="V15" s="1"/>
      <c r="W15" s="1"/>
      <c r="X15" s="1"/>
    </row>
    <row r="16" spans="1:24" x14ac:dyDescent="0.35">
      <c r="A16">
        <v>0.25</v>
      </c>
      <c r="B16" s="2">
        <f>'Raw values'!I48</f>
        <v>10.914082471315618</v>
      </c>
      <c r="C16" s="2">
        <f>'Raw values'!$A$66-'q rates'!B16</f>
        <v>18.300057172271877</v>
      </c>
      <c r="D16" s="2">
        <f>'Raw values'!J48</f>
        <v>2.4109512170925509</v>
      </c>
      <c r="E16" s="2">
        <f t="shared" si="6"/>
        <v>1.8300057172271877</v>
      </c>
      <c r="F16" s="2">
        <f t="shared" si="2"/>
        <v>0.24109512170925509</v>
      </c>
      <c r="G16" s="2">
        <f>'Raw values'!N48</f>
        <v>0.1212500000000003</v>
      </c>
      <c r="H16" s="2">
        <f>'Raw values'!O48</f>
        <v>3.0413812651491009E-2</v>
      </c>
      <c r="I16" s="4">
        <f t="shared" si="0"/>
        <v>5.058406341259921E-3</v>
      </c>
      <c r="K16" s="4">
        <f t="shared" si="1"/>
        <v>1.2688282290984985E-3</v>
      </c>
      <c r="L16" s="4">
        <f t="shared" si="3"/>
        <v>361.77515086132439</v>
      </c>
      <c r="M16" s="2">
        <f>AVERAGE(L15:L16)</f>
        <v>206.37124432572659</v>
      </c>
      <c r="N16" s="2">
        <f>_xlfn.STDEV.P(L15:L16)</f>
        <v>155.40390653559783</v>
      </c>
      <c r="O16" s="1"/>
      <c r="P16" s="1"/>
      <c r="Q16" s="14">
        <f t="shared" si="8"/>
        <v>175.46191947700413</v>
      </c>
      <c r="R16" s="15">
        <f t="shared" si="5"/>
        <v>0.14977534757670333</v>
      </c>
      <c r="S16" s="16"/>
      <c r="T16" s="1"/>
      <c r="U16" s="1"/>
      <c r="V16" s="1"/>
      <c r="W16" s="1"/>
      <c r="X16" s="1"/>
    </row>
    <row r="17" spans="1:22" x14ac:dyDescent="0.35">
      <c r="Q17" s="1"/>
      <c r="R17" s="1"/>
      <c r="S17" s="1"/>
      <c r="T17" s="1"/>
      <c r="U17" s="1"/>
      <c r="V17" s="1"/>
    </row>
    <row r="18" spans="1:22" ht="15.5" x14ac:dyDescent="0.35">
      <c r="A18" s="3" t="s">
        <v>11</v>
      </c>
      <c r="Q18" s="1"/>
      <c r="R18" s="1"/>
      <c r="S18" s="1"/>
      <c r="T18" s="1"/>
      <c r="U18" s="1"/>
      <c r="V18" s="1"/>
    </row>
    <row r="19" spans="1:22" x14ac:dyDescent="0.35">
      <c r="A19" s="1" t="s">
        <v>8</v>
      </c>
      <c r="B19" s="1" t="s">
        <v>12</v>
      </c>
      <c r="C19" s="1" t="s">
        <v>0</v>
      </c>
      <c r="D19" s="1" t="s">
        <v>46</v>
      </c>
      <c r="E19" s="1" t="s">
        <v>0</v>
      </c>
      <c r="F19" s="1" t="s">
        <v>16</v>
      </c>
      <c r="G19" s="1" t="s">
        <v>0</v>
      </c>
      <c r="H19" s="1" t="s">
        <v>54</v>
      </c>
      <c r="I19" s="1" t="s">
        <v>49</v>
      </c>
      <c r="J19" s="1" t="s">
        <v>55</v>
      </c>
      <c r="K19" s="1" t="s">
        <v>0</v>
      </c>
      <c r="L19" s="1" t="s">
        <v>14</v>
      </c>
      <c r="M19" s="1" t="s">
        <v>14</v>
      </c>
      <c r="N19" s="1" t="s">
        <v>52</v>
      </c>
      <c r="O19" s="1" t="s">
        <v>53</v>
      </c>
      <c r="P19" s="1"/>
      <c r="Q19" s="1"/>
      <c r="S19" s="1"/>
      <c r="T19" s="1"/>
      <c r="U19" s="1"/>
      <c r="V19" s="1"/>
    </row>
    <row r="20" spans="1:22" x14ac:dyDescent="0.35">
      <c r="A20">
        <v>4.2</v>
      </c>
      <c r="B20" s="2">
        <f>'Raw values'!E3</f>
        <v>0</v>
      </c>
      <c r="C20" s="2">
        <f>'Raw values'!F3</f>
        <v>0.7790344570114951</v>
      </c>
      <c r="D20" s="2">
        <f>B20*$C$2</f>
        <v>0</v>
      </c>
      <c r="E20" s="2">
        <f>C20*$C$2</f>
        <v>7.7903445701149515E-2</v>
      </c>
      <c r="F20" s="4">
        <f>'Raw values'!N3</f>
        <v>0.71611111111111136</v>
      </c>
      <c r="G20" s="4">
        <f>'Raw values'!O3</f>
        <v>5.809475019311125E-2</v>
      </c>
      <c r="H20" s="4">
        <f>'Raw values'!M3</f>
        <v>1.3450000000000004</v>
      </c>
      <c r="I20" s="4">
        <f>(F20/$C$1)*$C$3</f>
        <v>2.9875307096834017E-2</v>
      </c>
      <c r="J20" s="4">
        <f>(H20/$C$1)*$C$3</f>
        <v>5.6111806424697562E-2</v>
      </c>
      <c r="K20" s="4">
        <f>(G20/$C$1)*$C$3</f>
        <v>2.4236441465628391E-3</v>
      </c>
      <c r="L20" s="4">
        <f>D20/I20</f>
        <v>0</v>
      </c>
      <c r="M20" s="4">
        <f>E20/J20</f>
        <v>1.388361036027177</v>
      </c>
      <c r="N20" s="2">
        <f>AVERAGE(L20:L21)</f>
        <v>0</v>
      </c>
      <c r="O20" s="2">
        <f>_xlfn.STDEV.P(L20:L21)</f>
        <v>0</v>
      </c>
      <c r="P20" s="2">
        <v>4.2</v>
      </c>
      <c r="Q20" s="4"/>
      <c r="V20" s="1"/>
    </row>
    <row r="21" spans="1:22" x14ac:dyDescent="0.35">
      <c r="A21">
        <v>4.2</v>
      </c>
      <c r="B21" s="2">
        <f>'Raw values'!E8</f>
        <v>0</v>
      </c>
      <c r="C21" s="2">
        <f>'Raw values'!F8</f>
        <v>3.6715050728550005</v>
      </c>
      <c r="D21" s="2">
        <f t="shared" ref="D21:D29" si="9">B21*$C$2</f>
        <v>0</v>
      </c>
      <c r="E21" s="2">
        <f t="shared" ref="E21:E29" si="10">C21*$C$2</f>
        <v>0.36715050728550008</v>
      </c>
      <c r="F21" s="2">
        <f>'Raw values'!N8</f>
        <v>0.73361111111111077</v>
      </c>
      <c r="G21" s="2">
        <f>'Raw values'!O8</f>
        <v>3.7996710383926727E-2</v>
      </c>
      <c r="H21" s="2">
        <f>'Raw values'!M8</f>
        <v>1.3624999999999998</v>
      </c>
      <c r="I21" s="4">
        <f t="shared" ref="I21:I29" si="11">(F21/$C$1)*$C$3</f>
        <v>3.0605386362582844E-2</v>
      </c>
      <c r="J21" s="4">
        <f t="shared" ref="J21:J29" si="12">(H21/$C$1)*$C$3</f>
        <v>5.6841885690446389E-2</v>
      </c>
      <c r="K21" s="4">
        <f t="shared" ref="K21:K29" si="13">(G21/$C$1)*$C$3</f>
        <v>1.5851777381696592E-3</v>
      </c>
      <c r="L21" s="4">
        <f t="shared" ref="L21:L29" si="14">D21/I21</f>
        <v>0</v>
      </c>
      <c r="M21" s="4">
        <f t="shared" ref="M21:M29" si="15">E21/J21</f>
        <v>6.459154245602523</v>
      </c>
      <c r="N21" s="2">
        <f>AVERAGE(L22:L23)</f>
        <v>77.36280073213095</v>
      </c>
      <c r="O21" s="2">
        <f>_xlfn.STDEV.P(L22:L23)</f>
        <v>5.5236017914479305</v>
      </c>
      <c r="P21" s="2">
        <v>2.0499999999999998</v>
      </c>
      <c r="V21" s="1"/>
    </row>
    <row r="22" spans="1:22" x14ac:dyDescent="0.35">
      <c r="A22">
        <v>2.1</v>
      </c>
      <c r="B22" s="2">
        <f>'Raw values'!E13</f>
        <v>20.300825872254155</v>
      </c>
      <c r="C22" s="2">
        <f>'Raw values'!F13</f>
        <v>4.0300174158184987</v>
      </c>
      <c r="D22" s="2">
        <f t="shared" si="9"/>
        <v>2.0300825872254156</v>
      </c>
      <c r="E22" s="2">
        <f t="shared" si="10"/>
        <v>0.40300174158184987</v>
      </c>
      <c r="F22" s="4">
        <f>'Raw values'!N13</f>
        <v>0.67736111111111108</v>
      </c>
      <c r="G22" s="4">
        <f>'Raw values'!O13</f>
        <v>8.8732392619606693E-2</v>
      </c>
      <c r="H22" s="4">
        <f>'Raw values'!M13</f>
        <v>1.3062500000000001</v>
      </c>
      <c r="I22" s="4">
        <f t="shared" si="11"/>
        <v>2.8258703008390118E-2</v>
      </c>
      <c r="J22" s="4">
        <f t="shared" si="12"/>
        <v>5.4495202336253656E-2</v>
      </c>
      <c r="K22" s="4">
        <f t="shared" si="13"/>
        <v>3.7018102886777929E-3</v>
      </c>
      <c r="L22" s="4">
        <f t="shared" si="14"/>
        <v>71.839198940683019</v>
      </c>
      <c r="M22" s="4">
        <f t="shared" si="15"/>
        <v>7.3951783699268443</v>
      </c>
      <c r="N22" s="2">
        <f>AVERAGE(L24:L25)</f>
        <v>44.177506260484584</v>
      </c>
      <c r="O22" s="2">
        <f>_xlfn.STDEV.P(L24:L25)</f>
        <v>11.136630576243768</v>
      </c>
      <c r="P22" s="2">
        <v>1.05</v>
      </c>
      <c r="Q22" s="4"/>
      <c r="V22" s="1"/>
    </row>
    <row r="23" spans="1:22" x14ac:dyDescent="0.35">
      <c r="A23">
        <v>2</v>
      </c>
      <c r="B23" s="2">
        <f>'Raw values'!E18</f>
        <v>18.840875</v>
      </c>
      <c r="C23" s="2">
        <f>'Raw values'!F18</f>
        <v>2.6087805310863166</v>
      </c>
      <c r="D23" s="2">
        <f t="shared" si="9"/>
        <v>1.8840875000000001</v>
      </c>
      <c r="E23" s="2">
        <f t="shared" si="10"/>
        <v>0.26087805310863166</v>
      </c>
      <c r="F23" s="4">
        <f>'Raw values'!N18</f>
        <v>0.54486111111111124</v>
      </c>
      <c r="G23" s="4">
        <f>'Raw values'!O18</f>
        <v>7.7449580373297966E-2</v>
      </c>
      <c r="H23" s="4">
        <f>'Raw values'!M18</f>
        <v>1.1737500000000003</v>
      </c>
      <c r="I23" s="4">
        <f t="shared" si="11"/>
        <v>2.2730959996291666E-2</v>
      </c>
      <c r="J23" s="4">
        <f t="shared" si="12"/>
        <v>4.8967459324155208E-2</v>
      </c>
      <c r="K23" s="4">
        <f t="shared" si="13"/>
        <v>3.231104729799665E-3</v>
      </c>
      <c r="L23" s="4">
        <f t="shared" si="14"/>
        <v>82.88640252357888</v>
      </c>
      <c r="M23" s="4">
        <f t="shared" si="15"/>
        <v>5.3275799216305852</v>
      </c>
      <c r="N23" s="2">
        <f>AVERAGE(L26:L27)</f>
        <v>71.015263284234237</v>
      </c>
      <c r="O23" s="2">
        <f>_xlfn.STDEV.P(L26:L27)</f>
        <v>48.72588212860984</v>
      </c>
      <c r="P23" s="2">
        <v>0.42</v>
      </c>
      <c r="Q23" s="4"/>
      <c r="V23" s="1"/>
    </row>
    <row r="24" spans="1:22" x14ac:dyDescent="0.35">
      <c r="A24">
        <v>1.05</v>
      </c>
      <c r="B24" s="2">
        <f>'Raw values'!E23</f>
        <v>9.285046957771403</v>
      </c>
      <c r="C24" s="2">
        <f>'Raw values'!F23</f>
        <v>1.539513943625292</v>
      </c>
      <c r="D24" s="2">
        <f t="shared" si="9"/>
        <v>0.92850469577714034</v>
      </c>
      <c r="E24" s="2">
        <f t="shared" si="10"/>
        <v>0.15395139436252922</v>
      </c>
      <c r="F24" s="4">
        <f>'Raw values'!N23</f>
        <v>0.40236111111111095</v>
      </c>
      <c r="G24" s="4">
        <f>'Raw values'!O23</f>
        <v>2.8476964374736274E-2</v>
      </c>
      <c r="H24" s="4">
        <f>'Raw values'!M23</f>
        <v>1.03125</v>
      </c>
      <c r="I24" s="4">
        <f t="shared" si="11"/>
        <v>1.6786028832336711E-2</v>
      </c>
      <c r="J24" s="4">
        <f t="shared" si="12"/>
        <v>4.3022528160200253E-2</v>
      </c>
      <c r="K24" s="4">
        <f t="shared" si="13"/>
        <v>1.1880252137979254E-3</v>
      </c>
      <c r="L24" s="4">
        <f t="shared" si="14"/>
        <v>55.314136836728352</v>
      </c>
      <c r="M24" s="4">
        <f t="shared" si="15"/>
        <v>3.578390228237406</v>
      </c>
      <c r="N24" s="2">
        <f>AVERAGE(L28:L29)</f>
        <v>123.63729939488989</v>
      </c>
      <c r="O24" s="2">
        <f>_xlfn.STDEV.P(L28:L29)</f>
        <v>33.37114287315088</v>
      </c>
      <c r="P24" s="2">
        <v>0.25</v>
      </c>
      <c r="Q24" s="4"/>
      <c r="V24" s="1"/>
    </row>
    <row r="25" spans="1:22" x14ac:dyDescent="0.35">
      <c r="A25">
        <v>1.05</v>
      </c>
      <c r="B25" s="2">
        <f>'Raw values'!E28</f>
        <v>3.6189157334057942</v>
      </c>
      <c r="C25" s="2">
        <f>'Raw values'!F28</f>
        <v>0.72776228117981046</v>
      </c>
      <c r="D25" s="2">
        <f t="shared" si="9"/>
        <v>0.36189157334057942</v>
      </c>
      <c r="E25" s="2">
        <f t="shared" si="10"/>
        <v>7.2776228117981054E-2</v>
      </c>
      <c r="F25" s="2">
        <f>'Raw values'!N28</f>
        <v>0.26253968253968218</v>
      </c>
      <c r="G25" s="2">
        <f>'Raw values'!O28</f>
        <v>3.6811710647786169E-2</v>
      </c>
      <c r="H25" s="2">
        <f>'Raw values'!M28</f>
        <v>0.89142857142857124</v>
      </c>
      <c r="I25" s="4">
        <f t="shared" si="11"/>
        <v>1.095284449477189E-2</v>
      </c>
      <c r="J25" s="4">
        <f t="shared" si="12"/>
        <v>3.7189343822635432E-2</v>
      </c>
      <c r="K25" s="4">
        <f t="shared" si="13"/>
        <v>1.5357409531825687E-3</v>
      </c>
      <c r="L25" s="4">
        <f t="shared" si="14"/>
        <v>33.040875684240817</v>
      </c>
      <c r="M25" s="4">
        <f t="shared" si="15"/>
        <v>1.9569107878070582</v>
      </c>
      <c r="N25" s="2">
        <f>AVERAGE(M20:M21)</f>
        <v>3.9237576408148502</v>
      </c>
      <c r="O25" s="2">
        <f>_xlfn.STDEV.P(M20:M21)</f>
        <v>2.5353966047876724</v>
      </c>
      <c r="P25" s="2">
        <v>4.2</v>
      </c>
      <c r="V25" s="1"/>
    </row>
    <row r="26" spans="1:22" x14ac:dyDescent="0.35">
      <c r="A26">
        <v>0.42</v>
      </c>
      <c r="B26" s="2">
        <f>'Raw values'!E33</f>
        <v>2.1852334466298462</v>
      </c>
      <c r="C26" s="2">
        <f>'Raw values'!F33</f>
        <v>0.87846374978017516</v>
      </c>
      <c r="D26" s="2">
        <f t="shared" si="9"/>
        <v>0.21852334466298462</v>
      </c>
      <c r="E26" s="2">
        <f t="shared" si="10"/>
        <v>8.7846374978017519E-2</v>
      </c>
      <c r="F26" s="4">
        <f>'Raw values'!N33</f>
        <v>0.23500000000000032</v>
      </c>
      <c r="G26" s="4">
        <f>'Raw values'!O33</f>
        <v>3.6890886408434069E-2</v>
      </c>
      <c r="H26" s="4">
        <f>'Raw values'!M33</f>
        <v>0.78875000000000006</v>
      </c>
      <c r="I26" s="4">
        <f t="shared" si="11"/>
        <v>9.8039215686274647E-3</v>
      </c>
      <c r="J26" s="4">
        <f t="shared" si="12"/>
        <v>3.2905715477680439E-2</v>
      </c>
      <c r="K26" s="4">
        <f t="shared" si="13"/>
        <v>1.5390440721082216E-3</v>
      </c>
      <c r="L26" s="4">
        <f t="shared" si="14"/>
        <v>22.289381155624401</v>
      </c>
      <c r="M26" s="4">
        <f t="shared" si="15"/>
        <v>2.6696388059880567</v>
      </c>
      <c r="N26" s="2">
        <f>AVERAGE(M22:M23)</f>
        <v>6.3613791457787148</v>
      </c>
      <c r="O26" s="2">
        <f>_xlfn.STDEV.P(M22:M23)</f>
        <v>1.0337992241481302</v>
      </c>
      <c r="P26" s="2">
        <v>2.0499999999999998</v>
      </c>
      <c r="Q26" s="4"/>
      <c r="V26" s="1"/>
    </row>
    <row r="27" spans="1:22" x14ac:dyDescent="0.35">
      <c r="A27">
        <v>0.42</v>
      </c>
      <c r="B27" s="2">
        <f>'Raw values'!E38</f>
        <v>13.612625000000001</v>
      </c>
      <c r="C27" s="2">
        <f>'Raw values'!F38</f>
        <v>3.8841596239566361</v>
      </c>
      <c r="D27" s="2">
        <f t="shared" si="9"/>
        <v>1.3612625000000003</v>
      </c>
      <c r="E27" s="2">
        <f t="shared" si="10"/>
        <v>0.38841596239566362</v>
      </c>
      <c r="F27" s="4">
        <f>'Raw values'!N38</f>
        <v>0.27249999999999996</v>
      </c>
      <c r="G27" s="4">
        <f>'Raw values'!O38</f>
        <v>1.7275343701356301E-2</v>
      </c>
      <c r="H27" s="4">
        <f>'Raw values'!M38</f>
        <v>0.82624999999999971</v>
      </c>
      <c r="I27" s="4">
        <f t="shared" si="11"/>
        <v>1.1368377138089277E-2</v>
      </c>
      <c r="J27" s="4">
        <f t="shared" si="12"/>
        <v>3.4470171047142249E-2</v>
      </c>
      <c r="K27" s="4">
        <f t="shared" si="13"/>
        <v>7.207068711454444E-4</v>
      </c>
      <c r="L27" s="4">
        <f t="shared" si="14"/>
        <v>119.74114541284408</v>
      </c>
      <c r="M27" s="4">
        <f t="shared" si="15"/>
        <v>11.268176240392206</v>
      </c>
      <c r="N27" s="2">
        <f>AVERAGE(M24:M25)</f>
        <v>2.767650508022232</v>
      </c>
      <c r="O27" s="2">
        <f>_xlfn.STDEV.P(M24:M25)</f>
        <v>0.8107397202151746</v>
      </c>
      <c r="P27" s="2">
        <v>1.05</v>
      </c>
      <c r="Q27" s="4"/>
      <c r="V27" s="1"/>
    </row>
    <row r="28" spans="1:22" x14ac:dyDescent="0.35">
      <c r="A28">
        <v>0.25</v>
      </c>
      <c r="B28" s="2">
        <f>'Raw values'!E43</f>
        <v>9.7440000000000033</v>
      </c>
      <c r="C28" s="2">
        <f>'Raw values'!F43</f>
        <v>1.0625144704896965</v>
      </c>
      <c r="D28" s="2">
        <f t="shared" si="9"/>
        <v>0.97440000000000038</v>
      </c>
      <c r="E28" s="2">
        <f t="shared" si="10"/>
        <v>0.10625144704896966</v>
      </c>
      <c r="F28" s="4">
        <f>'Raw values'!N43</f>
        <v>0.25875000000000048</v>
      </c>
      <c r="G28" s="4">
        <f>'Raw values'!O43</f>
        <v>4.1758232721225093E-2</v>
      </c>
      <c r="H28" s="4">
        <f>'Raw values'!M43</f>
        <v>0.81250000000000022</v>
      </c>
      <c r="I28" s="4">
        <f t="shared" si="11"/>
        <v>1.079474342928663E-2</v>
      </c>
      <c r="J28" s="4">
        <f t="shared" si="12"/>
        <v>3.3896537338339604E-2</v>
      </c>
      <c r="K28" s="4">
        <f t="shared" si="13"/>
        <v>1.7421039933760991E-3</v>
      </c>
      <c r="L28" s="4">
        <f t="shared" si="14"/>
        <v>90.266156521738992</v>
      </c>
      <c r="M28" s="4">
        <f t="shared" si="15"/>
        <v>3.1345811517092947</v>
      </c>
      <c r="N28" s="2">
        <f>AVERAGE(M26:M27)</f>
        <v>6.968907523190131</v>
      </c>
      <c r="O28" s="2">
        <f>_xlfn.STDEV.P(M26:M27)</f>
        <v>4.299268717202076</v>
      </c>
      <c r="P28" s="2">
        <v>0.42</v>
      </c>
      <c r="Q28" s="4"/>
      <c r="V28" s="1"/>
    </row>
    <row r="29" spans="1:22" x14ac:dyDescent="0.35">
      <c r="A29">
        <v>0.25</v>
      </c>
      <c r="B29" s="2">
        <f>'Raw values'!E48</f>
        <v>7.9421249999999972</v>
      </c>
      <c r="C29" s="2">
        <f>'Raw values'!F48</f>
        <v>1.1168917178379467</v>
      </c>
      <c r="D29" s="2">
        <f t="shared" si="9"/>
        <v>0.79421249999999977</v>
      </c>
      <c r="E29" s="2">
        <f t="shared" si="10"/>
        <v>0.11168917178379467</v>
      </c>
      <c r="F29" s="2">
        <f>'Raw values'!N48</f>
        <v>0.1212500000000003</v>
      </c>
      <c r="G29" s="2">
        <f>'Raw values'!O48</f>
        <v>3.0413812651491009E-2</v>
      </c>
      <c r="H29" s="2">
        <f>'Raw values'!M48</f>
        <v>0.67500000000000004</v>
      </c>
      <c r="I29" s="4">
        <f t="shared" si="11"/>
        <v>5.058406341259921E-3</v>
      </c>
      <c r="J29" s="4">
        <f t="shared" si="12"/>
        <v>2.8160200250312895E-2</v>
      </c>
      <c r="K29" s="4">
        <f t="shared" si="13"/>
        <v>1.2688282290984985E-3</v>
      </c>
      <c r="L29" s="4">
        <f t="shared" si="14"/>
        <v>157.0084422680408</v>
      </c>
      <c r="M29" s="4">
        <f t="shared" si="15"/>
        <v>3.9662065891223079</v>
      </c>
      <c r="N29" s="2">
        <f>AVERAGE(M28:M29)</f>
        <v>3.5503938704158013</v>
      </c>
      <c r="O29" s="2">
        <f>_xlfn.STDEV.P(N28:N29)</f>
        <v>1.7092568263871637</v>
      </c>
      <c r="P29" s="2">
        <v>0.25</v>
      </c>
      <c r="V29" s="1"/>
    </row>
    <row r="30" spans="1:22" x14ac:dyDescent="0.35">
      <c r="Q30" s="1"/>
      <c r="R30" s="1"/>
      <c r="S30" s="1"/>
      <c r="T30" s="1"/>
      <c r="U30" s="1"/>
      <c r="V30" s="1"/>
    </row>
    <row r="31" spans="1:22" x14ac:dyDescent="0.35">
      <c r="Q31" s="1"/>
      <c r="R31" s="1"/>
      <c r="S31" s="1"/>
      <c r="T31" s="1"/>
      <c r="U31" s="1"/>
      <c r="V31" s="1"/>
    </row>
  </sheetData>
  <phoneticPr fontId="4" type="noConversion"/>
  <printOptions gridLines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Raw values</vt:lpstr>
      <vt:lpstr>q rates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 de Jong - TNW</dc:creator>
  <cp:lastModifiedBy>Sam de Jong - TNW</cp:lastModifiedBy>
  <dcterms:created xsi:type="dcterms:W3CDTF">2020-10-07T10:01:15Z</dcterms:created>
  <dcterms:modified xsi:type="dcterms:W3CDTF">2023-09-27T11:40:02Z</dcterms:modified>
</cp:coreProperties>
</file>