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U:\Eduardo Postdoc Project\Iris Kerkhof\Data\"/>
    </mc:Choice>
  </mc:AlternateContent>
  <xr:revisionPtr revIDLastSave="0" documentId="13_ncr:1_{5929F735-719C-444B-9FFE-C438F238C367}" xr6:coauthVersionLast="47" xr6:coauthVersionMax="47" xr10:uidLastSave="{00000000-0000-0000-0000-000000000000}"/>
  <bookViews>
    <workbookView xWindow="28680" yWindow="-120" windowWidth="29040" windowHeight="15840" firstSheet="4" activeTab="5" xr2:uid="{00000000-000D-0000-FFFF-FFFF00000000}"/>
  </bookViews>
  <sheets>
    <sheet name="Emat" sheetId="1" r:id="rId1"/>
    <sheet name="Standard Values" sheetId="2" r:id="rId2"/>
    <sheet name="Data" sheetId="3" r:id="rId3"/>
    <sheet name="Concentrations Val2017" sheetId="10" r:id="rId4"/>
    <sheet name="Reconciled gas outflow" sheetId="9" r:id="rId5"/>
    <sheet name="Reconciled rates (mmol)" sheetId="13" r:id="rId6"/>
    <sheet name="Reconciled rates (grams)" sheetId="17" r:id="rId7"/>
    <sheet name="GL Mass Transfer" sheetId="15" r:id="rId8"/>
    <sheet name="Offgas Val2017, Val2018, deLima" sheetId="7" r:id="rId9"/>
    <sheet name="Offgas parity" sheetId="8" r:id="rId10"/>
    <sheet name="C. autoethanogenum ATP" sheetId="12" state="hidden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G34" i="3" l="1"/>
  <c r="BP51" i="3"/>
  <c r="BN51" i="3"/>
  <c r="I16" i="8"/>
  <c r="G16" i="8"/>
  <c r="F16" i="8"/>
  <c r="E16" i="8"/>
  <c r="D16" i="8"/>
  <c r="C16" i="8"/>
  <c r="B16" i="8"/>
  <c r="I15" i="8"/>
  <c r="G15" i="8"/>
  <c r="F15" i="8"/>
  <c r="E15" i="8"/>
  <c r="D15" i="8"/>
  <c r="C15" i="8"/>
  <c r="B15" i="8"/>
  <c r="I14" i="8"/>
  <c r="G14" i="8"/>
  <c r="F14" i="8"/>
  <c r="E14" i="8"/>
  <c r="D14" i="8"/>
  <c r="C14" i="8"/>
  <c r="B14" i="8"/>
  <c r="I13" i="8"/>
  <c r="G13" i="8"/>
  <c r="F13" i="8"/>
  <c r="E13" i="8"/>
  <c r="D13" i="8"/>
  <c r="C13" i="8"/>
  <c r="B13" i="8"/>
  <c r="I12" i="8"/>
  <c r="H12" i="8"/>
  <c r="G12" i="8"/>
  <c r="F12" i="8"/>
  <c r="E12" i="8"/>
  <c r="D12" i="8"/>
  <c r="C12" i="8"/>
  <c r="B12" i="8"/>
  <c r="I11" i="8"/>
  <c r="H11" i="8"/>
  <c r="G11" i="8"/>
  <c r="F11" i="8"/>
  <c r="E11" i="8"/>
  <c r="D11" i="8"/>
  <c r="C11" i="8"/>
  <c r="B11" i="8"/>
  <c r="I10" i="8"/>
  <c r="H10" i="8"/>
  <c r="G10" i="8"/>
  <c r="F10" i="8"/>
  <c r="E10" i="8"/>
  <c r="D10" i="8"/>
  <c r="C10" i="8"/>
  <c r="B10" i="8"/>
  <c r="I9" i="8"/>
  <c r="H9" i="8"/>
  <c r="G9" i="8"/>
  <c r="F9" i="8"/>
  <c r="E9" i="8"/>
  <c r="D9" i="8"/>
  <c r="C9" i="8"/>
  <c r="B9" i="8"/>
  <c r="I8" i="8"/>
  <c r="H8" i="8"/>
  <c r="G8" i="8"/>
  <c r="F8" i="8"/>
  <c r="E8" i="8"/>
  <c r="D8" i="8"/>
  <c r="C8" i="8"/>
  <c r="B8" i="8"/>
  <c r="I7" i="8"/>
  <c r="H7" i="8"/>
  <c r="G7" i="8"/>
  <c r="F7" i="8"/>
  <c r="E7" i="8"/>
  <c r="D7" i="8"/>
  <c r="C7" i="8"/>
  <c r="B7" i="8"/>
  <c r="I6" i="8"/>
  <c r="H6" i="8"/>
  <c r="G6" i="8"/>
  <c r="F6" i="8"/>
  <c r="E6" i="8"/>
  <c r="D6" i="8"/>
  <c r="C6" i="8"/>
  <c r="B6" i="8"/>
  <c r="I5" i="8"/>
  <c r="H5" i="8"/>
  <c r="G5" i="8"/>
  <c r="F5" i="8"/>
  <c r="E5" i="8"/>
  <c r="D5" i="8"/>
  <c r="C5" i="8"/>
  <c r="B5" i="8"/>
  <c r="I4" i="8"/>
  <c r="H4" i="8"/>
  <c r="G4" i="8"/>
  <c r="F4" i="8"/>
  <c r="E4" i="8"/>
  <c r="D4" i="8"/>
  <c r="C4" i="8"/>
  <c r="B4" i="8"/>
  <c r="I3" i="8"/>
  <c r="H3" i="8"/>
  <c r="G3" i="8"/>
  <c r="F3" i="8"/>
  <c r="E3" i="8"/>
  <c r="D3" i="8"/>
  <c r="C3" i="8"/>
  <c r="B3" i="8"/>
  <c r="I2" i="8"/>
  <c r="H2" i="8"/>
  <c r="G2" i="8"/>
  <c r="F2" i="8"/>
  <c r="E2" i="8"/>
  <c r="D2" i="8"/>
  <c r="C2" i="8"/>
  <c r="B2" i="8"/>
  <c r="BZ73" i="3"/>
  <c r="BX73" i="3"/>
  <c r="BX60" i="3" s="1"/>
  <c r="BX71" i="3" s="1"/>
  <c r="BV73" i="3"/>
  <c r="BV48" i="3" s="1"/>
  <c r="BT73" i="3"/>
  <c r="BR73" i="3"/>
  <c r="BR47" i="3" s="1"/>
  <c r="BR39" i="3" s="1"/>
  <c r="BP73" i="3"/>
  <c r="BN73" i="3"/>
  <c r="BL73" i="3"/>
  <c r="BJ73" i="3"/>
  <c r="BH73" i="3"/>
  <c r="BH48" i="3" s="1"/>
  <c r="BH40" i="3" s="1"/>
  <c r="BF73" i="3"/>
  <c r="BD73" i="3"/>
  <c r="BD48" i="3" s="1"/>
  <c r="BD40" i="3" s="1"/>
  <c r="BB73" i="3"/>
  <c r="AZ73" i="3"/>
  <c r="AX73" i="3"/>
  <c r="AV73" i="3"/>
  <c r="AT73" i="3"/>
  <c r="AR73" i="3"/>
  <c r="AP73" i="3"/>
  <c r="AN73" i="3"/>
  <c r="AN60" i="3" s="1"/>
  <c r="AN71" i="3" s="1"/>
  <c r="AO71" i="3" s="1"/>
  <c r="AL73" i="3"/>
  <c r="AL60" i="3" s="1"/>
  <c r="AL71" i="3" s="1"/>
  <c r="AM71" i="3" s="1"/>
  <c r="AJ73" i="3"/>
  <c r="AH73" i="3"/>
  <c r="AF73" i="3"/>
  <c r="AD73" i="3"/>
  <c r="AB73" i="3"/>
  <c r="AB59" i="3" s="1"/>
  <c r="AB70" i="3" s="1"/>
  <c r="Z73" i="3"/>
  <c r="Z59" i="3" s="1"/>
  <c r="Z70" i="3" s="1"/>
  <c r="X73" i="3"/>
  <c r="X59" i="3" s="1"/>
  <c r="X70" i="3" s="1"/>
  <c r="V73" i="3"/>
  <c r="V60" i="3" s="1"/>
  <c r="V71" i="3" s="1"/>
  <c r="T73" i="3"/>
  <c r="R73" i="3"/>
  <c r="P73" i="3"/>
  <c r="N73" i="3"/>
  <c r="N59" i="3" s="1"/>
  <c r="N70" i="3" s="1"/>
  <c r="L73" i="3"/>
  <c r="J73" i="3"/>
  <c r="H73" i="3"/>
  <c r="F73" i="3"/>
  <c r="D73" i="3"/>
  <c r="B73" i="3"/>
  <c r="BZ68" i="3"/>
  <c r="BX68" i="3"/>
  <c r="BV68" i="3"/>
  <c r="BT68" i="3"/>
  <c r="BR68" i="3"/>
  <c r="BP68" i="3"/>
  <c r="BN68" i="3"/>
  <c r="BL68" i="3"/>
  <c r="BJ68" i="3"/>
  <c r="BH68" i="3"/>
  <c r="BD68" i="3"/>
  <c r="BB68" i="3"/>
  <c r="AZ68" i="3"/>
  <c r="AX68" i="3"/>
  <c r="AV68" i="3"/>
  <c r="AT68" i="3"/>
  <c r="AR68" i="3"/>
  <c r="AP68" i="3"/>
  <c r="AN68" i="3"/>
  <c r="AL68" i="3"/>
  <c r="AJ68" i="3"/>
  <c r="AH68" i="3"/>
  <c r="AF68" i="3"/>
  <c r="AD68" i="3"/>
  <c r="AB68" i="3"/>
  <c r="Z68" i="3"/>
  <c r="X68" i="3"/>
  <c r="V68" i="3"/>
  <c r="T68" i="3"/>
  <c r="R68" i="3"/>
  <c r="P68" i="3"/>
  <c r="N68" i="3"/>
  <c r="L68" i="3"/>
  <c r="J68" i="3"/>
  <c r="H68" i="3"/>
  <c r="F68" i="3"/>
  <c r="D68" i="3"/>
  <c r="B68" i="3"/>
  <c r="BZ67" i="3"/>
  <c r="BX67" i="3"/>
  <c r="BV67" i="3"/>
  <c r="BT67" i="3"/>
  <c r="BR67" i="3"/>
  <c r="BP67" i="3"/>
  <c r="BN67" i="3"/>
  <c r="BL67" i="3"/>
  <c r="BJ67" i="3"/>
  <c r="BH67" i="3"/>
  <c r="BD67" i="3"/>
  <c r="AV67" i="3"/>
  <c r="AT67" i="3"/>
  <c r="AR67" i="3"/>
  <c r="AP67" i="3"/>
  <c r="AN67" i="3"/>
  <c r="AL67" i="3"/>
  <c r="AJ67" i="3"/>
  <c r="AH67" i="3"/>
  <c r="AF67" i="3"/>
  <c r="AD67" i="3"/>
  <c r="AB67" i="3"/>
  <c r="Z67" i="3"/>
  <c r="X67" i="3"/>
  <c r="V67" i="3"/>
  <c r="T67" i="3"/>
  <c r="R67" i="3"/>
  <c r="P67" i="3"/>
  <c r="N67" i="3"/>
  <c r="L67" i="3"/>
  <c r="J67" i="3"/>
  <c r="H67" i="3"/>
  <c r="F67" i="3"/>
  <c r="D67" i="3"/>
  <c r="B67" i="3"/>
  <c r="BZ66" i="3"/>
  <c r="BX66" i="3"/>
  <c r="BP66" i="3"/>
  <c r="AV66" i="3"/>
  <c r="AT66" i="3"/>
  <c r="AR66" i="3"/>
  <c r="AS66" i="3" s="1"/>
  <c r="AP66" i="3"/>
  <c r="AQ66" i="3" s="1"/>
  <c r="AN66" i="3"/>
  <c r="AO66" i="3" s="1"/>
  <c r="AL66" i="3"/>
  <c r="AM66" i="3" s="1"/>
  <c r="AJ66" i="3"/>
  <c r="AH66" i="3"/>
  <c r="AF66" i="3"/>
  <c r="AD66" i="3"/>
  <c r="AB66" i="3"/>
  <c r="Z66" i="3"/>
  <c r="X66" i="3"/>
  <c r="V66" i="3"/>
  <c r="T66" i="3"/>
  <c r="R66" i="3"/>
  <c r="P66" i="3"/>
  <c r="N66" i="3"/>
  <c r="J66" i="3"/>
  <c r="BZ65" i="3"/>
  <c r="BX65" i="3"/>
  <c r="AV65" i="3"/>
  <c r="AT65" i="3"/>
  <c r="AR65" i="3"/>
  <c r="AS65" i="3" s="1"/>
  <c r="AP65" i="3"/>
  <c r="AQ65" i="3" s="1"/>
  <c r="AN65" i="3"/>
  <c r="AO65" i="3" s="1"/>
  <c r="AL65" i="3"/>
  <c r="AM65" i="3" s="1"/>
  <c r="AJ65" i="3"/>
  <c r="AH65" i="3"/>
  <c r="AF65" i="3"/>
  <c r="AD65" i="3"/>
  <c r="AB65" i="3"/>
  <c r="Z65" i="3"/>
  <c r="X65" i="3"/>
  <c r="V65" i="3"/>
  <c r="T65" i="3"/>
  <c r="R65" i="3"/>
  <c r="P65" i="3"/>
  <c r="N65" i="3"/>
  <c r="J65" i="3"/>
  <c r="BZ64" i="3"/>
  <c r="BX64" i="3"/>
  <c r="BV64" i="3"/>
  <c r="BT64" i="3"/>
  <c r="BR64" i="3"/>
  <c r="BP64" i="3"/>
  <c r="BD64" i="3"/>
  <c r="BB64" i="3"/>
  <c r="AZ64" i="3"/>
  <c r="AX64" i="3"/>
  <c r="AV64" i="3"/>
  <c r="AT64" i="3"/>
  <c r="AR64" i="3"/>
  <c r="AP64" i="3"/>
  <c r="AN64" i="3"/>
  <c r="AL64" i="3"/>
  <c r="AJ64" i="3"/>
  <c r="AF64" i="3"/>
  <c r="AD64" i="3"/>
  <c r="AB64" i="3"/>
  <c r="Z64" i="3"/>
  <c r="X64" i="3"/>
  <c r="V64" i="3"/>
  <c r="T64" i="3"/>
  <c r="R64" i="3"/>
  <c r="P64" i="3"/>
  <c r="N64" i="3"/>
  <c r="J64" i="3"/>
  <c r="BZ63" i="3"/>
  <c r="BX63" i="3"/>
  <c r="AV63" i="3"/>
  <c r="AT63" i="3"/>
  <c r="AR63" i="3"/>
  <c r="AS63" i="3" s="1"/>
  <c r="AP63" i="3"/>
  <c r="AQ63" i="3" s="1"/>
  <c r="AN63" i="3"/>
  <c r="AO63" i="3" s="1"/>
  <c r="AL63" i="3"/>
  <c r="AM63" i="3" s="1"/>
  <c r="AJ63" i="3"/>
  <c r="AH63" i="3"/>
  <c r="AF63" i="3"/>
  <c r="AD63" i="3"/>
  <c r="AB63" i="3"/>
  <c r="Z63" i="3"/>
  <c r="X63" i="3"/>
  <c r="V63" i="3"/>
  <c r="T63" i="3"/>
  <c r="R63" i="3"/>
  <c r="P63" i="3"/>
  <c r="N63" i="3"/>
  <c r="J63" i="3"/>
  <c r="BZ62" i="3"/>
  <c r="BX62" i="3"/>
  <c r="BB62" i="3"/>
  <c r="AZ62" i="3"/>
  <c r="AX62" i="3"/>
  <c r="AV62" i="3"/>
  <c r="AT62" i="3"/>
  <c r="AR62" i="3"/>
  <c r="AS62" i="3" s="1"/>
  <c r="AP62" i="3"/>
  <c r="AQ62" i="3" s="1"/>
  <c r="AN62" i="3"/>
  <c r="AO62" i="3" s="1"/>
  <c r="AL62" i="3"/>
  <c r="AM62" i="3" s="1"/>
  <c r="AJ62" i="3"/>
  <c r="AH62" i="3"/>
  <c r="AF62" i="3"/>
  <c r="AD62" i="3"/>
  <c r="AB62" i="3"/>
  <c r="Z62" i="3"/>
  <c r="X62" i="3"/>
  <c r="V62" i="3"/>
  <c r="T62" i="3"/>
  <c r="P62" i="3"/>
  <c r="N62" i="3"/>
  <c r="J62" i="3"/>
  <c r="D62" i="3"/>
  <c r="BZ60" i="3"/>
  <c r="BZ71" i="3" s="1"/>
  <c r="AV60" i="3"/>
  <c r="AV71" i="3" s="1"/>
  <c r="AT60" i="3"/>
  <c r="AT71" i="3" s="1"/>
  <c r="AJ60" i="3"/>
  <c r="AJ71" i="3" s="1"/>
  <c r="AD60" i="3"/>
  <c r="AD71" i="3" s="1"/>
  <c r="AB60" i="3"/>
  <c r="AB71" i="3" s="1"/>
  <c r="T60" i="3"/>
  <c r="T71" i="3" s="1"/>
  <c r="R60" i="3"/>
  <c r="R71" i="3" s="1"/>
  <c r="P60" i="3"/>
  <c r="P71" i="3" s="1"/>
  <c r="BZ59" i="3"/>
  <c r="BZ70" i="3" s="1"/>
  <c r="AV59" i="3"/>
  <c r="AV70" i="3" s="1"/>
  <c r="AT59" i="3"/>
  <c r="AT70" i="3" s="1"/>
  <c r="AJ59" i="3"/>
  <c r="AJ70" i="3" s="1"/>
  <c r="AH59" i="3"/>
  <c r="AH70" i="3" s="1"/>
  <c r="T59" i="3"/>
  <c r="T70" i="3" s="1"/>
  <c r="R59" i="3"/>
  <c r="R70" i="3" s="1"/>
  <c r="P59" i="3"/>
  <c r="P70" i="3" s="1"/>
  <c r="CA58" i="3"/>
  <c r="BY58" i="3"/>
  <c r="BV58" i="3"/>
  <c r="BT58" i="3"/>
  <c r="BR58" i="3"/>
  <c r="BP58" i="3"/>
  <c r="BN58" i="3"/>
  <c r="BL58" i="3"/>
  <c r="BJ58" i="3"/>
  <c r="BH58" i="3"/>
  <c r="BD58" i="3"/>
  <c r="BB58" i="3"/>
  <c r="BC58" i="3" s="1"/>
  <c r="AZ58" i="3"/>
  <c r="BA58" i="3" s="1"/>
  <c r="AX58" i="3"/>
  <c r="AW58" i="3"/>
  <c r="AU58" i="3"/>
  <c r="AK58" i="3"/>
  <c r="AJ58" i="3"/>
  <c r="AI58" i="3"/>
  <c r="AH58" i="3"/>
  <c r="AG58" i="3"/>
  <c r="AF58" i="3"/>
  <c r="AE58" i="3"/>
  <c r="AD58" i="3"/>
  <c r="AC58" i="3"/>
  <c r="AB58" i="3"/>
  <c r="AA58" i="3"/>
  <c r="Z58" i="3"/>
  <c r="Y57" i="3"/>
  <c r="W57" i="3"/>
  <c r="U57" i="3"/>
  <c r="S57" i="3"/>
  <c r="Q57" i="3"/>
  <c r="AK56" i="3"/>
  <c r="AI56" i="3"/>
  <c r="AG56" i="3"/>
  <c r="AE56" i="3"/>
  <c r="AC56" i="3"/>
  <c r="AA56" i="3"/>
  <c r="Y56" i="3"/>
  <c r="W56" i="3"/>
  <c r="U56" i="3"/>
  <c r="S56" i="3"/>
  <c r="Q56" i="3"/>
  <c r="K56" i="3"/>
  <c r="BV55" i="3"/>
  <c r="BT55" i="3"/>
  <c r="BR55" i="3"/>
  <c r="BR66" i="3" s="1"/>
  <c r="BN55" i="3"/>
  <c r="BL55" i="3"/>
  <c r="BL66" i="3" s="1"/>
  <c r="BJ55" i="3"/>
  <c r="BJ66" i="3" s="1"/>
  <c r="BH55" i="3"/>
  <c r="BH66" i="3" s="1"/>
  <c r="BD55" i="3"/>
  <c r="BD66" i="3" s="1"/>
  <c r="AK55" i="3"/>
  <c r="AI55" i="3"/>
  <c r="AG55" i="3"/>
  <c r="AE55" i="3"/>
  <c r="AC55" i="3"/>
  <c r="AA55" i="3"/>
  <c r="Y55" i="3"/>
  <c r="W55" i="3"/>
  <c r="U55" i="3"/>
  <c r="S55" i="3"/>
  <c r="Q55" i="3"/>
  <c r="O55" i="3"/>
  <c r="M55" i="3"/>
  <c r="L55" i="3"/>
  <c r="L66" i="3" s="1"/>
  <c r="K55" i="3"/>
  <c r="I55" i="3"/>
  <c r="H55" i="3"/>
  <c r="H66" i="3" s="1"/>
  <c r="G55" i="3"/>
  <c r="F55" i="3"/>
  <c r="F66" i="3" s="1"/>
  <c r="E55" i="3"/>
  <c r="D55" i="3"/>
  <c r="D66" i="3" s="1"/>
  <c r="C55" i="3"/>
  <c r="B55" i="3"/>
  <c r="B66" i="3" s="1"/>
  <c r="BV54" i="3"/>
  <c r="BV65" i="3" s="1"/>
  <c r="BT54" i="3"/>
  <c r="BT65" i="3" s="1"/>
  <c r="BR54" i="3"/>
  <c r="BR65" i="3" s="1"/>
  <c r="BP54" i="3"/>
  <c r="BP59" i="3" s="1"/>
  <c r="BP70" i="3" s="1"/>
  <c r="BN54" i="3"/>
  <c r="BN65" i="3" s="1"/>
  <c r="BL54" i="3"/>
  <c r="BL65" i="3" s="1"/>
  <c r="BJ54" i="3"/>
  <c r="BH54" i="3"/>
  <c r="BD54" i="3"/>
  <c r="BD65" i="3" s="1"/>
  <c r="AK54" i="3"/>
  <c r="AI54" i="3"/>
  <c r="AG54" i="3"/>
  <c r="AE54" i="3"/>
  <c r="AC54" i="3"/>
  <c r="AA54" i="3"/>
  <c r="Y54" i="3"/>
  <c r="W54" i="3"/>
  <c r="U54" i="3"/>
  <c r="S54" i="3"/>
  <c r="Q54" i="3"/>
  <c r="O54" i="3"/>
  <c r="M54" i="3"/>
  <c r="L54" i="3"/>
  <c r="L65" i="3" s="1"/>
  <c r="K54" i="3"/>
  <c r="I54" i="3"/>
  <c r="H54" i="3"/>
  <c r="G54" i="3"/>
  <c r="F54" i="3"/>
  <c r="E54" i="3"/>
  <c r="D54" i="3"/>
  <c r="D65" i="3" s="1"/>
  <c r="C54" i="3"/>
  <c r="B54" i="3"/>
  <c r="B65" i="3" s="1"/>
  <c r="BN53" i="3"/>
  <c r="BN64" i="3" s="1"/>
  <c r="BL53" i="3"/>
  <c r="BL64" i="3" s="1"/>
  <c r="BJ53" i="3"/>
  <c r="BJ64" i="3" s="1"/>
  <c r="BH53" i="3"/>
  <c r="BH64" i="3" s="1"/>
  <c r="BC53" i="3"/>
  <c r="BA53" i="3"/>
  <c r="AY53" i="3"/>
  <c r="AK53" i="3"/>
  <c r="AI53" i="3"/>
  <c r="AH53" i="3"/>
  <c r="AH64" i="3" s="1"/>
  <c r="AG53" i="3"/>
  <c r="AE53" i="3"/>
  <c r="AC53" i="3"/>
  <c r="AA53" i="3"/>
  <c r="Y53" i="3"/>
  <c r="W53" i="3"/>
  <c r="U53" i="3"/>
  <c r="S53" i="3"/>
  <c r="Q53" i="3"/>
  <c r="O53" i="3"/>
  <c r="M53" i="3"/>
  <c r="L53" i="3"/>
  <c r="L64" i="3" s="1"/>
  <c r="K53" i="3"/>
  <c r="I53" i="3"/>
  <c r="H53" i="3"/>
  <c r="H64" i="3" s="1"/>
  <c r="G53" i="3"/>
  <c r="F53" i="3"/>
  <c r="F64" i="3" s="1"/>
  <c r="E53" i="3"/>
  <c r="D53" i="3"/>
  <c r="D64" i="3" s="1"/>
  <c r="C53" i="3"/>
  <c r="B53" i="3"/>
  <c r="B64" i="3" s="1"/>
  <c r="BB52" i="3"/>
  <c r="BC52" i="3" s="1"/>
  <c r="AZ52" i="3"/>
  <c r="AX52" i="3"/>
  <c r="AX63" i="3" s="1"/>
  <c r="AK52" i="3"/>
  <c r="AI52" i="3"/>
  <c r="AG52" i="3"/>
  <c r="AE52" i="3"/>
  <c r="AC52" i="3"/>
  <c r="AA52" i="3"/>
  <c r="Y52" i="3"/>
  <c r="W52" i="3"/>
  <c r="U52" i="3"/>
  <c r="S52" i="3"/>
  <c r="Q52" i="3"/>
  <c r="O52" i="3"/>
  <c r="M52" i="3"/>
  <c r="L52" i="3"/>
  <c r="L63" i="3" s="1"/>
  <c r="K52" i="3"/>
  <c r="I52" i="3"/>
  <c r="H52" i="3"/>
  <c r="H63" i="3" s="1"/>
  <c r="G52" i="3"/>
  <c r="F52" i="3"/>
  <c r="F63" i="3" s="1"/>
  <c r="E52" i="3"/>
  <c r="D52" i="3"/>
  <c r="D63" i="3" s="1"/>
  <c r="C52" i="3"/>
  <c r="B52" i="3"/>
  <c r="B63" i="3" s="1"/>
  <c r="BV51" i="3"/>
  <c r="BT51" i="3"/>
  <c r="BR51" i="3"/>
  <c r="BP62" i="3"/>
  <c r="BL51" i="3"/>
  <c r="BL52" i="3" s="1"/>
  <c r="BL63" i="3" s="1"/>
  <c r="BJ51" i="3"/>
  <c r="BJ52" i="3" s="1"/>
  <c r="BH51" i="3"/>
  <c r="BD51" i="3"/>
  <c r="BC51" i="3"/>
  <c r="BA51" i="3"/>
  <c r="AY51" i="3"/>
  <c r="AK51" i="3"/>
  <c r="AI51" i="3"/>
  <c r="AG51" i="3"/>
  <c r="AE51" i="3"/>
  <c r="AC51" i="3"/>
  <c r="AA51" i="3"/>
  <c r="Y51" i="3"/>
  <c r="W51" i="3"/>
  <c r="U51" i="3"/>
  <c r="R51" i="3"/>
  <c r="R62" i="3" s="1"/>
  <c r="Q51" i="3"/>
  <c r="O51" i="3"/>
  <c r="M51" i="3"/>
  <c r="L51" i="3"/>
  <c r="L62" i="3" s="1"/>
  <c r="K51" i="3"/>
  <c r="I51" i="3"/>
  <c r="H51" i="3"/>
  <c r="H62" i="3" s="1"/>
  <c r="G51" i="3"/>
  <c r="F51" i="3"/>
  <c r="F62" i="3" s="1"/>
  <c r="C51" i="3"/>
  <c r="B51" i="3"/>
  <c r="B62" i="3" s="1"/>
  <c r="BP48" i="3"/>
  <c r="BN48" i="3"/>
  <c r="BN40" i="3" s="1"/>
  <c r="BL48" i="3"/>
  <c r="BP47" i="3"/>
  <c r="BN47" i="3"/>
  <c r="BJ47" i="3"/>
  <c r="AQ46" i="3"/>
  <c r="AP46" i="3"/>
  <c r="AO46" i="3"/>
  <c r="AN46" i="3"/>
  <c r="AM46" i="3"/>
  <c r="AJ46" i="3"/>
  <c r="AI46" i="3"/>
  <c r="P46" i="3"/>
  <c r="Q46" i="3" s="1"/>
  <c r="O46" i="3"/>
  <c r="M46" i="3"/>
  <c r="I46" i="3"/>
  <c r="AF45" i="3"/>
  <c r="I45" i="3"/>
  <c r="G45" i="3"/>
  <c r="F45" i="3"/>
  <c r="E45" i="3"/>
  <c r="CA44" i="3"/>
  <c r="BY44" i="3"/>
  <c r="BX44" i="3"/>
  <c r="BW44" i="3"/>
  <c r="BU44" i="3"/>
  <c r="BS44" i="3"/>
  <c r="BQ44" i="3"/>
  <c r="BO44" i="3"/>
  <c r="BM44" i="3"/>
  <c r="BK44" i="3"/>
  <c r="BI44" i="3"/>
  <c r="BE44" i="3"/>
  <c r="BE36" i="3" s="1"/>
  <c r="BB44" i="3"/>
  <c r="AZ44" i="3"/>
  <c r="AW44" i="3"/>
  <c r="AT44" i="3"/>
  <c r="AS44" i="3"/>
  <c r="AR44" i="3"/>
  <c r="AQ44" i="3"/>
  <c r="AP44" i="3"/>
  <c r="AM44" i="3"/>
  <c r="AJ44" i="3"/>
  <c r="AH44" i="3"/>
  <c r="AF44" i="3"/>
  <c r="AB44" i="3"/>
  <c r="Z44" i="3"/>
  <c r="N44" i="3"/>
  <c r="M44" i="3"/>
  <c r="L44" i="3"/>
  <c r="I44" i="3"/>
  <c r="H44" i="3"/>
  <c r="E44" i="3"/>
  <c r="D44" i="3"/>
  <c r="C44" i="3"/>
  <c r="B44" i="3"/>
  <c r="BW43" i="3"/>
  <c r="BU43" i="3"/>
  <c r="BS43" i="3"/>
  <c r="BQ43" i="3"/>
  <c r="BQ47" i="3" s="1"/>
  <c r="BO43" i="3"/>
  <c r="BO48" i="3" s="1"/>
  <c r="BO40" i="3" s="1"/>
  <c r="BM43" i="3"/>
  <c r="BM48" i="3" s="1"/>
  <c r="BK43" i="3"/>
  <c r="BK47" i="3" s="1"/>
  <c r="BI43" i="3"/>
  <c r="BG43" i="3"/>
  <c r="BG35" i="3" s="1"/>
  <c r="BF43" i="3"/>
  <c r="BB43" i="3"/>
  <c r="AZ43" i="3"/>
  <c r="AF43" i="3"/>
  <c r="AF47" i="3" s="1"/>
  <c r="AF39" i="3" s="1"/>
  <c r="AD43" i="3"/>
  <c r="AD48" i="3" s="1"/>
  <c r="AD40" i="3" s="1"/>
  <c r="BR42" i="3"/>
  <c r="AX42" i="3"/>
  <c r="AW42" i="3"/>
  <c r="AV42" i="3"/>
  <c r="AV69" i="3" s="1"/>
  <c r="AS42" i="3"/>
  <c r="AR42" i="3"/>
  <c r="AR69" i="3" s="1"/>
  <c r="AP42" i="3"/>
  <c r="AP69" i="3" s="1"/>
  <c r="Y38" i="3"/>
  <c r="W38" i="3"/>
  <c r="U38" i="3"/>
  <c r="S38" i="3"/>
  <c r="Q38" i="3"/>
  <c r="BC37" i="3"/>
  <c r="BA37" i="3"/>
  <c r="AY37" i="3"/>
  <c r="AK37" i="3"/>
  <c r="AK45" i="3" s="1"/>
  <c r="AJ37" i="3"/>
  <c r="AJ45" i="3" s="1"/>
  <c r="AI37" i="3"/>
  <c r="AI45" i="3" s="1"/>
  <c r="AG37" i="3"/>
  <c r="AE37" i="3"/>
  <c r="AE45" i="3" s="1"/>
  <c r="AC37" i="3"/>
  <c r="AC45" i="3" s="1"/>
  <c r="AA37" i="3"/>
  <c r="AA45" i="3" s="1"/>
  <c r="X37" i="3"/>
  <c r="Y37" i="3" s="1"/>
  <c r="V37" i="3"/>
  <c r="V45" i="3" s="1"/>
  <c r="W45" i="3" s="1"/>
  <c r="T37" i="3"/>
  <c r="U37" i="3" s="1"/>
  <c r="S37" i="3"/>
  <c r="Q37" i="3"/>
  <c r="K37" i="3"/>
  <c r="K45" i="3" s="1"/>
  <c r="BV36" i="3"/>
  <c r="BW36" i="3" s="1"/>
  <c r="BR36" i="3"/>
  <c r="BS36" i="3" s="1"/>
  <c r="BP36" i="3"/>
  <c r="BQ36" i="3" s="1"/>
  <c r="BN36" i="3"/>
  <c r="BO36" i="3" s="1"/>
  <c r="BJ36" i="3"/>
  <c r="BK36" i="3" s="1"/>
  <c r="BH36" i="3"/>
  <c r="BI36" i="3" s="1"/>
  <c r="BF36" i="3"/>
  <c r="BD36" i="3"/>
  <c r="BC36" i="3"/>
  <c r="BC44" i="3" s="1"/>
  <c r="BA36" i="3"/>
  <c r="BA44" i="3" s="1"/>
  <c r="AY36" i="3"/>
  <c r="AY44" i="3" s="1"/>
  <c r="AK36" i="3"/>
  <c r="AK44" i="3" s="1"/>
  <c r="AI36" i="3"/>
  <c r="AI44" i="3" s="1"/>
  <c r="AG36" i="3"/>
  <c r="AG44" i="3" s="1"/>
  <c r="AE36" i="3"/>
  <c r="AE44" i="3" s="1"/>
  <c r="AC36" i="3"/>
  <c r="AC44" i="3" s="1"/>
  <c r="AA36" i="3"/>
  <c r="AA44" i="3" s="1"/>
  <c r="X36" i="3"/>
  <c r="X44" i="3" s="1"/>
  <c r="Y44" i="3" s="1"/>
  <c r="V36" i="3"/>
  <c r="W36" i="3" s="1"/>
  <c r="T36" i="3"/>
  <c r="T44" i="3" s="1"/>
  <c r="U44" i="3" s="1"/>
  <c r="R36" i="3"/>
  <c r="R44" i="3" s="1"/>
  <c r="S44" i="3" s="1"/>
  <c r="P36" i="3"/>
  <c r="P44" i="3" s="1"/>
  <c r="Q44" i="3" s="1"/>
  <c r="BN35" i="3"/>
  <c r="BO35" i="3" s="1"/>
  <c r="BJ35" i="3"/>
  <c r="BK35" i="3" s="1"/>
  <c r="BD35" i="3"/>
  <c r="BC35" i="3"/>
  <c r="BA35" i="3"/>
  <c r="BA43" i="3" s="1"/>
  <c r="AY35" i="3"/>
  <c r="AK35" i="3"/>
  <c r="AI35" i="3"/>
  <c r="AG35" i="3"/>
  <c r="AG43" i="3" s="1"/>
  <c r="AE35" i="3"/>
  <c r="AE43" i="3" s="1"/>
  <c r="AE47" i="3" s="1"/>
  <c r="AE39" i="3" s="1"/>
  <c r="AC35" i="3"/>
  <c r="AA35" i="3"/>
  <c r="X35" i="3"/>
  <c r="Y35" i="3" s="1"/>
  <c r="V35" i="3"/>
  <c r="V43" i="3" s="1"/>
  <c r="W43" i="3" s="1"/>
  <c r="T35" i="3"/>
  <c r="T43" i="3" s="1"/>
  <c r="U43" i="3" s="1"/>
  <c r="R35" i="3"/>
  <c r="P35" i="3"/>
  <c r="P43" i="3" s="1"/>
  <c r="Q43" i="3" s="1"/>
  <c r="BW34" i="3"/>
  <c r="BW42" i="3" s="1"/>
  <c r="BU34" i="3"/>
  <c r="BS34" i="3"/>
  <c r="BQ34" i="3"/>
  <c r="BQ42" i="3" s="1"/>
  <c r="BO34" i="3"/>
  <c r="BM34" i="3"/>
  <c r="BK34" i="3"/>
  <c r="BI34" i="3"/>
  <c r="BF34" i="3"/>
  <c r="BF51" i="3" s="1"/>
  <c r="BF62" i="3" s="1"/>
  <c r="BE34" i="3"/>
  <c r="BC34" i="3"/>
  <c r="BA34" i="3"/>
  <c r="AY34" i="3"/>
  <c r="Y34" i="3"/>
  <c r="W34" i="3"/>
  <c r="U34" i="3"/>
  <c r="S34" i="3"/>
  <c r="Q34" i="3"/>
  <c r="BZ33" i="3"/>
  <c r="BX33" i="3"/>
  <c r="AV33" i="3"/>
  <c r="AV36" i="3" s="1"/>
  <c r="AW36" i="3" s="1"/>
  <c r="AT33" i="3"/>
  <c r="AR33" i="3"/>
  <c r="AS33" i="3" s="1"/>
  <c r="AP33" i="3"/>
  <c r="AQ33" i="3" s="1"/>
  <c r="AL33" i="3"/>
  <c r="AM33" i="3" s="1"/>
  <c r="X33" i="3"/>
  <c r="V33" i="3"/>
  <c r="T33" i="3"/>
  <c r="R33" i="3"/>
  <c r="P33" i="3"/>
  <c r="BT26" i="3"/>
  <c r="BU26" i="3" s="1"/>
  <c r="BZ24" i="3"/>
  <c r="BX24" i="3"/>
  <c r="AV24" i="3"/>
  <c r="AT24" i="3"/>
  <c r="AO24" i="3"/>
  <c r="AN24" i="3"/>
  <c r="AN33" i="3" s="1"/>
  <c r="AO33" i="3" s="1"/>
  <c r="X24" i="3"/>
  <c r="V24" i="3"/>
  <c r="T24" i="3"/>
  <c r="R24" i="3"/>
  <c r="P24" i="3"/>
  <c r="AK22" i="3"/>
  <c r="AJ22" i="3"/>
  <c r="AI22" i="3"/>
  <c r="AH22" i="3"/>
  <c r="AG22" i="3"/>
  <c r="AF22" i="3"/>
  <c r="AE22" i="3"/>
  <c r="AD22" i="3"/>
  <c r="AC22" i="3"/>
  <c r="AB22" i="3"/>
  <c r="AA22" i="3"/>
  <c r="Z22" i="3"/>
  <c r="T22" i="3"/>
  <c r="O22" i="3"/>
  <c r="N22" i="3"/>
  <c r="K22" i="3"/>
  <c r="J22" i="3"/>
  <c r="AK21" i="3"/>
  <c r="AJ21" i="3"/>
  <c r="AI21" i="3"/>
  <c r="AH21" i="3"/>
  <c r="AG21" i="3"/>
  <c r="AF21" i="3"/>
  <c r="AE21" i="3"/>
  <c r="AD21" i="3"/>
  <c r="AC21" i="3"/>
  <c r="AB21" i="3"/>
  <c r="AA21" i="3"/>
  <c r="Z21" i="3"/>
  <c r="T21" i="3"/>
  <c r="O21" i="3"/>
  <c r="N21" i="3"/>
  <c r="K21" i="3"/>
  <c r="J21" i="3"/>
  <c r="AK20" i="3"/>
  <c r="AJ20" i="3"/>
  <c r="AI20" i="3"/>
  <c r="AH20" i="3"/>
  <c r="AG20" i="3"/>
  <c r="AF20" i="3"/>
  <c r="AE20" i="3"/>
  <c r="AD20" i="3"/>
  <c r="AC20" i="3"/>
  <c r="AB20" i="3"/>
  <c r="AA20" i="3"/>
  <c r="Z20" i="3"/>
  <c r="T20" i="3"/>
  <c r="O20" i="3"/>
  <c r="N20" i="3"/>
  <c r="K20" i="3"/>
  <c r="J20" i="3"/>
  <c r="AK19" i="3"/>
  <c r="AJ19" i="3"/>
  <c r="AI19" i="3"/>
  <c r="AH19" i="3"/>
  <c r="AG19" i="3"/>
  <c r="AF19" i="3"/>
  <c r="AE19" i="3"/>
  <c r="AD19" i="3"/>
  <c r="AC19" i="3"/>
  <c r="AB19" i="3"/>
  <c r="AA19" i="3"/>
  <c r="Z19" i="3"/>
  <c r="T19" i="3"/>
  <c r="O19" i="3"/>
  <c r="N19" i="3"/>
  <c r="K19" i="3"/>
  <c r="J19" i="3"/>
  <c r="F16" i="3"/>
  <c r="D16" i="3"/>
  <c r="B16" i="3"/>
  <c r="CA9" i="3"/>
  <c r="BY9" i="3"/>
  <c r="BV9" i="3"/>
  <c r="BV24" i="3" s="1"/>
  <c r="BT9" i="3"/>
  <c r="BT24" i="3" s="1"/>
  <c r="BR9" i="3"/>
  <c r="BR24" i="3" s="1"/>
  <c r="BP9" i="3"/>
  <c r="BQ9" i="3" s="1"/>
  <c r="BN9" i="3"/>
  <c r="BO9" i="3" s="1"/>
  <c r="BL9" i="3"/>
  <c r="BL24" i="3" s="1"/>
  <c r="BJ9" i="3"/>
  <c r="BJ33" i="3" s="1"/>
  <c r="BH9" i="3"/>
  <c r="BH33" i="3" s="1"/>
  <c r="BF9" i="3"/>
  <c r="BG9" i="3" s="1"/>
  <c r="BD9" i="3"/>
  <c r="BE9" i="3" s="1"/>
  <c r="BB9" i="3"/>
  <c r="BC9" i="3" s="1"/>
  <c r="AZ9" i="3"/>
  <c r="AZ33" i="3" s="1"/>
  <c r="AX9" i="3"/>
  <c r="AW9" i="3"/>
  <c r="AU9" i="3"/>
  <c r="AK9" i="3"/>
  <c r="AJ9" i="3"/>
  <c r="AJ33" i="3" s="1"/>
  <c r="AI9" i="3"/>
  <c r="AH9" i="3"/>
  <c r="AH24" i="3" s="1"/>
  <c r="AG9" i="3"/>
  <c r="AF9" i="3"/>
  <c r="AF33" i="3" s="1"/>
  <c r="AE9" i="3"/>
  <c r="AD9" i="3"/>
  <c r="AD33" i="3" s="1"/>
  <c r="AC9" i="3"/>
  <c r="AB9" i="3"/>
  <c r="AB33" i="3" s="1"/>
  <c r="AA9" i="3"/>
  <c r="Z9" i="3"/>
  <c r="O9" i="3"/>
  <c r="N9" i="3"/>
  <c r="N24" i="3" s="1"/>
  <c r="M9" i="3"/>
  <c r="L9" i="3"/>
  <c r="L24" i="3" s="1"/>
  <c r="K9" i="3"/>
  <c r="J9" i="3"/>
  <c r="J33" i="3" s="1"/>
  <c r="I9" i="3"/>
  <c r="H9" i="3"/>
  <c r="H33" i="3" s="1"/>
  <c r="G9" i="3"/>
  <c r="F9" i="3"/>
  <c r="E9" i="3"/>
  <c r="D9" i="3"/>
  <c r="D24" i="3" s="1"/>
  <c r="C9" i="3"/>
  <c r="B9" i="3"/>
  <c r="B33" i="3" s="1"/>
  <c r="CA8" i="3"/>
  <c r="BY8" i="3"/>
  <c r="BW8" i="3"/>
  <c r="BU8" i="3"/>
  <c r="BS8" i="3"/>
  <c r="BQ8" i="3"/>
  <c r="BO8" i="3"/>
  <c r="BM8" i="3"/>
  <c r="BK8" i="3"/>
  <c r="BI8" i="3"/>
  <c r="BG8" i="3"/>
  <c r="BE8" i="3"/>
  <c r="BC8" i="3"/>
  <c r="BA8" i="3"/>
  <c r="AY8" i="3"/>
  <c r="AW8" i="3"/>
  <c r="AU8" i="3"/>
  <c r="AK8" i="3"/>
  <c r="AI8" i="3"/>
  <c r="AG8" i="3"/>
  <c r="AE8" i="3"/>
  <c r="AC8" i="3"/>
  <c r="AA8" i="3"/>
  <c r="Y8" i="3"/>
  <c r="W8" i="3"/>
  <c r="U8" i="3"/>
  <c r="S8" i="3"/>
  <c r="Q8" i="3"/>
  <c r="O8" i="3"/>
  <c r="M8" i="3"/>
  <c r="K8" i="3"/>
  <c r="I8" i="3"/>
  <c r="G8" i="3"/>
  <c r="E8" i="3"/>
  <c r="C8" i="3"/>
  <c r="E19" i="2"/>
  <c r="AT46" i="3" s="1"/>
  <c r="E18" i="2"/>
  <c r="AL45" i="3" s="1"/>
  <c r="E17" i="2"/>
  <c r="E16" i="2"/>
  <c r="E15" i="2"/>
  <c r="C14" i="2"/>
  <c r="E14" i="2" s="1"/>
  <c r="BZ42" i="3" s="1"/>
  <c r="BZ69" i="3" s="1"/>
  <c r="E13" i="2"/>
  <c r="E12" i="2"/>
  <c r="E11" i="2"/>
  <c r="L3" i="2"/>
  <c r="L5" i="2" s="1"/>
  <c r="L6" i="2" s="1"/>
  <c r="C3" i="2"/>
  <c r="C6" i="2" s="1"/>
  <c r="H3" i="1"/>
  <c r="G3" i="1"/>
  <c r="F3" i="1"/>
  <c r="E3" i="1"/>
  <c r="D3" i="1"/>
  <c r="C3" i="1"/>
  <c r="B3" i="1"/>
  <c r="BH60" i="3" l="1"/>
  <c r="BH71" i="3" s="1"/>
  <c r="AE62" i="3"/>
  <c r="AA70" i="3"/>
  <c r="BY64" i="3"/>
  <c r="F59" i="3"/>
  <c r="F70" i="3" s="1"/>
  <c r="AS69" i="3"/>
  <c r="W24" i="3"/>
  <c r="AK62" i="3"/>
  <c r="O62" i="3"/>
  <c r="AA63" i="3"/>
  <c r="O64" i="3"/>
  <c r="BX59" i="3"/>
  <c r="BX70" i="3" s="1"/>
  <c r="M63" i="3"/>
  <c r="B24" i="3"/>
  <c r="C24" i="3" s="1"/>
  <c r="Z60" i="3"/>
  <c r="Z71" i="3" s="1"/>
  <c r="AA71" i="3" s="1"/>
  <c r="BU47" i="3"/>
  <c r="BU39" i="3" s="1"/>
  <c r="AI24" i="3"/>
  <c r="CA70" i="3"/>
  <c r="BW48" i="3"/>
  <c r="BW40" i="3" s="1"/>
  <c r="S51" i="3"/>
  <c r="BM52" i="3"/>
  <c r="BM63" i="3" s="1"/>
  <c r="AG33" i="3"/>
  <c r="AG63" i="3"/>
  <c r="S24" i="3"/>
  <c r="S33" i="3"/>
  <c r="BE48" i="3"/>
  <c r="BE40" i="3" s="1"/>
  <c r="AI63" i="3"/>
  <c r="M64" i="3"/>
  <c r="AI70" i="3"/>
  <c r="AW71" i="3"/>
  <c r="CA64" i="3"/>
  <c r="BW47" i="3"/>
  <c r="BW39" i="3" s="1"/>
  <c r="Q64" i="3"/>
  <c r="U24" i="3"/>
  <c r="AU33" i="3"/>
  <c r="BG48" i="3"/>
  <c r="BG40" i="3" s="1"/>
  <c r="BU51" i="3"/>
  <c r="AK63" i="3"/>
  <c r="E65" i="3"/>
  <c r="AK70" i="3"/>
  <c r="U71" i="3"/>
  <c r="BI47" i="3"/>
  <c r="BI39" i="3" s="1"/>
  <c r="BY71" i="3"/>
  <c r="S64" i="3"/>
  <c r="K33" i="3"/>
  <c r="BF24" i="3"/>
  <c r="BG24" i="3" s="1"/>
  <c r="W33" i="3"/>
  <c r="Y63" i="3"/>
  <c r="AZ54" i="3"/>
  <c r="BO55" i="3"/>
  <c r="AU70" i="3"/>
  <c r="X60" i="3"/>
  <c r="X71" i="3" s="1"/>
  <c r="Y71" i="3" s="1"/>
  <c r="BL60" i="3"/>
  <c r="BL71" i="3" s="1"/>
  <c r="BM71" i="3" s="1"/>
  <c r="BJ62" i="3"/>
  <c r="AE65" i="3"/>
  <c r="H16" i="8"/>
  <c r="BH24" i="3"/>
  <c r="Y33" i="3"/>
  <c r="BF33" i="3"/>
  <c r="BG33" i="3" s="1"/>
  <c r="BK48" i="3"/>
  <c r="BK40" i="3" s="1"/>
  <c r="G66" i="3"/>
  <c r="CA71" i="3"/>
  <c r="BL62" i="3"/>
  <c r="AK66" i="3"/>
  <c r="M24" i="3"/>
  <c r="AE33" i="3"/>
  <c r="BI9" i="3"/>
  <c r="BI33" i="3" s="1"/>
  <c r="AF24" i="3"/>
  <c r="AG24" i="3" s="1"/>
  <c r="AH33" i="3"/>
  <c r="AI33" i="3" s="1"/>
  <c r="AZ55" i="3"/>
  <c r="AZ66" i="3" s="1"/>
  <c r="AI64" i="3"/>
  <c r="BK53" i="3"/>
  <c r="BU55" i="3"/>
  <c r="BV59" i="3"/>
  <c r="BV70" i="3" s="1"/>
  <c r="BW70" i="3" s="1"/>
  <c r="K64" i="3"/>
  <c r="AI65" i="3"/>
  <c r="BY24" i="3"/>
  <c r="I64" i="3"/>
  <c r="I66" i="3"/>
  <c r="BY70" i="3"/>
  <c r="H15" i="8"/>
  <c r="H14" i="8"/>
  <c r="H13" i="8"/>
  <c r="AD24" i="3"/>
  <c r="AE24" i="3" s="1"/>
  <c r="AC70" i="3"/>
  <c r="O63" i="3"/>
  <c r="Y36" i="3"/>
  <c r="BN66" i="3"/>
  <c r="Q36" i="3"/>
  <c r="B60" i="3"/>
  <c r="B71" i="3" s="1"/>
  <c r="C71" i="3" s="1"/>
  <c r="BP60" i="3"/>
  <c r="BP71" i="3" s="1"/>
  <c r="BQ71" i="3" s="1"/>
  <c r="BQ66" i="3"/>
  <c r="U64" i="3"/>
  <c r="BY63" i="3"/>
  <c r="H24" i="3"/>
  <c r="I24" i="3" s="1"/>
  <c r="BE47" i="3"/>
  <c r="BE39" i="3" s="1"/>
  <c r="BT47" i="3"/>
  <c r="BT39" i="3" s="1"/>
  <c r="C63" i="3"/>
  <c r="AY52" i="3"/>
  <c r="AY63" i="3" s="1"/>
  <c r="M65" i="3"/>
  <c r="BI54" i="3"/>
  <c r="BE55" i="3"/>
  <c r="BE66" i="3" s="1"/>
  <c r="AL59" i="3"/>
  <c r="AL70" i="3" s="1"/>
  <c r="AM70" i="3" s="1"/>
  <c r="D60" i="3"/>
  <c r="D71" i="3" s="1"/>
  <c r="E71" i="3" s="1"/>
  <c r="AK71" i="3"/>
  <c r="BR60" i="3"/>
  <c r="BR71" i="3" s="1"/>
  <c r="BS71" i="3" s="1"/>
  <c r="BT62" i="3"/>
  <c r="AU65" i="3"/>
  <c r="AA66" i="3"/>
  <c r="O70" i="3"/>
  <c r="L33" i="3"/>
  <c r="M33" i="3" s="1"/>
  <c r="BI71" i="3"/>
  <c r="AC71" i="3"/>
  <c r="G64" i="3"/>
  <c r="AE71" i="3"/>
  <c r="BU48" i="3"/>
  <c r="BU40" i="3" s="1"/>
  <c r="BD47" i="3"/>
  <c r="BD39" i="3" s="1"/>
  <c r="CA63" i="3"/>
  <c r="CA24" i="3"/>
  <c r="S36" i="3"/>
  <c r="BI48" i="3"/>
  <c r="BI40" i="3" s="1"/>
  <c r="BH47" i="3"/>
  <c r="BH39" i="3" s="1"/>
  <c r="E64" i="3"/>
  <c r="M66" i="3"/>
  <c r="S70" i="3"/>
  <c r="AN59" i="3"/>
  <c r="AN70" i="3" s="1"/>
  <c r="AO70" i="3" s="1"/>
  <c r="Q71" i="3"/>
  <c r="K66" i="3"/>
  <c r="AC66" i="3"/>
  <c r="BT66" i="3"/>
  <c r="BF58" i="3"/>
  <c r="AC65" i="3"/>
  <c r="M62" i="3"/>
  <c r="O24" i="3"/>
  <c r="BK9" i="3"/>
  <c r="BK33" i="3" s="1"/>
  <c r="BJ24" i="3"/>
  <c r="BK24" i="3" s="1"/>
  <c r="BC62" i="3"/>
  <c r="AK64" i="3"/>
  <c r="C64" i="3"/>
  <c r="AC33" i="3"/>
  <c r="AK33" i="3"/>
  <c r="Y24" i="3"/>
  <c r="CA33" i="3"/>
  <c r="BS54" i="3"/>
  <c r="BS65" i="3" s="1"/>
  <c r="AV44" i="3"/>
  <c r="AC63" i="3"/>
  <c r="AE64" i="3"/>
  <c r="O65" i="3"/>
  <c r="U70" i="3"/>
  <c r="S71" i="3"/>
  <c r="W62" i="3"/>
  <c r="BB63" i="3"/>
  <c r="BC63" i="3" s="1"/>
  <c r="AA64" i="3"/>
  <c r="BH65" i="3"/>
  <c r="O66" i="3"/>
  <c r="V44" i="3"/>
  <c r="W44" i="3" s="1"/>
  <c r="BQ70" i="3"/>
  <c r="BT52" i="3"/>
  <c r="BT63" i="3" s="1"/>
  <c r="BS47" i="3"/>
  <c r="BS39" i="3" s="1"/>
  <c r="BF54" i="3"/>
  <c r="BF60" i="3" s="1"/>
  <c r="BF71" i="3" s="1"/>
  <c r="K65" i="3"/>
  <c r="AB24" i="3"/>
  <c r="AC24" i="3" s="1"/>
  <c r="BD24" i="3"/>
  <c r="BE24" i="3" s="1"/>
  <c r="Q62" i="3"/>
  <c r="U36" i="3"/>
  <c r="AW69" i="3"/>
  <c r="BR48" i="3"/>
  <c r="BR40" i="3" s="1"/>
  <c r="F60" i="3"/>
  <c r="F71" i="3" s="1"/>
  <c r="G71" i="3" s="1"/>
  <c r="AG65" i="3"/>
  <c r="BU58" i="3"/>
  <c r="V59" i="3"/>
  <c r="V70" i="3" s="1"/>
  <c r="W70" i="3" s="1"/>
  <c r="AC64" i="3"/>
  <c r="F65" i="3"/>
  <c r="G65" i="3" s="1"/>
  <c r="AA65" i="3"/>
  <c r="AG66" i="3"/>
  <c r="AZ65" i="3"/>
  <c r="BA54" i="3"/>
  <c r="BL12" i="3"/>
  <c r="BL13" i="3" s="1"/>
  <c r="BL14" i="3" s="1"/>
  <c r="BJ12" i="3"/>
  <c r="BJ13" i="3" s="1"/>
  <c r="BJ14" i="3" s="1"/>
  <c r="BF12" i="3"/>
  <c r="BH12" i="3"/>
  <c r="BD12" i="3"/>
  <c r="BN12" i="3"/>
  <c r="BN13" i="3" s="1"/>
  <c r="BN14" i="3" s="1"/>
  <c r="BV12" i="3"/>
  <c r="BV16" i="3" s="1"/>
  <c r="BV13" i="3" s="1"/>
  <c r="BP12" i="3"/>
  <c r="BP16" i="3" s="1"/>
  <c r="BP13" i="3" s="1"/>
  <c r="BF13" i="3"/>
  <c r="BF16" i="3" s="1"/>
  <c r="BT12" i="3"/>
  <c r="BT16" i="3" s="1"/>
  <c r="BT13" i="3" s="1"/>
  <c r="BR12" i="3"/>
  <c r="BR16" i="3" s="1"/>
  <c r="BR13" i="3" s="1"/>
  <c r="BD13" i="3"/>
  <c r="BD16" i="3" s="1"/>
  <c r="BF59" i="3"/>
  <c r="BF70" i="3" s="1"/>
  <c r="J59" i="3"/>
  <c r="J70" i="3" s="1"/>
  <c r="K70" i="3" s="1"/>
  <c r="N33" i="3"/>
  <c r="O33" i="3" s="1"/>
  <c r="BE58" i="3"/>
  <c r="L59" i="3"/>
  <c r="L70" i="3" s="1"/>
  <c r="M70" i="3" s="1"/>
  <c r="L60" i="3"/>
  <c r="L71" i="3" s="1"/>
  <c r="M71" i="3" s="1"/>
  <c r="BB47" i="3"/>
  <c r="BB39" i="3" s="1"/>
  <c r="W66" i="3"/>
  <c r="W63" i="3"/>
  <c r="W35" i="3"/>
  <c r="BI58" i="3"/>
  <c r="BM9" i="3"/>
  <c r="BM24" i="3" s="1"/>
  <c r="S63" i="3"/>
  <c r="U63" i="3"/>
  <c r="U65" i="3"/>
  <c r="AM43" i="3"/>
  <c r="AM48" i="3" s="1"/>
  <c r="AM40" i="3" s="1"/>
  <c r="BV35" i="3"/>
  <c r="BW35" i="3" s="1"/>
  <c r="AL43" i="3"/>
  <c r="AL47" i="3" s="1"/>
  <c r="AL39" i="3" s="1"/>
  <c r="O43" i="3"/>
  <c r="O48" i="3" s="1"/>
  <c r="O40" i="3" s="1"/>
  <c r="BR35" i="3"/>
  <c r="BS35" i="3" s="1"/>
  <c r="CA43" i="3"/>
  <c r="I43" i="3"/>
  <c r="BL35" i="3"/>
  <c r="BM35" i="3" s="1"/>
  <c r="BZ43" i="3"/>
  <c r="BZ47" i="3" s="1"/>
  <c r="BZ39" i="3" s="1"/>
  <c r="AB43" i="3"/>
  <c r="H43" i="3"/>
  <c r="AS43" i="3"/>
  <c r="AS47" i="3" s="1"/>
  <c r="AS39" i="3" s="1"/>
  <c r="E43" i="3"/>
  <c r="E47" i="3" s="1"/>
  <c r="E39" i="3" s="1"/>
  <c r="BH35" i="3"/>
  <c r="BI35" i="3" s="1"/>
  <c r="AQ43" i="3"/>
  <c r="AQ47" i="3" s="1"/>
  <c r="AQ39" i="3" s="1"/>
  <c r="C43" i="3"/>
  <c r="C47" i="3" s="1"/>
  <c r="C39" i="3" s="1"/>
  <c r="AY43" i="3"/>
  <c r="AY47" i="3" s="1"/>
  <c r="AY39" i="3" s="1"/>
  <c r="AX43" i="3"/>
  <c r="AX48" i="3" s="1"/>
  <c r="AX40" i="3" s="1"/>
  <c r="AU43" i="3"/>
  <c r="BN39" i="3"/>
  <c r="AT43" i="3"/>
  <c r="N43" i="3"/>
  <c r="N48" i="3" s="1"/>
  <c r="N40" i="3" s="1"/>
  <c r="AR43" i="3"/>
  <c r="AR47" i="3" s="1"/>
  <c r="AR39" i="3" s="1"/>
  <c r="M43" i="3"/>
  <c r="M48" i="3" s="1"/>
  <c r="M40" i="3" s="1"/>
  <c r="AV35" i="3"/>
  <c r="BY43" i="3"/>
  <c r="AP43" i="3"/>
  <c r="AP47" i="3" s="1"/>
  <c r="AP39" i="3" s="1"/>
  <c r="L43" i="3"/>
  <c r="L48" i="3" s="1"/>
  <c r="L40" i="3" s="1"/>
  <c r="BX43" i="3"/>
  <c r="BX47" i="3" s="1"/>
  <c r="BX39" i="3" s="1"/>
  <c r="AO43" i="3"/>
  <c r="K43" i="3"/>
  <c r="K48" i="3" s="1"/>
  <c r="K40" i="3" s="1"/>
  <c r="AN43" i="3"/>
  <c r="J43" i="3"/>
  <c r="J48" i="3" s="1"/>
  <c r="J40" i="3" s="1"/>
  <c r="BT35" i="3"/>
  <c r="BU35" i="3" s="1"/>
  <c r="AK43" i="3"/>
  <c r="G43" i="3"/>
  <c r="AJ43" i="3"/>
  <c r="AJ47" i="3" s="1"/>
  <c r="AJ39" i="3" s="1"/>
  <c r="F43" i="3"/>
  <c r="BV26" i="3"/>
  <c r="BW26" i="3" s="1"/>
  <c r="AH43" i="3"/>
  <c r="AH48" i="3" s="1"/>
  <c r="AH40" i="3" s="1"/>
  <c r="D43" i="3"/>
  <c r="D47" i="3" s="1"/>
  <c r="D39" i="3" s="1"/>
  <c r="BP35" i="3"/>
  <c r="BQ35" i="3" s="1"/>
  <c r="J24" i="3"/>
  <c r="K24" i="3" s="1"/>
  <c r="BD33" i="3"/>
  <c r="BE33" i="3" s="1"/>
  <c r="AG45" i="3"/>
  <c r="J42" i="3"/>
  <c r="J69" i="3" s="1"/>
  <c r="BV42" i="3"/>
  <c r="BV69" i="3" s="1"/>
  <c r="AS46" i="3"/>
  <c r="E63" i="3"/>
  <c r="BO58" i="3"/>
  <c r="AW70" i="3"/>
  <c r="Y62" i="3"/>
  <c r="R43" i="3"/>
  <c r="S43" i="3" s="1"/>
  <c r="S35" i="3"/>
  <c r="AZ59" i="3"/>
  <c r="AZ70" i="3" s="1"/>
  <c r="BA70" i="3" s="1"/>
  <c r="AZ48" i="3"/>
  <c r="AZ40" i="3" s="1"/>
  <c r="AZ60" i="3"/>
  <c r="AZ71" i="3" s="1"/>
  <c r="BA71" i="3" s="1"/>
  <c r="BA47" i="3"/>
  <c r="BA39" i="3" s="1"/>
  <c r="AZ47" i="3"/>
  <c r="AZ39" i="3" s="1"/>
  <c r="L7" i="2"/>
  <c r="BJ65" i="3"/>
  <c r="BK54" i="3"/>
  <c r="AY62" i="3"/>
  <c r="AY42" i="3"/>
  <c r="BF35" i="3"/>
  <c r="BF47" i="3"/>
  <c r="BF39" i="3" s="1"/>
  <c r="BB33" i="3"/>
  <c r="BC33" i="3" s="1"/>
  <c r="BA42" i="3"/>
  <c r="BS42" i="3"/>
  <c r="BA62" i="3"/>
  <c r="BC42" i="3"/>
  <c r="I42" i="3"/>
  <c r="BM58" i="3"/>
  <c r="Q66" i="3"/>
  <c r="Y70" i="3"/>
  <c r="BP40" i="3"/>
  <c r="E24" i="3"/>
  <c r="BP33" i="3"/>
  <c r="BQ33" i="3" s="1"/>
  <c r="BP24" i="3"/>
  <c r="BQ24" i="3" s="1"/>
  <c r="K42" i="3"/>
  <c r="BM40" i="3"/>
  <c r="C66" i="3"/>
  <c r="BD60" i="3"/>
  <c r="BD71" i="3" s="1"/>
  <c r="BE71" i="3" s="1"/>
  <c r="H59" i="3"/>
  <c r="H70" i="3" s="1"/>
  <c r="I70" i="3" s="1"/>
  <c r="H65" i="3"/>
  <c r="I65" i="3" s="1"/>
  <c r="Q63" i="3"/>
  <c r="AR45" i="3"/>
  <c r="D45" i="3"/>
  <c r="AQ45" i="3"/>
  <c r="C45" i="3"/>
  <c r="AN45" i="3"/>
  <c r="AH45" i="3"/>
  <c r="N45" i="3"/>
  <c r="BB45" i="3"/>
  <c r="BB56" i="3" s="1"/>
  <c r="M45" i="3"/>
  <c r="AD45" i="3"/>
  <c r="J45" i="3"/>
  <c r="AB45" i="3"/>
  <c r="H45" i="3"/>
  <c r="BZ45" i="3"/>
  <c r="Z45" i="3"/>
  <c r="BY45" i="3"/>
  <c r="BX45" i="3"/>
  <c r="AZ45" i="3"/>
  <c r="AZ56" i="3" s="1"/>
  <c r="AX45" i="3"/>
  <c r="AX56" i="3" s="1"/>
  <c r="R45" i="3"/>
  <c r="S45" i="3" s="1"/>
  <c r="AU45" i="3"/>
  <c r="AT45" i="3"/>
  <c r="P45" i="3"/>
  <c r="Q45" i="3" s="1"/>
  <c r="AS45" i="3"/>
  <c r="O45" i="3"/>
  <c r="AP45" i="3"/>
  <c r="L45" i="3"/>
  <c r="AU66" i="3"/>
  <c r="AU63" i="3"/>
  <c r="AU62" i="3"/>
  <c r="AJ24" i="3"/>
  <c r="AK24" i="3" s="1"/>
  <c r="BI42" i="3"/>
  <c r="BI55" i="3"/>
  <c r="BI66" i="3" s="1"/>
  <c r="L42" i="3"/>
  <c r="L69" i="3" s="1"/>
  <c r="AM45" i="3"/>
  <c r="G63" i="3"/>
  <c r="BR69" i="3"/>
  <c r="Y65" i="3"/>
  <c r="U35" i="3"/>
  <c r="BY42" i="3"/>
  <c r="AK42" i="3"/>
  <c r="BX42" i="3"/>
  <c r="BX69" i="3" s="1"/>
  <c r="BD42" i="3"/>
  <c r="BD69" i="3" s="1"/>
  <c r="AJ42" i="3"/>
  <c r="AJ69" i="3" s="1"/>
  <c r="P42" i="3"/>
  <c r="AG42" i="3"/>
  <c r="M42" i="3"/>
  <c r="AU42" i="3"/>
  <c r="AA42" i="3"/>
  <c r="G42" i="3"/>
  <c r="BN42" i="3"/>
  <c r="BN69" i="3" s="1"/>
  <c r="AT42" i="3"/>
  <c r="AT69" i="3" s="1"/>
  <c r="Z42" i="3"/>
  <c r="Z69" i="3" s="1"/>
  <c r="F42" i="3"/>
  <c r="F69" i="3" s="1"/>
  <c r="AQ42" i="3"/>
  <c r="AQ69" i="3" s="1"/>
  <c r="C42" i="3"/>
  <c r="AO42" i="3"/>
  <c r="BP42" i="3"/>
  <c r="BP69" i="3" s="1"/>
  <c r="AI42" i="3"/>
  <c r="E42" i="3"/>
  <c r="AH42" i="3"/>
  <c r="AH69" i="3" s="1"/>
  <c r="D42" i="3"/>
  <c r="D69" i="3" s="1"/>
  <c r="BL42" i="3"/>
  <c r="BL69" i="3" s="1"/>
  <c r="AF42" i="3"/>
  <c r="AF69" i="3" s="1"/>
  <c r="B42" i="3"/>
  <c r="B69" i="3" s="1"/>
  <c r="BJ42" i="3"/>
  <c r="BJ69" i="3" s="1"/>
  <c r="AE42" i="3"/>
  <c r="BH42" i="3"/>
  <c r="BH69" i="3" s="1"/>
  <c r="AD42" i="3"/>
  <c r="AD69" i="3" s="1"/>
  <c r="AC42" i="3"/>
  <c r="AB42" i="3"/>
  <c r="AB69" i="3" s="1"/>
  <c r="BB42" i="3"/>
  <c r="BB69" i="3" s="1"/>
  <c r="X42" i="3"/>
  <c r="AZ42" i="3"/>
  <c r="AZ69" i="3" s="1"/>
  <c r="V42" i="3"/>
  <c r="T42" i="3"/>
  <c r="AB46" i="3"/>
  <c r="H46" i="3"/>
  <c r="AU46" i="3"/>
  <c r="AA46" i="3"/>
  <c r="G46" i="3"/>
  <c r="AR46" i="3"/>
  <c r="X46" i="3"/>
  <c r="Y46" i="3" s="1"/>
  <c r="D46" i="3"/>
  <c r="BZ46" i="3"/>
  <c r="AL46" i="3"/>
  <c r="R46" i="3"/>
  <c r="S46" i="3" s="1"/>
  <c r="BY46" i="3"/>
  <c r="AK46" i="3"/>
  <c r="BB46" i="3"/>
  <c r="AH46" i="3"/>
  <c r="N46" i="3"/>
  <c r="AZ46" i="3"/>
  <c r="AF46" i="3"/>
  <c r="L46" i="3"/>
  <c r="AG46" i="3"/>
  <c r="B46" i="3"/>
  <c r="AE46" i="3"/>
  <c r="AD46" i="3"/>
  <c r="AC46" i="3"/>
  <c r="CA46" i="3"/>
  <c r="Z46" i="3"/>
  <c r="BX46" i="3"/>
  <c r="BC46" i="3"/>
  <c r="BA46" i="3"/>
  <c r="V46" i="3"/>
  <c r="W46" i="3" s="1"/>
  <c r="AV38" i="3"/>
  <c r="AV46" i="3" s="1"/>
  <c r="AY46" i="3"/>
  <c r="AX46" i="3"/>
  <c r="T46" i="3"/>
  <c r="U46" i="3" s="1"/>
  <c r="AW46" i="3"/>
  <c r="N42" i="3"/>
  <c r="N69" i="3" s="1"/>
  <c r="CA42" i="3"/>
  <c r="CA69" i="3" s="1"/>
  <c r="AO45" i="3"/>
  <c r="C62" i="3"/>
  <c r="AI62" i="3"/>
  <c r="AZ63" i="3"/>
  <c r="BA52" i="3"/>
  <c r="E66" i="3"/>
  <c r="G70" i="3"/>
  <c r="S62" i="3"/>
  <c r="U62" i="3"/>
  <c r="BT42" i="3"/>
  <c r="BT69" i="3" s="1"/>
  <c r="AW33" i="3"/>
  <c r="AW24" i="3"/>
  <c r="AW66" i="3"/>
  <c r="AW63" i="3"/>
  <c r="AW64" i="3"/>
  <c r="F24" i="3"/>
  <c r="G24" i="3" s="1"/>
  <c r="F33" i="3"/>
  <c r="G33" i="3" s="1"/>
  <c r="C33" i="3"/>
  <c r="BS9" i="3"/>
  <c r="BS24" i="3" s="1"/>
  <c r="BM42" i="3"/>
  <c r="AY45" i="3"/>
  <c r="O42" i="3"/>
  <c r="B43" i="3"/>
  <c r="B48" i="3" s="1"/>
  <c r="B40" i="3" s="1"/>
  <c r="C46" i="3"/>
  <c r="I63" i="3"/>
  <c r="AG62" i="3"/>
  <c r="I33" i="3"/>
  <c r="BR26" i="3"/>
  <c r="BS26" i="3" s="1"/>
  <c r="BA45" i="3"/>
  <c r="R42" i="3"/>
  <c r="E46" i="3"/>
  <c r="G62" i="3"/>
  <c r="BV33" i="3"/>
  <c r="BW9" i="3"/>
  <c r="BW24" i="3" s="1"/>
  <c r="Q24" i="3"/>
  <c r="AU24" i="3"/>
  <c r="BL33" i="3"/>
  <c r="BC45" i="3"/>
  <c r="F46" i="3"/>
  <c r="M47" i="3"/>
  <c r="M39" i="3" s="1"/>
  <c r="BM47" i="3"/>
  <c r="BM39" i="3" s="1"/>
  <c r="BB55" i="3"/>
  <c r="H60" i="3"/>
  <c r="H71" i="3" s="1"/>
  <c r="I71" i="3" s="1"/>
  <c r="Q33" i="3"/>
  <c r="T48" i="3"/>
  <c r="H42" i="3"/>
  <c r="H69" i="3" s="1"/>
  <c r="BE54" i="3"/>
  <c r="BE65" i="3" s="1"/>
  <c r="BD59" i="3"/>
  <c r="BD70" i="3" s="1"/>
  <c r="BE70" i="3" s="1"/>
  <c r="BD52" i="3"/>
  <c r="BD63" i="3" s="1"/>
  <c r="U33" i="3"/>
  <c r="BN24" i="3"/>
  <c r="BO24" i="3" s="1"/>
  <c r="BN33" i="3"/>
  <c r="BO33" i="3" s="1"/>
  <c r="J60" i="3"/>
  <c r="J71" i="3" s="1"/>
  <c r="K71" i="3" s="1"/>
  <c r="BB24" i="3"/>
  <c r="BC24" i="3" s="1"/>
  <c r="BR33" i="3"/>
  <c r="BS33" i="3" s="1"/>
  <c r="BE35" i="3"/>
  <c r="AM42" i="3"/>
  <c r="Z43" i="3"/>
  <c r="J46" i="3"/>
  <c r="BO47" i="3"/>
  <c r="BO39" i="3" s="1"/>
  <c r="BB48" i="3"/>
  <c r="BB40" i="3" s="1"/>
  <c r="BD62" i="3"/>
  <c r="BE51" i="3"/>
  <c r="Y64" i="3"/>
  <c r="AG64" i="3"/>
  <c r="B59" i="3"/>
  <c r="B70" i="3" s="1"/>
  <c r="C70" i="3" s="1"/>
  <c r="AP60" i="3"/>
  <c r="AP71" i="3" s="1"/>
  <c r="AQ71" i="3" s="1"/>
  <c r="AP59" i="3"/>
  <c r="AP70" i="3" s="1"/>
  <c r="AQ70" i="3" s="1"/>
  <c r="Q35" i="3"/>
  <c r="AX47" i="3"/>
  <c r="AX39" i="3" s="1"/>
  <c r="Z24" i="3"/>
  <c r="AA24" i="3" s="1"/>
  <c r="Z33" i="3"/>
  <c r="AA33" i="3" s="1"/>
  <c r="AG47" i="3"/>
  <c r="AG39" i="3" s="1"/>
  <c r="AG48" i="3"/>
  <c r="AG40" i="3" s="1"/>
  <c r="N60" i="3"/>
  <c r="N71" i="3" s="1"/>
  <c r="O71" i="3" s="1"/>
  <c r="V48" i="3"/>
  <c r="T47" i="3"/>
  <c r="P47" i="3"/>
  <c r="P48" i="3"/>
  <c r="N47" i="3"/>
  <c r="N39" i="3" s="1"/>
  <c r="V47" i="3"/>
  <c r="BV52" i="3"/>
  <c r="BV62" i="3"/>
  <c r="BW51" i="3"/>
  <c r="AX24" i="3"/>
  <c r="AX33" i="3"/>
  <c r="AL42" i="3"/>
  <c r="AL69" i="3" s="1"/>
  <c r="X43" i="3"/>
  <c r="Y43" i="3" s="1"/>
  <c r="BA48" i="3"/>
  <c r="BA40" i="3" s="1"/>
  <c r="I62" i="3"/>
  <c r="AY9" i="3"/>
  <c r="D33" i="3"/>
  <c r="E33" i="3" s="1"/>
  <c r="AN42" i="3"/>
  <c r="AN69" i="3" s="1"/>
  <c r="AA43" i="3"/>
  <c r="B45" i="3"/>
  <c r="K46" i="3"/>
  <c r="BP39" i="3"/>
  <c r="K62" i="3"/>
  <c r="BB54" i="3"/>
  <c r="BB60" i="3" s="1"/>
  <c r="BB71" i="3" s="1"/>
  <c r="BC71" i="3" s="1"/>
  <c r="AX69" i="3"/>
  <c r="Q70" i="3"/>
  <c r="AI66" i="3"/>
  <c r="D59" i="3"/>
  <c r="D70" i="3" s="1"/>
  <c r="E70" i="3" s="1"/>
  <c r="AR59" i="3"/>
  <c r="AR70" i="3" s="1"/>
  <c r="AS70" i="3" s="1"/>
  <c r="AR60" i="3"/>
  <c r="AR71" i="3" s="1"/>
  <c r="AS71" i="3" s="1"/>
  <c r="BQ39" i="3"/>
  <c r="BQ58" i="3"/>
  <c r="AU64" i="3"/>
  <c r="AK65" i="3"/>
  <c r="BG47" i="3"/>
  <c r="BG39" i="3" s="1"/>
  <c r="BF48" i="3"/>
  <c r="BF40" i="3" s="1"/>
  <c r="BA9" i="3"/>
  <c r="BA33" i="3" s="1"/>
  <c r="BU9" i="3"/>
  <c r="BU24" i="3" s="1"/>
  <c r="BE42" i="3"/>
  <c r="AC43" i="3"/>
  <c r="BK55" i="3"/>
  <c r="BK66" i="3" s="1"/>
  <c r="AW62" i="3"/>
  <c r="S66" i="3"/>
  <c r="BF64" i="3"/>
  <c r="T45" i="3"/>
  <c r="U45" i="3" s="1"/>
  <c r="BL40" i="3"/>
  <c r="BH62" i="3"/>
  <c r="BH52" i="3"/>
  <c r="BM54" i="3"/>
  <c r="BM65" i="3" s="1"/>
  <c r="BS58" i="3"/>
  <c r="AA62" i="3"/>
  <c r="BY62" i="3"/>
  <c r="BP65" i="3"/>
  <c r="U66" i="3"/>
  <c r="BY66" i="3"/>
  <c r="W71" i="3"/>
  <c r="BJ48" i="3"/>
  <c r="BJ40" i="3" s="1"/>
  <c r="BJ60" i="3"/>
  <c r="BJ71" i="3" s="1"/>
  <c r="BK71" i="3" s="1"/>
  <c r="BG42" i="3"/>
  <c r="BI51" i="3"/>
  <c r="BO54" i="3"/>
  <c r="BO65" i="3" s="1"/>
  <c r="BN60" i="3"/>
  <c r="BN71" i="3" s="1"/>
  <c r="BO71" i="3" s="1"/>
  <c r="BM55" i="3"/>
  <c r="BM66" i="3" s="1"/>
  <c r="AC62" i="3"/>
  <c r="CA62" i="3"/>
  <c r="W64" i="3"/>
  <c r="CA66" i="3"/>
  <c r="BL59" i="3"/>
  <c r="BL70" i="3" s="1"/>
  <c r="BM70" i="3" s="1"/>
  <c r="AI43" i="3"/>
  <c r="BF42" i="3"/>
  <c r="AV37" i="3"/>
  <c r="AV45" i="3" s="1"/>
  <c r="BK58" i="3"/>
  <c r="BK51" i="3"/>
  <c r="BK42" i="3"/>
  <c r="W37" i="3"/>
  <c r="BQ54" i="3"/>
  <c r="BW58" i="3"/>
  <c r="Q65" i="3"/>
  <c r="Y66" i="3"/>
  <c r="BT33" i="3"/>
  <c r="X45" i="3"/>
  <c r="Y45" i="3" s="1"/>
  <c r="BM51" i="3"/>
  <c r="BM62" i="3" s="1"/>
  <c r="BJ63" i="3"/>
  <c r="BK52" i="3"/>
  <c r="BM53" i="3"/>
  <c r="S65" i="3"/>
  <c r="AD47" i="3"/>
  <c r="AD39" i="3" s="1"/>
  <c r="BO42" i="3"/>
  <c r="BQ48" i="3"/>
  <c r="BQ40" i="3" s="1"/>
  <c r="BN62" i="3"/>
  <c r="BO51" i="3"/>
  <c r="BS55" i="3"/>
  <c r="BS66" i="3" s="1"/>
  <c r="AY58" i="3"/>
  <c r="AE63" i="3"/>
  <c r="BY65" i="3"/>
  <c r="AF48" i="3"/>
  <c r="AF40" i="3" s="1"/>
  <c r="AF59" i="3"/>
  <c r="AF70" i="3" s="1"/>
  <c r="AG70" i="3" s="1"/>
  <c r="AF60" i="3"/>
  <c r="AF71" i="3" s="1"/>
  <c r="AG71" i="3" s="1"/>
  <c r="BT48" i="3"/>
  <c r="BT40" i="3" s="1"/>
  <c r="BT59" i="3"/>
  <c r="BT70" i="3" s="1"/>
  <c r="BU70" i="3" s="1"/>
  <c r="BT60" i="3"/>
  <c r="BT71" i="3" s="1"/>
  <c r="BU71" i="3" s="1"/>
  <c r="BJ39" i="3"/>
  <c r="BQ51" i="3"/>
  <c r="BQ62" i="3" s="1"/>
  <c r="BN52" i="3"/>
  <c r="BO53" i="3"/>
  <c r="BU54" i="3"/>
  <c r="BU65" i="3" s="1"/>
  <c r="BJ59" i="3"/>
  <c r="BJ70" i="3" s="1"/>
  <c r="BK70" i="3" s="1"/>
  <c r="CA65" i="3"/>
  <c r="AH60" i="3"/>
  <c r="AH71" i="3" s="1"/>
  <c r="AI71" i="3" s="1"/>
  <c r="BV60" i="3"/>
  <c r="BV71" i="3" s="1"/>
  <c r="BW71" i="3" s="1"/>
  <c r="BV47" i="3"/>
  <c r="BV39" i="3" s="1"/>
  <c r="AZ24" i="3"/>
  <c r="BK39" i="3"/>
  <c r="BR62" i="3"/>
  <c r="BR52" i="3"/>
  <c r="BW54" i="3"/>
  <c r="BW65" i="3" s="1"/>
  <c r="BN59" i="3"/>
  <c r="BN70" i="3" s="1"/>
  <c r="BO70" i="3" s="1"/>
  <c r="W65" i="3"/>
  <c r="AW65" i="3"/>
  <c r="BF68" i="3"/>
  <c r="C65" i="3"/>
  <c r="K44" i="3"/>
  <c r="AX44" i="3"/>
  <c r="AX55" i="3" s="1"/>
  <c r="AD44" i="3"/>
  <c r="J44" i="3"/>
  <c r="BT36" i="3"/>
  <c r="BU36" i="3" s="1"/>
  <c r="BZ44" i="3"/>
  <c r="AU44" i="3"/>
  <c r="G44" i="3"/>
  <c r="AO44" i="3"/>
  <c r="AN44" i="3"/>
  <c r="BG36" i="3"/>
  <c r="O44" i="3"/>
  <c r="BY33" i="3"/>
  <c r="BU42" i="3"/>
  <c r="BC43" i="3"/>
  <c r="BC48" i="3" s="1"/>
  <c r="BC40" i="3" s="1"/>
  <c r="BL36" i="3"/>
  <c r="BM36" i="3" s="1"/>
  <c r="F44" i="3"/>
  <c r="AL44" i="3"/>
  <c r="BL47" i="3"/>
  <c r="BL39" i="3" s="1"/>
  <c r="BV40" i="3"/>
  <c r="BS51" i="3"/>
  <c r="BP52" i="3"/>
  <c r="BV66" i="3"/>
  <c r="BW55" i="3"/>
  <c r="K63" i="3"/>
  <c r="AE66" i="3"/>
  <c r="BF66" i="3"/>
  <c r="BF67" i="3"/>
  <c r="AU71" i="3"/>
  <c r="AM47" i="3"/>
  <c r="AM39" i="3" s="1"/>
  <c r="AL48" i="3"/>
  <c r="AL40" i="3" s="1"/>
  <c r="BH59" i="3"/>
  <c r="BH70" i="3" s="1"/>
  <c r="BI70" i="3" s="1"/>
  <c r="AD59" i="3"/>
  <c r="AD70" i="3" s="1"/>
  <c r="AE70" i="3" s="1"/>
  <c r="BR59" i="3"/>
  <c r="BR70" i="3" s="1"/>
  <c r="BS70" i="3" s="1"/>
  <c r="AE48" i="3"/>
  <c r="AE40" i="3" s="1"/>
  <c r="BS48" i="3"/>
  <c r="BS40" i="3" s="1"/>
  <c r="AE69" i="3" l="1"/>
  <c r="BU52" i="3"/>
  <c r="AI69" i="3"/>
  <c r="K47" i="3"/>
  <c r="K39" i="3" s="1"/>
  <c r="BA55" i="3"/>
  <c r="BA66" i="3" s="1"/>
  <c r="BI65" i="3"/>
  <c r="BO66" i="3"/>
  <c r="L47" i="3"/>
  <c r="L39" i="3" s="1"/>
  <c r="R47" i="3"/>
  <c r="S47" i="3" s="1"/>
  <c r="BI24" i="3"/>
  <c r="AY48" i="3"/>
  <c r="AY40" i="3" s="1"/>
  <c r="X47" i="3"/>
  <c r="AG69" i="3"/>
  <c r="BF52" i="3"/>
  <c r="BF63" i="3" s="1"/>
  <c r="BK62" i="3"/>
  <c r="BF69" i="3"/>
  <c r="BF65" i="3"/>
  <c r="AK69" i="3"/>
  <c r="BG58" i="3"/>
  <c r="AC69" i="3"/>
  <c r="AO69" i="3"/>
  <c r="BI69" i="3"/>
  <c r="BK65" i="3"/>
  <c r="BG66" i="3"/>
  <c r="BX48" i="3"/>
  <c r="BX40" i="3" s="1"/>
  <c r="AX54" i="3"/>
  <c r="AX60" i="3" s="1"/>
  <c r="AX71" i="3" s="1"/>
  <c r="AY71" i="3" s="1"/>
  <c r="AQ48" i="3"/>
  <c r="AQ40" i="3" s="1"/>
  <c r="AR48" i="3"/>
  <c r="AR40" i="3" s="1"/>
  <c r="AA69" i="3"/>
  <c r="BU66" i="3"/>
  <c r="BA24" i="3"/>
  <c r="B47" i="3"/>
  <c r="B39" i="3" s="1"/>
  <c r="C69" i="3"/>
  <c r="BU62" i="3"/>
  <c r="BW62" i="3"/>
  <c r="BE69" i="3"/>
  <c r="BG71" i="3"/>
  <c r="J47" i="3"/>
  <c r="J39" i="3" s="1"/>
  <c r="O47" i="3"/>
  <c r="O39" i="3" s="1"/>
  <c r="C48" i="3"/>
  <c r="C40" i="3" s="1"/>
  <c r="BS69" i="3"/>
  <c r="AJ48" i="3"/>
  <c r="AJ40" i="3" s="1"/>
  <c r="BE62" i="3"/>
  <c r="AY69" i="3"/>
  <c r="G69" i="3"/>
  <c r="O69" i="3"/>
  <c r="M69" i="3"/>
  <c r="BA65" i="3"/>
  <c r="AU69" i="3"/>
  <c r="BK63" i="3"/>
  <c r="BG51" i="3"/>
  <c r="BU69" i="3"/>
  <c r="BA63" i="3"/>
  <c r="BO69" i="3"/>
  <c r="X48" i="3"/>
  <c r="X40" i="3" s="1"/>
  <c r="Y40" i="3" s="1"/>
  <c r="BO52" i="3"/>
  <c r="BN63" i="3"/>
  <c r="AZ67" i="3"/>
  <c r="BA56" i="3"/>
  <c r="BP63" i="3"/>
  <c r="BQ52" i="3"/>
  <c r="BW69" i="3"/>
  <c r="AK47" i="3"/>
  <c r="AK39" i="3" s="1"/>
  <c r="AK48" i="3"/>
  <c r="AK40" i="3" s="1"/>
  <c r="CA47" i="3"/>
  <c r="CA39" i="3" s="1"/>
  <c r="CA48" i="3"/>
  <c r="CA40" i="3" s="1"/>
  <c r="R69" i="3"/>
  <c r="S42" i="3"/>
  <c r="Y47" i="3"/>
  <c r="X39" i="3"/>
  <c r="Y39" i="3" s="1"/>
  <c r="AS48" i="3"/>
  <c r="AS40" i="3" s="1"/>
  <c r="BG54" i="3"/>
  <c r="BG70" i="3"/>
  <c r="D48" i="3"/>
  <c r="D40" i="3" s="1"/>
  <c r="T39" i="3"/>
  <c r="U39" i="3" s="1"/>
  <c r="U47" i="3"/>
  <c r="AC47" i="3"/>
  <c r="AC39" i="3" s="1"/>
  <c r="AC48" i="3"/>
  <c r="AC40" i="3" s="1"/>
  <c r="E48" i="3"/>
  <c r="E40" i="3" s="1"/>
  <c r="V40" i="3"/>
  <c r="W40" i="3" s="1"/>
  <c r="W48" i="3"/>
  <c r="BW33" i="3"/>
  <c r="E69" i="3"/>
  <c r="BC47" i="3"/>
  <c r="BC39" i="3" s="1"/>
  <c r="H48" i="3"/>
  <c r="H40" i="3" s="1"/>
  <c r="H47" i="3"/>
  <c r="H39" i="3" s="1"/>
  <c r="AA47" i="3"/>
  <c r="AA39" i="3" s="1"/>
  <c r="AA48" i="3"/>
  <c r="AA40" i="3" s="1"/>
  <c r="BG62" i="3"/>
  <c r="BS52" i="3"/>
  <c r="BR63" i="3"/>
  <c r="AU48" i="3"/>
  <c r="AU40" i="3" s="1"/>
  <c r="AU47" i="3"/>
  <c r="AU39" i="3" s="1"/>
  <c r="BB59" i="3"/>
  <c r="BB70" i="3" s="1"/>
  <c r="BC70" i="3" s="1"/>
  <c r="BY48" i="3"/>
  <c r="BY40" i="3" s="1"/>
  <c r="BY47" i="3"/>
  <c r="BY39" i="3" s="1"/>
  <c r="AT47" i="3"/>
  <c r="AT39" i="3" s="1"/>
  <c r="AT48" i="3"/>
  <c r="AT40" i="3" s="1"/>
  <c r="BQ65" i="3"/>
  <c r="Q42" i="3"/>
  <c r="P69" i="3"/>
  <c r="AN47" i="3"/>
  <c r="AN39" i="3" s="1"/>
  <c r="AN48" i="3"/>
  <c r="AN40" i="3" s="1"/>
  <c r="AB48" i="3"/>
  <c r="AB40" i="3" s="1"/>
  <c r="AB47" i="3"/>
  <c r="AB39" i="3" s="1"/>
  <c r="AX67" i="3"/>
  <c r="AY56" i="3"/>
  <c r="BB67" i="3"/>
  <c r="BC56" i="3"/>
  <c r="I47" i="3"/>
  <c r="I39" i="3" s="1"/>
  <c r="I48" i="3"/>
  <c r="I40" i="3" s="1"/>
  <c r="BS62" i="3"/>
  <c r="AM69" i="3"/>
  <c r="U42" i="3"/>
  <c r="T69" i="3"/>
  <c r="BM69" i="3"/>
  <c r="BW66" i="3"/>
  <c r="R48" i="3"/>
  <c r="AY33" i="3"/>
  <c r="I69" i="3"/>
  <c r="P40" i="3"/>
  <c r="Q40" i="3" s="1"/>
  <c r="Q48" i="3"/>
  <c r="BU33" i="3"/>
  <c r="AI47" i="3"/>
  <c r="AI39" i="3" s="1"/>
  <c r="AI48" i="3"/>
  <c r="AI40" i="3" s="1"/>
  <c r="AY24" i="3"/>
  <c r="BE52" i="3"/>
  <c r="BE63" i="3" s="1"/>
  <c r="U48" i="3"/>
  <c r="T40" i="3"/>
  <c r="U40" i="3" s="1"/>
  <c r="W42" i="3"/>
  <c r="V69" i="3"/>
  <c r="BY69" i="3"/>
  <c r="Z47" i="3"/>
  <c r="Z39" i="3" s="1"/>
  <c r="Z48" i="3"/>
  <c r="Z40" i="3" s="1"/>
  <c r="P39" i="3"/>
  <c r="Q39" i="3" s="1"/>
  <c r="Q47" i="3"/>
  <c r="BA69" i="3"/>
  <c r="AO48" i="3"/>
  <c r="AO40" i="3" s="1"/>
  <c r="AO47" i="3"/>
  <c r="AO39" i="3" s="1"/>
  <c r="F47" i="3"/>
  <c r="F39" i="3" s="1"/>
  <c r="F48" i="3"/>
  <c r="F40" i="3" s="1"/>
  <c r="BU63" i="3"/>
  <c r="BC54" i="3"/>
  <c r="BB65" i="3"/>
  <c r="K69" i="3"/>
  <c r="AV43" i="3"/>
  <c r="AW35" i="3"/>
  <c r="AW43" i="3" s="1"/>
  <c r="G48" i="3"/>
  <c r="G40" i="3" s="1"/>
  <c r="G47" i="3"/>
  <c r="G39" i="3" s="1"/>
  <c r="BZ48" i="3"/>
  <c r="BZ40" i="3" s="1"/>
  <c r="AH47" i="3"/>
  <c r="AH39" i="3" s="1"/>
  <c r="BI52" i="3"/>
  <c r="BH63" i="3"/>
  <c r="Y42" i="3"/>
  <c r="X69" i="3"/>
  <c r="W47" i="3"/>
  <c r="V39" i="3"/>
  <c r="W39" i="3" s="1"/>
  <c r="BB66" i="3"/>
  <c r="BC55" i="3"/>
  <c r="BQ69" i="3"/>
  <c r="AP48" i="3"/>
  <c r="AP40" i="3" s="1"/>
  <c r="BM33" i="3"/>
  <c r="BK69" i="3"/>
  <c r="AY55" i="3"/>
  <c r="AX66" i="3"/>
  <c r="BO62" i="3"/>
  <c r="BI62" i="3"/>
  <c r="BV63" i="3"/>
  <c r="BW52" i="3"/>
  <c r="BC69" i="3"/>
  <c r="BO63" i="3" l="1"/>
  <c r="BI63" i="3"/>
  <c r="R39" i="3"/>
  <c r="S39" i="3" s="1"/>
  <c r="BG69" i="3"/>
  <c r="BG52" i="3"/>
  <c r="AY66" i="3"/>
  <c r="Q69" i="3"/>
  <c r="BG63" i="3"/>
  <c r="BG65" i="3"/>
  <c r="AX65" i="3"/>
  <c r="Y48" i="3"/>
  <c r="AX59" i="3"/>
  <c r="AX70" i="3" s="1"/>
  <c r="AY70" i="3" s="1"/>
  <c r="BC66" i="3"/>
  <c r="AY54" i="3"/>
  <c r="BC65" i="3"/>
  <c r="W69" i="3"/>
  <c r="BS63" i="3"/>
  <c r="Y69" i="3"/>
  <c r="BW63" i="3"/>
  <c r="S69" i="3"/>
  <c r="BQ63" i="3"/>
  <c r="AW47" i="3"/>
  <c r="AW39" i="3" s="1"/>
  <c r="AW48" i="3"/>
  <c r="AW40" i="3" s="1"/>
  <c r="U69" i="3"/>
  <c r="AV48" i="3"/>
  <c r="AV40" i="3" s="1"/>
  <c r="AV47" i="3"/>
  <c r="AV39" i="3" s="1"/>
  <c r="R40" i="3"/>
  <c r="S40" i="3" s="1"/>
  <c r="S48" i="3"/>
  <c r="AY65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Iris Kerkhof</author>
  </authors>
  <commentList>
    <comment ref="B3" authorId="0" shapeId="0" xr:uid="{00000000-0006-0000-0200-000001000000}">
      <text>
        <r>
          <rPr>
            <sz val="11"/>
            <color theme="1"/>
            <rFont val="Calibri"/>
            <family val="2"/>
            <scheme val="minor"/>
          </rPr>
          <t>Iris Kerkhof:
- CO, H2 and CO2 are consumed
- Data comes from paper and SM
- It is not mentioned whether 23BDO is not produced or not measured
- Assumption: D = mu
- Assumption: FLin = FLout</t>
        </r>
      </text>
    </comment>
    <comment ref="D3" authorId="0" shapeId="0" xr:uid="{00000000-0006-0000-0200-000002000000}">
      <text>
        <r>
          <rPr>
            <sz val="11"/>
            <color theme="1"/>
            <rFont val="Calibri"/>
            <family val="2"/>
            <scheme val="minor"/>
          </rPr>
          <t>Iris Kerkhof:
- H2 and CO2 are consumed
- Data comes from paper and SM
- It is not mentioned whether 23BDO is not produced or not measured
- Assumption: D = mu
- Assumption: FLin = FLout</t>
        </r>
      </text>
    </comment>
    <comment ref="F3" authorId="0" shapeId="0" xr:uid="{00000000-0006-0000-0200-000003000000}">
      <text>
        <r>
          <rPr>
            <sz val="11"/>
            <color theme="1"/>
            <rFont val="Calibri"/>
            <family val="2"/>
            <scheme val="minor"/>
          </rPr>
          <t>Iris Kerkhof:
- CO, H2 and CO2 are consumed
- Data comes from paper and SM
- It is not mentioned whether 23BDO is not produced or not measured
- Assumption: D = mu
- Assumption: FLin = FLout</t>
        </r>
      </text>
    </comment>
    <comment ref="H3" authorId="0" shapeId="0" xr:uid="{00000000-0006-0000-0200-000004000000}">
      <text>
        <r>
          <rPr>
            <sz val="11"/>
            <color theme="1"/>
            <rFont val="Calibri"/>
            <family val="2"/>
            <scheme val="minor"/>
          </rPr>
          <t>Iris Kerkhof:
- CO is consumed
- Concentrations are from Heffernan2020 SM
- Rates are from Heffernan2020 SM
-23BDO concentrations and rates are extracted from Figure 1, S1 and S2
- Volumetric Rates are from Heffernan2020 SM</t>
        </r>
      </text>
    </comment>
    <comment ref="J3" authorId="0" shapeId="0" xr:uid="{00000000-0006-0000-0200-000005000000}">
      <text>
        <r>
          <rPr>
            <sz val="11"/>
            <color theme="1"/>
            <rFont val="Calibri"/>
            <family val="2"/>
            <scheme val="minor"/>
          </rPr>
          <t>Iris Kerkhof:
- CO is consumed
- Concentrations are from Heffernan2020 SM
- Rates are extracted from Figure 2 and S2
-23BDO concentrations and rates are extracted from Figure 1, S1 and S2
- Volumetric Rates are from Heffernan2020 SM</t>
        </r>
      </text>
    </comment>
    <comment ref="L3" authorId="0" shapeId="0" xr:uid="{00000000-0006-0000-0200-000006000000}">
      <text>
        <r>
          <rPr>
            <sz val="11"/>
            <color theme="1"/>
            <rFont val="Calibri"/>
            <family val="2"/>
            <scheme val="minor"/>
          </rPr>
          <t>Iris Kerkhof:
- CO and H2 are consumed
- Concentrations are from Heffernan2020 SM
- Rates are from Heffernan2020 SM
-23BDO concentrations and rates are extracted from Figure 1, S1 and S2
- Volumetric Rates are from Heffernan2020 SM</t>
        </r>
      </text>
    </comment>
    <comment ref="N3" authorId="0" shapeId="0" xr:uid="{00000000-0006-0000-0200-000007000000}">
      <text>
        <r>
          <rPr>
            <sz val="11"/>
            <color theme="1"/>
            <rFont val="Calibri"/>
            <family val="2"/>
            <scheme val="minor"/>
          </rPr>
          <t>Iris Kerkhof:
- CO and H2 are consumed
- Concentrations are from Heffernan2020 SM
- Rates are extracted from Figure 2 and S2
-23BDO concentrations and rates are extracted from Figure 1, S1 and S2
- Volumetric Rates are from Heffernan2020 SM</t>
        </r>
      </text>
    </comment>
    <comment ref="P3" authorId="0" shapeId="0" xr:uid="{00000000-0006-0000-0200-000008000000}">
      <text>
        <r>
          <rPr>
            <sz val="11"/>
            <color theme="1"/>
            <rFont val="Calibri"/>
            <family val="2"/>
            <scheme val="minor"/>
          </rPr>
          <t>Iris Kerkhof:
- CO and H2 are produced
- Rates and biomass concentrations are from table 1
- Concentrations are from figure S1</t>
        </r>
      </text>
    </comment>
    <comment ref="R3" authorId="0" shapeId="0" xr:uid="{00000000-0006-0000-0200-000009000000}">
      <text>
        <r>
          <rPr>
            <sz val="11"/>
            <color theme="1"/>
            <rFont val="Calibri"/>
            <family val="2"/>
            <scheme val="minor"/>
          </rPr>
          <t>Iris Kerkhof:
- CO and H2 are produced
- Rates and biomass concentrations are from table 1
- Concentrations are from figure S1</t>
        </r>
      </text>
    </comment>
    <comment ref="T3" authorId="0" shapeId="0" xr:uid="{00000000-0006-0000-0200-00000A000000}">
      <text>
        <r>
          <rPr>
            <sz val="11"/>
            <color theme="1"/>
            <rFont val="Calibri"/>
            <family val="2"/>
            <scheme val="minor"/>
          </rPr>
          <t>Iris Kerkhof:
- CO and H2 are produced
- Rates and biomass concentrations are from table 1
- Concentrations are from figure S1</t>
        </r>
      </text>
    </comment>
    <comment ref="V3" authorId="0" shapeId="0" xr:uid="{00000000-0006-0000-0200-00000B000000}">
      <text>
        <r>
          <rPr>
            <sz val="11"/>
            <color theme="1"/>
            <rFont val="Calibri"/>
            <family val="2"/>
            <scheme val="minor"/>
          </rPr>
          <t>Iris Kerkhof:
- CO and H2 are produced
- Rates and biomass concentrations are from table 1
- Concentrations are from figure S1</t>
        </r>
      </text>
    </comment>
    <comment ref="X3" authorId="0" shapeId="0" xr:uid="{00000000-0006-0000-0200-00000C000000}">
      <text>
        <r>
          <rPr>
            <sz val="11"/>
            <color theme="1"/>
            <rFont val="Calibri"/>
            <family val="2"/>
            <scheme val="minor"/>
          </rPr>
          <t>Iris Kerkhof:
- CO and H2 are produced
- Rates and biomass concentrations are from table 1
- Concentrations are from figure S1</t>
        </r>
      </text>
    </comment>
    <comment ref="Z3" authorId="0" shapeId="0" xr:uid="{00000000-0006-0000-0200-00000D000000}">
      <text>
        <r>
          <rPr>
            <sz val="11"/>
            <color theme="1"/>
            <rFont val="Calibri"/>
            <family val="2"/>
            <scheme val="minor"/>
          </rPr>
          <t>Iris Kerkhof:
- CO is consumed
- Concentrations are extracted from Fig 1 (exept for biomass)
- Rates are extracted from Fig 1</t>
        </r>
      </text>
    </comment>
    <comment ref="AB3" authorId="0" shapeId="0" xr:uid="{00000000-0006-0000-0200-00000E000000}">
      <text>
        <r>
          <rPr>
            <sz val="11"/>
            <color theme="1"/>
            <rFont val="Calibri"/>
            <family val="2"/>
            <scheme val="minor"/>
          </rPr>
          <t>Iris Kerkhof:
- CO is consumed
- Concentrations are extracted from Fig 1 (exept for biomass)
- Rates are extracted from Fig 1</t>
        </r>
      </text>
    </comment>
    <comment ref="AD3" authorId="0" shapeId="0" xr:uid="{00000000-0006-0000-0200-00000F000000}">
      <text>
        <r>
          <rPr>
            <sz val="11"/>
            <color theme="1"/>
            <rFont val="Calibri"/>
            <family val="2"/>
            <scheme val="minor"/>
          </rPr>
          <t>Iris Kerkhof:
- CO is consumed
- Concentrations are extracted from Fig 1 (exept for biomass)
- Rates are extracted from Fig 1</t>
        </r>
      </text>
    </comment>
    <comment ref="AF3" authorId="0" shapeId="0" xr:uid="{00000000-0006-0000-0200-000010000000}">
      <text>
        <r>
          <rPr>
            <sz val="11"/>
            <color theme="1"/>
            <rFont val="Calibri"/>
            <family val="2"/>
            <scheme val="minor"/>
          </rPr>
          <t>Iris Kerkhof:
- CO and H2 are consumed
- Concentrations are extracted from Fig 1 (exept for biomass)
- Rates are extracted from Fig 1</t>
        </r>
      </text>
    </comment>
    <comment ref="AH3" authorId="0" shapeId="0" xr:uid="{00000000-0006-0000-0200-000011000000}">
      <text>
        <r>
          <rPr>
            <sz val="11"/>
            <color theme="1"/>
            <rFont val="Calibri"/>
            <family val="2"/>
            <scheme val="minor"/>
          </rPr>
          <t>Iris Kerkhof:
- CO and H2 are consumed
- Concentrations are extracted from Fig 1 (exept for biomass)
- Rates are extracted from Fig 1</t>
        </r>
      </text>
    </comment>
    <comment ref="AJ3" authorId="0" shapeId="0" xr:uid="{00000000-0006-0000-0200-000012000000}">
      <text>
        <r>
          <rPr>
            <sz val="11"/>
            <color theme="1"/>
            <rFont val="Calibri"/>
            <family val="2"/>
            <scheme val="minor"/>
          </rPr>
          <t>Iris Kerkhof:
- CO and H2 are consumed
- Concentrations are extracted from Fig 1 (exept for biomass)
- Rates are extracted from Fig 1</t>
        </r>
      </text>
    </comment>
    <comment ref="AR3" authorId="0" shapeId="0" xr:uid="{00000000-0006-0000-0200-000013000000}">
      <text>
        <r>
          <rPr>
            <sz val="11"/>
            <color theme="1"/>
            <rFont val="Calibri"/>
            <family val="2"/>
            <scheme val="minor"/>
          </rPr>
          <t xml:space="preserve">Iris Kerkhof:
Acetate added in the feed </t>
        </r>
      </text>
    </comment>
    <comment ref="AT3" authorId="0" shapeId="0" xr:uid="{00000000-0006-0000-0200-000014000000}">
      <text>
        <r>
          <rPr>
            <sz val="11"/>
            <color theme="1"/>
            <rFont val="Calibri"/>
            <family val="2"/>
            <scheme val="minor"/>
          </rPr>
          <t xml:space="preserve">Iris Kerkhof:
-CO consumed, H2 and CO2 produced
-Rates from table 3.1 and student thesis Korkontzelos
</t>
        </r>
      </text>
    </comment>
    <comment ref="AV3" authorId="0" shapeId="0" xr:uid="{00000000-0006-0000-0200-000015000000}">
      <text>
        <r>
          <rPr>
            <sz val="11"/>
            <color theme="1"/>
            <rFont val="Calibri"/>
            <family val="2"/>
            <scheme val="minor"/>
          </rPr>
          <t xml:space="preserve">Iris Kerkhof:
-CO consumed, H2 and CO2 produced
-Rates from table 3.1 and student thesis Korkontzelos
</t>
        </r>
      </text>
    </comment>
    <comment ref="BX3" authorId="0" shapeId="0" xr:uid="{00000000-0006-0000-0200-000016000000}">
      <text>
        <r>
          <rPr>
            <sz val="11"/>
            <color theme="1"/>
            <rFont val="Calibri"/>
            <family val="2"/>
            <scheme val="minor"/>
          </rPr>
          <t xml:space="preserve">Iris Kerkhof:
-CO consumed, H2 and CO2 produced
-Rates from table 3.1 and student thesis Korkontzelos
</t>
        </r>
      </text>
    </comment>
    <comment ref="BZ3" authorId="0" shapeId="0" xr:uid="{00000000-0006-0000-0200-000017000000}">
      <text>
        <r>
          <rPr>
            <sz val="11"/>
            <color theme="1"/>
            <rFont val="Calibri"/>
            <family val="2"/>
            <scheme val="minor"/>
          </rPr>
          <t xml:space="preserve">Iris Kerkhof:
-CO consumed, H2 and CO2 produced
-Rates from table 3.1 and student thesis Korkontzelos
</t>
        </r>
      </text>
    </comment>
    <comment ref="AX5" authorId="0" shapeId="0" xr:uid="{00000000-0006-0000-0200-000018000000}">
      <text>
        <r>
          <rPr>
            <sz val="11"/>
            <color theme="1"/>
            <rFont val="Calibri"/>
            <family val="2"/>
            <scheme val="minor"/>
          </rPr>
          <t xml:space="preserve">Iris Kerkhof:
Bubble column
</t>
        </r>
      </text>
    </comment>
    <comment ref="A17" authorId="0" shapeId="0" xr:uid="{00000000-0006-0000-0200-000019000000}">
      <text>
        <r>
          <rPr>
            <sz val="11"/>
            <color theme="1"/>
            <rFont val="Calibri"/>
            <family val="2"/>
            <scheme val="minor"/>
          </rPr>
          <t>Iris Kerkhof:
Gas outflow is calculated in Python (Gas Fractions.py)</t>
        </r>
      </text>
    </comment>
    <comment ref="AV35" authorId="0" shapeId="0" xr:uid="{00000000-0006-0000-0200-00001A000000}">
      <text>
        <r>
          <rPr>
            <sz val="11"/>
            <color theme="1"/>
            <rFont val="Calibri"/>
            <family val="2"/>
            <scheme val="minor"/>
          </rPr>
          <t xml:space="preserve">Iris Kerkhof:
Not mentioned
</t>
        </r>
      </text>
    </comment>
    <comment ref="B43" authorId="0" shapeId="0" xr:uid="{00000000-0006-0000-0200-00001B000000}">
      <text>
        <r>
          <rPr>
            <sz val="11"/>
            <color theme="1"/>
            <rFont val="Calibri"/>
            <family val="2"/>
            <scheme val="minor"/>
          </rPr>
          <t>Iris Kerkhof:
Measured as Hac =&gt; Mw Hac used</t>
        </r>
      </text>
    </comment>
    <comment ref="A47" authorId="0" shapeId="0" xr:uid="{00000000-0006-0000-0200-00001C000000}">
      <text>
        <r>
          <rPr>
            <sz val="11"/>
            <color theme="1"/>
            <rFont val="Calibri"/>
            <family val="2"/>
            <scheme val="minor"/>
          </rPr>
          <t>Iris Kerkhof:
[Hac] = 1/(ratio + 1) * [AcT]</t>
        </r>
      </text>
    </comment>
    <comment ref="A48" authorId="0" shapeId="0" xr:uid="{00000000-0006-0000-0200-00001D000000}">
      <text>
        <r>
          <rPr>
            <sz val="11"/>
            <color theme="1"/>
            <rFont val="Calibri"/>
            <family val="2"/>
            <scheme val="minor"/>
          </rPr>
          <t>Iris Kerkhof:
[Ac] = ratio/(ratio+1) * [AcT]</t>
        </r>
      </text>
    </comment>
    <comment ref="AL49" authorId="0" shapeId="0" xr:uid="{00000000-0006-0000-0200-00001E000000}">
      <text>
        <r>
          <rPr>
            <sz val="11"/>
            <color theme="1"/>
            <rFont val="Calibri"/>
            <family val="2"/>
            <scheme val="minor"/>
          </rPr>
          <t xml:space="preserve">Iris Kerkhof:
NaOH
</t>
        </r>
      </text>
    </comment>
    <comment ref="AN49" authorId="0" shapeId="0" xr:uid="{00000000-0006-0000-0200-00001F000000}">
      <text>
        <r>
          <rPr>
            <sz val="11"/>
            <color theme="1"/>
            <rFont val="Calibri"/>
            <family val="2"/>
            <scheme val="minor"/>
          </rPr>
          <t xml:space="preserve">Iris Kerkhof:
NaOH
</t>
        </r>
      </text>
    </comment>
    <comment ref="AP49" authorId="0" shapeId="0" xr:uid="{00000000-0006-0000-0200-000020000000}">
      <text>
        <r>
          <rPr>
            <sz val="11"/>
            <color theme="1"/>
            <rFont val="Calibri"/>
            <family val="2"/>
            <scheme val="minor"/>
          </rPr>
          <t xml:space="preserve">Iris Kerkhof:
NaOH
</t>
        </r>
      </text>
    </comment>
    <comment ref="AR49" authorId="0" shapeId="0" xr:uid="{00000000-0006-0000-0200-000021000000}">
      <text>
        <r>
          <rPr>
            <sz val="11"/>
            <color theme="1"/>
            <rFont val="Calibri"/>
            <family val="2"/>
            <scheme val="minor"/>
          </rPr>
          <t>Iris Kerkhof:
NaOH</t>
        </r>
      </text>
    </comment>
    <comment ref="AT49" authorId="0" shapeId="0" xr:uid="{00000000-0006-0000-0200-000022000000}">
      <text>
        <r>
          <rPr>
            <sz val="11"/>
            <color theme="1"/>
            <rFont val="Calibri"/>
            <family val="2"/>
            <scheme val="minor"/>
          </rPr>
          <t xml:space="preserve">Iris Kerkhof:
NaOH
</t>
        </r>
      </text>
    </comment>
    <comment ref="AV49" authorId="0" shapeId="0" xr:uid="{00000000-0006-0000-0200-000023000000}">
      <text>
        <r>
          <rPr>
            <sz val="11"/>
            <color theme="1"/>
            <rFont val="Calibri"/>
            <family val="2"/>
            <scheme val="minor"/>
          </rPr>
          <t xml:space="preserve">Iris Kerkhof:
NaOH
</t>
        </r>
      </text>
    </comment>
    <comment ref="BX49" authorId="0" shapeId="0" xr:uid="{00000000-0006-0000-0200-000024000000}">
      <text>
        <r>
          <rPr>
            <sz val="11"/>
            <color theme="1"/>
            <rFont val="Calibri"/>
            <family val="2"/>
            <scheme val="minor"/>
          </rPr>
          <t xml:space="preserve">Iris Kerkhof:
NaOH
</t>
        </r>
      </text>
    </comment>
    <comment ref="BZ49" authorId="0" shapeId="0" xr:uid="{00000000-0006-0000-0200-000025000000}">
      <text>
        <r>
          <rPr>
            <sz val="11"/>
            <color theme="1"/>
            <rFont val="Calibri"/>
            <family val="2"/>
            <scheme val="minor"/>
          </rPr>
          <t xml:space="preserve">Iris Kerkhof:
NaOH
</t>
        </r>
      </text>
    </comment>
    <comment ref="A73" authorId="0" shapeId="0" xr:uid="{00000000-0006-0000-0200-000026000000}">
      <text>
        <r>
          <rPr>
            <sz val="11"/>
            <color theme="1"/>
            <rFont val="Calibri"/>
            <family val="2"/>
            <scheme val="minor"/>
          </rPr>
          <t>Iris Kerkhof:
Ratio = 10^(pH-pka)</t>
        </r>
      </text>
    </comment>
    <comment ref="A74" authorId="0" shapeId="0" xr:uid="{00000000-0006-0000-0200-000027000000}">
      <text>
        <r>
          <rPr>
            <sz val="11"/>
            <color theme="1"/>
            <rFont val="Calibri"/>
            <family val="2"/>
            <scheme val="minor"/>
          </rPr>
          <t>Iris Kerkhof:
1: 1.4L Multifors bioreactors (Infors AG)
2: 1.5L bioreactor (Applikon, Delft the Netherlands) with 3 baffles and 2 Rushton impellors (46 mm diameter) placed at 33% amd 66% of the liquid height)
3: DASbox Mini Bioreactor system (Eppendorf AG, Hamburg, Germany) with micrspargers with a 10um pore size</t>
        </r>
      </text>
    </comment>
    <comment ref="B115" authorId="0" shapeId="0" xr:uid="{00000000-0006-0000-0200-000028000000}">
      <text>
        <r>
          <rPr>
            <sz val="11"/>
            <color theme="1"/>
            <rFont val="Calibri"/>
            <family val="2"/>
            <scheme val="minor"/>
          </rPr>
          <t xml:space="preserve">Iris Kerkhof:
Both have 2 C-atoms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Iris Kerkhof</author>
  </authors>
  <commentList>
    <comment ref="D1" authorId="0" shapeId="0" xr:uid="{00000000-0006-0000-0B00-000001000000}">
      <text>
        <r>
          <rPr>
            <sz val="11"/>
            <color theme="1"/>
            <rFont val="Calibri"/>
            <family val="2"/>
            <scheme val="minor"/>
          </rPr>
          <t xml:space="preserve">Iris Kerkhof:
Read this
</t>
        </r>
      </text>
    </comment>
  </commentList>
</comments>
</file>

<file path=xl/sharedStrings.xml><?xml version="1.0" encoding="utf-8"?>
<sst xmlns="http://schemas.openxmlformats.org/spreadsheetml/2006/main" count="529" uniqueCount="327">
  <si>
    <t>Element</t>
  </si>
  <si>
    <t>CO</t>
  </si>
  <si>
    <t>H2</t>
  </si>
  <si>
    <t>CO2</t>
  </si>
  <si>
    <t>Biomass</t>
  </si>
  <si>
    <t>EtOH</t>
  </si>
  <si>
    <t>Ac</t>
  </si>
  <si>
    <t>23BDO</t>
  </si>
  <si>
    <t>Carbon</t>
  </si>
  <si>
    <t>electrons</t>
  </si>
  <si>
    <t>Gasses</t>
  </si>
  <si>
    <t xml:space="preserve">pH ratio calculator </t>
  </si>
  <si>
    <t>R</t>
  </si>
  <si>
    <t>L⋅atm⋅K−1⋅mol−1</t>
  </si>
  <si>
    <t xml:space="preserve">pKa </t>
  </si>
  <si>
    <t>P</t>
  </si>
  <si>
    <t>atm</t>
  </si>
  <si>
    <t>pH</t>
  </si>
  <si>
    <t>T</t>
  </si>
  <si>
    <t>K</t>
  </si>
  <si>
    <t>[A-]/[HA]</t>
  </si>
  <si>
    <t>Vm</t>
  </si>
  <si>
    <t>L/mol</t>
  </si>
  <si>
    <t>[A-]</t>
  </si>
  <si>
    <t>%</t>
  </si>
  <si>
    <t>[HA]</t>
  </si>
  <si>
    <t xml:space="preserve">Molecular weights </t>
  </si>
  <si>
    <t>Mw_CO</t>
  </si>
  <si>
    <t>g/mol</t>
  </si>
  <si>
    <t>g/mmol</t>
  </si>
  <si>
    <t>Mw_CO2</t>
  </si>
  <si>
    <t>Mw_H2</t>
  </si>
  <si>
    <t>Mw_x</t>
  </si>
  <si>
    <t>Mw_EtOH</t>
  </si>
  <si>
    <t>Mw_HAc</t>
  </si>
  <si>
    <t>Mw_Ac</t>
  </si>
  <si>
    <t>Mw_BDO</t>
  </si>
  <si>
    <t>Mw_Formate</t>
  </si>
  <si>
    <t>Acid</t>
  </si>
  <si>
    <t>pKa Hac</t>
  </si>
  <si>
    <t>Biomass composition</t>
  </si>
  <si>
    <t>C</t>
  </si>
  <si>
    <t>H</t>
  </si>
  <si>
    <t>O</t>
  </si>
  <si>
    <t>N</t>
  </si>
  <si>
    <t>S</t>
  </si>
  <si>
    <t>Assumed standard deviations</t>
  </si>
  <si>
    <t>Volume</t>
  </si>
  <si>
    <t>Dilution rate</t>
  </si>
  <si>
    <t xml:space="preserve">q-rates </t>
  </si>
  <si>
    <t>Concentrations</t>
  </si>
  <si>
    <t>Heffernan2020</t>
  </si>
  <si>
    <t>Valgepea2018</t>
  </si>
  <si>
    <t>Valgepea 2017</t>
  </si>
  <si>
    <t>de Lima2022</t>
  </si>
  <si>
    <t>Elisiário2023</t>
  </si>
  <si>
    <t>Allaart2023</t>
  </si>
  <si>
    <t>Chen2018</t>
  </si>
  <si>
    <t>Diender2019</t>
  </si>
  <si>
    <t>Korkontzelos2022</t>
  </si>
  <si>
    <t>Steady State Summary</t>
  </si>
  <si>
    <t>Syngas mu1</t>
  </si>
  <si>
    <t xml:space="preserve">std </t>
  </si>
  <si>
    <t>CO2/H2 mu0.5</t>
  </si>
  <si>
    <t>Syngas mu0.5</t>
  </si>
  <si>
    <t>CO BC I</t>
  </si>
  <si>
    <t>CO BC II</t>
  </si>
  <si>
    <t>High H2 CO BC I</t>
  </si>
  <si>
    <t>stdt</t>
  </si>
  <si>
    <t xml:space="preserve">High H2 CO BC II </t>
  </si>
  <si>
    <t>Low BC1</t>
  </si>
  <si>
    <t>Low BC2</t>
  </si>
  <si>
    <t>Medium BC</t>
  </si>
  <si>
    <t>High BC1</t>
  </si>
  <si>
    <t>High BC2</t>
  </si>
  <si>
    <t>CO mu I</t>
  </si>
  <si>
    <t>CO mu II</t>
  </si>
  <si>
    <t>CO mu III</t>
  </si>
  <si>
    <t>Syngas mu I</t>
  </si>
  <si>
    <t>Syngas mu II</t>
  </si>
  <si>
    <t>Syngas mu III</t>
  </si>
  <si>
    <t>SSt III</t>
  </si>
  <si>
    <t>SSt IV</t>
  </si>
  <si>
    <t>std</t>
  </si>
  <si>
    <t>SSt V</t>
  </si>
  <si>
    <t>SSt VI</t>
  </si>
  <si>
    <t>SSTI</t>
  </si>
  <si>
    <t>SST2</t>
  </si>
  <si>
    <t>SSTII</t>
  </si>
  <si>
    <t>SSTIII</t>
  </si>
  <si>
    <t>R1</t>
  </si>
  <si>
    <t>R2</t>
  </si>
  <si>
    <t>R3 (0)</t>
  </si>
  <si>
    <t>R3 (23)</t>
  </si>
  <si>
    <t>R3 (47)</t>
  </si>
  <si>
    <t>R3 (93)</t>
  </si>
  <si>
    <t>R4 (0)</t>
  </si>
  <si>
    <t>R4 (25)</t>
  </si>
  <si>
    <t>R4 (50)</t>
  </si>
  <si>
    <t>R4 (90)</t>
  </si>
  <si>
    <t xml:space="preserve">Strain </t>
  </si>
  <si>
    <t>C. autoethanogenum DSM 19630</t>
  </si>
  <si>
    <t>C. autoethanogenum DSM 23693</t>
  </si>
  <si>
    <t>C. autoethanogenum DSM10061</t>
  </si>
  <si>
    <t> Clostridium autoethanogenum DSM 10061</t>
  </si>
  <si>
    <t>Clostridium autoethanogenum (DSM 10061)</t>
  </si>
  <si>
    <t>Stirring [rpm]</t>
  </si>
  <si>
    <t>Temperature [Celsius]</t>
  </si>
  <si>
    <t>Working volume [L]</t>
  </si>
  <si>
    <t>Dilution Rate [1/h]</t>
  </si>
  <si>
    <t>Pressure [atm]</t>
  </si>
  <si>
    <t>Gas Inflow</t>
  </si>
  <si>
    <t>FG_in [mL/min]</t>
  </si>
  <si>
    <t>yCO_in [-]</t>
  </si>
  <si>
    <t>yH2_in [-]</t>
  </si>
  <si>
    <t>yCO2_in [-]</t>
  </si>
  <si>
    <t>Gas Outflow</t>
  </si>
  <si>
    <t>F_G_out [mL/min]</t>
  </si>
  <si>
    <t>y_CO_out [-]</t>
  </si>
  <si>
    <t>y_H2_out [-]</t>
  </si>
  <si>
    <t>y_CO2_out [-]</t>
  </si>
  <si>
    <t>y_N2/Ar_out [-]</t>
  </si>
  <si>
    <t>Liquid Inflow</t>
  </si>
  <si>
    <t>F_L_in [L/h]</t>
  </si>
  <si>
    <t>C_X in [g/L]</t>
  </si>
  <si>
    <t>C_AcT in [g/L]</t>
  </si>
  <si>
    <t>C_Ethanol in [g/L]</t>
  </si>
  <si>
    <t>C_BDO in [g/L]</t>
  </si>
  <si>
    <t>C_Formate in [g/L]</t>
  </si>
  <si>
    <t>C_HAc in [g/L]</t>
  </si>
  <si>
    <t>C_Ac in [g/L]</t>
  </si>
  <si>
    <t>Liquid Outflow</t>
  </si>
  <si>
    <t>F_L_out [L/h]</t>
  </si>
  <si>
    <t>C_AcT [g/L]</t>
  </si>
  <si>
    <t>C_Ethanol [g/L]</t>
  </si>
  <si>
    <t>C_BDO [g/L]</t>
  </si>
  <si>
    <t>C_Formate [g/L]</t>
  </si>
  <si>
    <t>C_HAc [g/L]</t>
  </si>
  <si>
    <t>C_Ac [g/L]</t>
  </si>
  <si>
    <t>Concentrations in mmol/L</t>
  </si>
  <si>
    <t>C_Biomass_mmol [mmol/L]</t>
  </si>
  <si>
    <t>C_AcT [mmol/L]</t>
  </si>
  <si>
    <t>C_Ethanol_mmol [mmol/L]</t>
  </si>
  <si>
    <t>C_BDO_mmol [mmol/L]</t>
  </si>
  <si>
    <t>C_Formate_mmol [mmol/L]</t>
  </si>
  <si>
    <t>C_Hac_mmol [mmol/L]</t>
  </si>
  <si>
    <t>C_Ac_mmol [mmol/L]</t>
  </si>
  <si>
    <t xml:space="preserve">C_titrant [mmol/L] </t>
  </si>
  <si>
    <t>q-Rates (from literature)</t>
  </si>
  <si>
    <t>qCO [mmol/(gx.h)]</t>
  </si>
  <si>
    <t>qCO2 [mmol/(gx.h)]</t>
  </si>
  <si>
    <t>qH2 [mmol/(gx.h)]</t>
  </si>
  <si>
    <t>qAcT [mmol/(gx.h)]</t>
  </si>
  <si>
    <t>qEtOH [mmol/(gx.h)]</t>
  </si>
  <si>
    <t>qBDO [mmol/(gx.h)]</t>
  </si>
  <si>
    <t>qFormate [mmol/(gx.h)]</t>
  </si>
  <si>
    <t>qAc [mmol/(gx.h)]</t>
  </si>
  <si>
    <t>qHAc [mmol/(gx.h)]</t>
  </si>
  <si>
    <t>R-Rates (from literature)</t>
  </si>
  <si>
    <t>RCO [mmol/h]</t>
  </si>
  <si>
    <t>RCO2 [mmol/h]</t>
  </si>
  <si>
    <t>RH2 [mmol/h]</t>
  </si>
  <si>
    <t>RAcT [mmol/h]</t>
  </si>
  <si>
    <t>REtOH [mmol/h]</t>
  </si>
  <si>
    <t>RBDO [mmol/h]</t>
  </si>
  <si>
    <t>Rformate [mmol/h]</t>
  </si>
  <si>
    <t>Rx  [mmol/h]</t>
  </si>
  <si>
    <t>RAc [mmol/h]</t>
  </si>
  <si>
    <t>RHAc [mmol/h]</t>
  </si>
  <si>
    <t>Equilibria</t>
  </si>
  <si>
    <t xml:space="preserve">[Ac]/[Hac] </t>
  </si>
  <si>
    <t>Bioreactor Specs</t>
  </si>
  <si>
    <t>Reactor volume [L]</t>
  </si>
  <si>
    <t>Number of stirrers [-]</t>
  </si>
  <si>
    <t>NA</t>
  </si>
  <si>
    <t>Stirrer diameter [mm]</t>
  </si>
  <si>
    <t>Superficial gas velocity [m/s]</t>
  </si>
  <si>
    <t>C_X [g/L]</t>
  </si>
  <si>
    <t>C_BDO [mmol/L]</t>
  </si>
  <si>
    <t>kLa CO [1/h]</t>
  </si>
  <si>
    <t>kLa H2 [1/h]</t>
  </si>
  <si>
    <t>kLa CO2 [1/h]</t>
  </si>
  <si>
    <t>Condition</t>
  </si>
  <si>
    <t>Ar (%)</t>
  </si>
  <si>
    <t>CO2 (%)</t>
  </si>
  <si>
    <t>CO (%)</t>
  </si>
  <si>
    <t>H2 (%)</t>
  </si>
  <si>
    <t>Gas</t>
  </si>
  <si>
    <t>AVG</t>
  </si>
  <si>
    <t>SD</t>
  </si>
  <si>
    <t>Cell Systems data (Val2017)</t>
  </si>
  <si>
    <t>LOW BIOMASS</t>
  </si>
  <si>
    <t>MED.</t>
  </si>
  <si>
    <t xml:space="preserve">HIGH </t>
  </si>
  <si>
    <t>BforB data (Val2018)</t>
  </si>
  <si>
    <t>CO HIGH</t>
  </si>
  <si>
    <t>HIGH H2 HIGH</t>
  </si>
  <si>
    <t>Frontiers data - de Lima</t>
  </si>
  <si>
    <t>CO D1</t>
  </si>
  <si>
    <t>CO D2</t>
  </si>
  <si>
    <t>CO D2.8</t>
  </si>
  <si>
    <t>Syngas D1</t>
  </si>
  <si>
    <t>Syngas D2</t>
  </si>
  <si>
    <t>Syngas D2.8</t>
  </si>
  <si>
    <t>CO (exp)</t>
  </si>
  <si>
    <t>CO (rec)</t>
  </si>
  <si>
    <t>H2 (exp)</t>
  </si>
  <si>
    <t>H2 (rec)</t>
  </si>
  <si>
    <t>CO2 (exp)</t>
  </si>
  <si>
    <t>CO2 (rec)</t>
  </si>
  <si>
    <t>inert (exp)</t>
  </si>
  <si>
    <t>inert (rec)</t>
  </si>
  <si>
    <t>SST 4+5</t>
  </si>
  <si>
    <t>SST 6+7</t>
  </si>
  <si>
    <t>SST 8+9</t>
  </si>
  <si>
    <t>SST 10</t>
  </si>
  <si>
    <t>SST 11+12</t>
  </si>
  <si>
    <t>SST 13</t>
  </si>
  <si>
    <t>SST 14</t>
  </si>
  <si>
    <t>SST 15</t>
  </si>
  <si>
    <t>SST 16</t>
  </si>
  <si>
    <t>SST 17</t>
  </si>
  <si>
    <t>SST 18</t>
  </si>
  <si>
    <t>SST 19</t>
  </si>
  <si>
    <t>SST 20</t>
  </si>
  <si>
    <t>SST 21</t>
  </si>
  <si>
    <t>SST 22</t>
  </si>
  <si>
    <t>SST</t>
  </si>
  <si>
    <t>yCO out [-]</t>
  </si>
  <si>
    <t>yH2 out [-]</t>
  </si>
  <si>
    <t>yCO2 out [-]</t>
  </si>
  <si>
    <t>yinert out [-]</t>
  </si>
  <si>
    <t>Fg,out [mmol/h]</t>
  </si>
  <si>
    <t>Fg,out [mL/min]</t>
  </si>
  <si>
    <t>Figure S1</t>
  </si>
  <si>
    <t>Acetate</t>
  </si>
  <si>
    <t>Ethanol</t>
  </si>
  <si>
    <t>gDW/L</t>
  </si>
  <si>
    <t>g/L</t>
  </si>
  <si>
    <t>Parameter</t>
  </si>
  <si>
    <t xml:space="preserve">Unit </t>
  </si>
  <si>
    <t>CO to formate (SST I &amp; II)</t>
  </si>
  <si>
    <t>molATP/molCO</t>
  </si>
  <si>
    <t>mol/mol</t>
  </si>
  <si>
    <t>Valgepea2017</t>
  </si>
  <si>
    <t>Intracellular pH</t>
  </si>
  <si>
    <t>Cell surface area</t>
  </si>
  <si>
    <t>m2</t>
  </si>
  <si>
    <t>Permeability coefficient acetic acid</t>
  </si>
  <si>
    <t>m/s</t>
  </si>
  <si>
    <t>Permeability coefficient acetate</t>
  </si>
  <si>
    <t>ATP synthase</t>
  </si>
  <si>
    <t>H+/ATP</t>
  </si>
  <si>
    <t>C-rec [%]</t>
  </si>
  <si>
    <t>e-rec [%]</t>
  </si>
  <si>
    <t>q_CO [mmol/mmolx/h]</t>
  </si>
  <si>
    <t>std qCO</t>
  </si>
  <si>
    <t>q_CO recon [mmol/mmolx/h]</t>
  </si>
  <si>
    <t>std qCOr</t>
  </si>
  <si>
    <t>q_H2 [mmol/mmolx/h]</t>
  </si>
  <si>
    <t>std qH2</t>
  </si>
  <si>
    <t>q_H2 recon [mmol/mmolx/h]</t>
  </si>
  <si>
    <t>std qH2r</t>
  </si>
  <si>
    <t>q_CO2 [mmol/mmolx/h]</t>
  </si>
  <si>
    <t>std qCO2</t>
  </si>
  <si>
    <t>q_CO2 recon [mmol/mmolx/h]</t>
  </si>
  <si>
    <t>std qCO2r</t>
  </si>
  <si>
    <t>q_EtOH [mmol/mmolx/h]</t>
  </si>
  <si>
    <t>std qEtOH</t>
  </si>
  <si>
    <t>q_EtOH recon [mmol/mmolx/h]</t>
  </si>
  <si>
    <t>std qEtOHr</t>
  </si>
  <si>
    <t>q_AcT [mmol/mmolx/h]</t>
  </si>
  <si>
    <t>std qAcT</t>
  </si>
  <si>
    <t>q_AcT recon [mmol/mmolx/h]</t>
  </si>
  <si>
    <t>std qAcTr</t>
  </si>
  <si>
    <t>q_BDO [mmol/mmolx/h]</t>
  </si>
  <si>
    <t>std qBDO</t>
  </si>
  <si>
    <t>q_BDO recon [mmol/mmolx/h]</t>
  </si>
  <si>
    <t>std qBDOr</t>
  </si>
  <si>
    <t>mu [1/h]</t>
  </si>
  <si>
    <t>std mu</t>
  </si>
  <si>
    <t>mu recon [1/h]</t>
  </si>
  <si>
    <t>std mur</t>
  </si>
  <si>
    <t>C_EtOH [mmol/L]</t>
  </si>
  <si>
    <t>std CEtOH</t>
  </si>
  <si>
    <t>C_EtOH recon [mmol/L]</t>
  </si>
  <si>
    <t>std CEtOHr</t>
  </si>
  <si>
    <t>std CAcT</t>
  </si>
  <si>
    <t>C_AcT recon [mmol/L]</t>
  </si>
  <si>
    <t>std CAcTr</t>
  </si>
  <si>
    <t>std CBDO</t>
  </si>
  <si>
    <t>C_BDO recon [mmol/L]</t>
  </si>
  <si>
    <t>std CBDOr</t>
  </si>
  <si>
    <t>C_X [mmol/L]</t>
  </si>
  <si>
    <t>std CX</t>
  </si>
  <si>
    <t>C_X recon [mmol/L]</t>
  </si>
  <si>
    <t>std CXr</t>
  </si>
  <si>
    <t>FL_in [L/h]</t>
  </si>
  <si>
    <t>std FLin</t>
  </si>
  <si>
    <t>FL_in recon [L/h]</t>
  </si>
  <si>
    <t>std FLinr</t>
  </si>
  <si>
    <t>FL_out [L/h]</t>
  </si>
  <si>
    <t>std FLout</t>
  </si>
  <si>
    <t>FL_out recon [L/h]</t>
  </si>
  <si>
    <t>std FLoutr</t>
  </si>
  <si>
    <t>C_CO [mmol/L]</t>
  </si>
  <si>
    <t>C_H2 [mmol/L]</t>
  </si>
  <si>
    <t>C_CO2 [mmol/L]</t>
  </si>
  <si>
    <t>q_CO [mmol/gx/h]</t>
  </si>
  <si>
    <t>q_CO recon [mmol/gx/h]</t>
  </si>
  <si>
    <t>q_H2 [mmol/gx/h]</t>
  </si>
  <si>
    <t>q_H2 recon [mmol/gx/h]</t>
  </si>
  <si>
    <t>q_CO2 [mmol/gx/h]</t>
  </si>
  <si>
    <t>q_CO2 recon [mmol/gx/h]</t>
  </si>
  <si>
    <t>q_EtOH [mmol/gx/h]</t>
  </si>
  <si>
    <t>q_EtOH recon [mmol/gx/h]</t>
  </si>
  <si>
    <t>q_AcT [mmol/gx/h]</t>
  </si>
  <si>
    <t>q_AcT recon [mmol/gx/h]</t>
  </si>
  <si>
    <t>q_BDO [mmol/gx/h]</t>
  </si>
  <si>
    <t>q_BDO recon [mmol/gx/h]</t>
  </si>
  <si>
    <t>C_EtOH [g/L]</t>
  </si>
  <si>
    <t>C_EtOH recon [g/L]</t>
  </si>
  <si>
    <t>C_AcT recon [g/L]</t>
  </si>
  <si>
    <t>C_BDO recon [g/L]</t>
  </si>
  <si>
    <t>C_X recon [g/L]</t>
  </si>
  <si>
    <t>y_inert_in [-]</t>
  </si>
  <si>
    <t>Gas Holdup [-]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</si>
</sst>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0.000"/>
    <numFmt numFmtId="166" formatCode="0.0"/>
    <numFmt numFmtId="167" formatCode="0.00000"/>
  </numFmts>
  <fonts count="1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6100"/>
      <name val="Calibri"/>
      <family val="2"/>
      <scheme val="minor"/>
    </font>
    <font>
      <sz val="11"/>
      <color rgb="FF202122"/>
      <name val="Arial"/>
      <family val="2"/>
    </font>
    <font>
      <sz val="11"/>
      <color rgb="FF00B0F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</font>
    <font>
      <sz val="11"/>
      <name val="Calibri"/>
      <family val="2"/>
      <scheme val="minor"/>
    </font>
    <font>
      <b/>
      <sz val="11"/>
      <name val="Calibri"/>
    </font>
  </fonts>
  <fills count="1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2" borderId="0"/>
    <xf numFmtId="0" fontId="8" fillId="11" borderId="3"/>
    <xf numFmtId="0" fontId="9" fillId="15" borderId="5"/>
  </cellStyleXfs>
  <cellXfs count="56">
    <xf numFmtId="0" fontId="0" fillId="0" borderId="0" xfId="0"/>
    <xf numFmtId="0" fontId="4" fillId="2" borderId="0" xfId="1" applyFont="1"/>
    <xf numFmtId="0" fontId="0" fillId="0" borderId="0" xfId="0" applyAlignment="1">
      <alignment horizontal="center"/>
    </xf>
    <xf numFmtId="0" fontId="3" fillId="0" borderId="0" xfId="0" applyFont="1"/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166" fontId="0" fillId="0" borderId="0" xfId="0" applyNumberFormat="1"/>
    <xf numFmtId="0" fontId="2" fillId="0" borderId="0" xfId="0" applyFont="1"/>
    <xf numFmtId="0" fontId="0" fillId="0" borderId="1" xfId="0" applyBorder="1"/>
    <xf numFmtId="11" fontId="0" fillId="0" borderId="0" xfId="0" applyNumberFormat="1"/>
    <xf numFmtId="0" fontId="5" fillId="0" borderId="0" xfId="0" applyFont="1"/>
    <xf numFmtId="0" fontId="0" fillId="6" borderId="0" xfId="0" applyFill="1"/>
    <xf numFmtId="0" fontId="6" fillId="0" borderId="0" xfId="0" applyFont="1"/>
    <xf numFmtId="0" fontId="0" fillId="0" borderId="2" xfId="0" applyBorder="1"/>
    <xf numFmtId="0" fontId="0" fillId="9" borderId="0" xfId="0" applyFill="1"/>
    <xf numFmtId="2" fontId="0" fillId="7" borderId="0" xfId="0" applyNumberFormat="1" applyFill="1"/>
    <xf numFmtId="167" fontId="0" fillId="7" borderId="0" xfId="0" applyNumberFormat="1" applyFill="1"/>
    <xf numFmtId="0" fontId="0" fillId="7" borderId="0" xfId="0" applyFill="1"/>
    <xf numFmtId="2" fontId="0" fillId="10" borderId="0" xfId="0" applyNumberFormat="1" applyFill="1"/>
    <xf numFmtId="167" fontId="0" fillId="10" borderId="0" xfId="0" applyNumberFormat="1" applyFill="1"/>
    <xf numFmtId="0" fontId="8" fillId="11" borderId="3" xfId="2"/>
    <xf numFmtId="0" fontId="0" fillId="0" borderId="0" xfId="0" applyAlignment="1">
      <alignment horizontal="left"/>
    </xf>
    <xf numFmtId="2" fontId="8" fillId="11" borderId="3" xfId="2" applyNumberFormat="1"/>
    <xf numFmtId="165" fontId="8" fillId="11" borderId="3" xfId="2" applyNumberFormat="1"/>
    <xf numFmtId="2" fontId="8" fillId="11" borderId="4" xfId="2" applyNumberFormat="1" applyBorder="1"/>
    <xf numFmtId="2" fontId="0" fillId="13" borderId="0" xfId="0" applyNumberFormat="1" applyFill="1"/>
    <xf numFmtId="167" fontId="0" fillId="13" borderId="0" xfId="0" applyNumberFormat="1" applyFill="1"/>
    <xf numFmtId="164" fontId="8" fillId="11" borderId="3" xfId="2" applyNumberFormat="1"/>
    <xf numFmtId="0" fontId="3" fillId="0" borderId="0" xfId="0" applyFont="1" applyAlignment="1">
      <alignment horizontal="center"/>
    </xf>
    <xf numFmtId="0" fontId="10" fillId="15" borderId="5" xfId="3" applyFont="1"/>
    <xf numFmtId="0" fontId="0" fillId="15" borderId="5" xfId="3" applyFont="1"/>
    <xf numFmtId="0" fontId="9" fillId="15" borderId="5" xfId="3"/>
    <xf numFmtId="0" fontId="11" fillId="0" borderId="0" xfId="0" applyFont="1"/>
    <xf numFmtId="165" fontId="0" fillId="7" borderId="0" xfId="0" applyNumberFormat="1" applyFill="1"/>
    <xf numFmtId="0" fontId="13" fillId="0" borderId="0" xfId="0" applyFont="1"/>
    <xf numFmtId="0" fontId="14" fillId="0" borderId="6" xfId="0" applyFont="1" applyBorder="1" applyAlignment="1">
      <alignment horizontal="center" vertical="top"/>
    </xf>
    <xf numFmtId="166" fontId="0" fillId="7" borderId="0" xfId="0" applyNumberFormat="1" applyFill="1"/>
    <xf numFmtId="0" fontId="0" fillId="10" borderId="0" xfId="0" applyFill="1"/>
    <xf numFmtId="165" fontId="0" fillId="10" borderId="0" xfId="0" applyNumberFormat="1" applyFill="1"/>
    <xf numFmtId="166" fontId="0" fillId="10" borderId="0" xfId="0" applyNumberFormat="1" applyFill="1"/>
    <xf numFmtId="0" fontId="12" fillId="0" borderId="6" xfId="0" applyFont="1" applyBorder="1" applyAlignment="1">
      <alignment horizontal="center" vertical="top"/>
    </xf>
    <xf numFmtId="0" fontId="3" fillId="4" borderId="0" xfId="0" applyFont="1" applyFill="1" applyAlignment="1">
      <alignment horizontal="center"/>
    </xf>
    <xf numFmtId="0" fontId="0" fillId="0" borderId="0" xfId="0"/>
    <xf numFmtId="0" fontId="3" fillId="0" borderId="0" xfId="0" applyFont="1" applyAlignment="1">
      <alignment horizontal="center"/>
    </xf>
    <xf numFmtId="0" fontId="3" fillId="14" borderId="0" xfId="0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7" fillId="8" borderId="0" xfId="0" applyFont="1" applyFill="1" applyAlignment="1">
      <alignment horizontal="center"/>
    </xf>
    <xf numFmtId="0" fontId="7" fillId="5" borderId="0" xfId="0" applyFont="1" applyFill="1" applyAlignment="1">
      <alignment horizontal="center"/>
    </xf>
    <xf numFmtId="0" fontId="7" fillId="12" borderId="0" xfId="0" applyFont="1" applyFill="1" applyAlignment="1">
      <alignment horizontal="center"/>
    </xf>
    <xf numFmtId="0" fontId="7" fillId="6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3" fillId="8" borderId="0" xfId="0" applyFont="1" applyFill="1" applyAlignment="1">
      <alignment horizontal="center"/>
    </xf>
    <xf numFmtId="0" fontId="3" fillId="6" borderId="0" xfId="0" applyFont="1" applyFill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4">
    <cellStyle name="Calculation" xfId="2" builtinId="22"/>
    <cellStyle name="Good" xfId="1" builtinId="26"/>
    <cellStyle name="Normal" xfId="0" builtinId="0"/>
    <cellStyle name="Note" xfId="3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"/>
  <sheetViews>
    <sheetView workbookViewId="0">
      <selection activeCell="E3" sqref="E3"/>
    </sheetView>
  </sheetViews>
  <sheetFormatPr defaultRowHeight="15" x14ac:dyDescent="0.25"/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 t="s">
        <v>8</v>
      </c>
      <c r="B2">
        <v>1</v>
      </c>
      <c r="C2">
        <v>0</v>
      </c>
      <c r="D2">
        <v>1</v>
      </c>
      <c r="E2">
        <v>1</v>
      </c>
      <c r="F2">
        <v>2</v>
      </c>
      <c r="G2">
        <v>2</v>
      </c>
      <c r="H2">
        <v>4</v>
      </c>
    </row>
    <row r="3" spans="1:8" x14ac:dyDescent="0.25">
      <c r="A3" t="s">
        <v>9</v>
      </c>
      <c r="B3">
        <f>4-2</f>
        <v>2</v>
      </c>
      <c r="C3">
        <f>1*2</f>
        <v>2</v>
      </c>
      <c r="D3">
        <f>4-4</f>
        <v>0</v>
      </c>
      <c r="E3">
        <f>4+'Standard Values'!B30+(-2*'Standard Values'!B31)+(-3*'Standard Values'!B32)</f>
        <v>3.76</v>
      </c>
      <c r="F3">
        <f>(2*4)+6-2</f>
        <v>12</v>
      </c>
      <c r="G3">
        <f>(2*4)+4+(-2*2)</f>
        <v>8</v>
      </c>
      <c r="H3">
        <f>(4*4) + 10 -4</f>
        <v>22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6"/>
  <sheetViews>
    <sheetView zoomScaleNormal="100" workbookViewId="0">
      <selection activeCell="G14" sqref="G14"/>
    </sheetView>
  </sheetViews>
  <sheetFormatPr defaultRowHeight="15" x14ac:dyDescent="0.25"/>
  <cols>
    <col min="2" max="2" width="9.140625" style="18" customWidth="1"/>
    <col min="4" max="4" width="9.140625" style="18" customWidth="1"/>
    <col min="6" max="6" width="9.140625" style="18" customWidth="1"/>
    <col min="8" max="8" width="9.140625" style="18" customWidth="1"/>
  </cols>
  <sheetData>
    <row r="1" spans="1:9" x14ac:dyDescent="0.25">
      <c r="B1" s="18" t="s">
        <v>204</v>
      </c>
      <c r="C1" t="s">
        <v>205</v>
      </c>
      <c r="D1" s="18" t="s">
        <v>206</v>
      </c>
      <c r="E1" t="s">
        <v>207</v>
      </c>
      <c r="F1" s="18" t="s">
        <v>208</v>
      </c>
      <c r="G1" t="s">
        <v>209</v>
      </c>
      <c r="H1" s="18" t="s">
        <v>210</v>
      </c>
      <c r="I1" t="s">
        <v>211</v>
      </c>
    </row>
    <row r="2" spans="1:9" x14ac:dyDescent="0.25">
      <c r="A2" t="s">
        <v>212</v>
      </c>
      <c r="B2" s="34">
        <f>'Offgas Val2017, Val2018, deLima'!G6/100</f>
        <v>0.3542529730156091</v>
      </c>
      <c r="C2" s="5">
        <f>AVERAGE('Reconciled gas outflow'!B5:B6)</f>
        <v>0.43881029084072876</v>
      </c>
      <c r="D2" s="34">
        <f>'Offgas Val2017, Val2018, deLima'!I6/100</f>
        <v>4.5117534723503579E-3</v>
      </c>
      <c r="E2" s="5">
        <f>AVERAGE('Reconciled gas outflow'!C5:C6)</f>
        <v>3.2764720409335039E-3</v>
      </c>
      <c r="F2" s="34">
        <f>'Offgas Val2017, Val2018, deLima'!E6/100</f>
        <v>0.19678277782876349</v>
      </c>
      <c r="G2" s="5">
        <f>AVERAGE('Reconciled gas outflow'!D5:D6)</f>
        <v>0.12390260148536587</v>
      </c>
      <c r="H2" s="34">
        <f>'Offgas Val2017, Val2018, deLima'!C6/100</f>
        <v>0.44315338690682538</v>
      </c>
      <c r="I2" s="5">
        <f>AVERAGE('Reconciled gas outflow'!E5:E6)</f>
        <v>0.43401063564013065</v>
      </c>
    </row>
    <row r="3" spans="1:9" x14ac:dyDescent="0.25">
      <c r="A3" t="s">
        <v>213</v>
      </c>
      <c r="B3" s="34">
        <f>'Offgas Val2017, Val2018, deLima'!G7/100</f>
        <v>8.921900694169102E-2</v>
      </c>
      <c r="C3" s="5">
        <f>AVERAGE('Reconciled gas outflow'!B7:B8)</f>
        <v>8.4102984481679355E-2</v>
      </c>
      <c r="D3" s="34">
        <f>'Offgas Val2017, Val2018, deLima'!I7/100</f>
        <v>0.40421985189473958</v>
      </c>
      <c r="E3" s="5">
        <f>AVERAGE('Reconciled gas outflow'!C7:C8)</f>
        <v>0.41458903023011695</v>
      </c>
      <c r="F3" s="34">
        <f>'Offgas Val2017, Val2018, deLima'!E7/100</f>
        <v>1.9285458207222789E-2</v>
      </c>
      <c r="G3" s="5">
        <f>AVERAGE('Reconciled gas outflow'!D7:D8)</f>
        <v>1.4569900907260128E-2</v>
      </c>
      <c r="H3" s="34">
        <f>'Offgas Val2017, Val2018, deLima'!C7/100</f>
        <v>0.48427807264381678</v>
      </c>
      <c r="I3" s="5">
        <f>AVERAGE('Reconciled gas outflow'!E7:E8)</f>
        <v>0.48673808437823574</v>
      </c>
    </row>
    <row r="4" spans="1:9" x14ac:dyDescent="0.25">
      <c r="A4" t="s">
        <v>214</v>
      </c>
      <c r="B4" s="34">
        <f>'Offgas Val2017, Val2018, deLima'!G3/100</f>
        <v>0.47640134251680372</v>
      </c>
      <c r="C4" s="5">
        <f>AVERAGE('Reconciled gas outflow'!B9:B10)</f>
        <v>0.47568059318617817</v>
      </c>
      <c r="D4" s="34">
        <f>'Offgas Val2017, Val2018, deLima'!I3/100</f>
        <v>0.18265518095559583</v>
      </c>
      <c r="E4" s="5">
        <f>AVERAGE('Reconciled gas outflow'!C9:C10)</f>
        <v>0.17638836233394725</v>
      </c>
      <c r="F4" s="34">
        <f>'Offgas Val2017, Val2018, deLima'!E3/100</f>
        <v>0.22935615890402899</v>
      </c>
      <c r="G4" s="5">
        <f>AVERAGE('Reconciled gas outflow'!D9:D10)</f>
        <v>0.23820200218697585</v>
      </c>
      <c r="H4" s="34">
        <f>'Offgas Val2017, Val2018, deLima'!C3/100</f>
        <v>0.11028084689090029</v>
      </c>
      <c r="I4" s="5">
        <f>AVERAGE('Reconciled gas outflow'!E9:E10)</f>
        <v>0.10972904229286021</v>
      </c>
    </row>
    <row r="5" spans="1:9" x14ac:dyDescent="0.25">
      <c r="A5" t="s">
        <v>215</v>
      </c>
      <c r="B5" s="34">
        <f>'Offgas Val2017, Val2018, deLima'!G4/100</f>
        <v>0.40862054188769098</v>
      </c>
      <c r="C5" s="5">
        <f>'Reconciled gas outflow'!B11</f>
        <v>0.40208368539977729</v>
      </c>
      <c r="D5" s="34">
        <f>'Offgas Val2017, Val2018, deLima'!I4/100</f>
        <v>0.15145183521611438</v>
      </c>
      <c r="E5" s="5">
        <f>'Reconciled gas outflow'!C11</f>
        <v>0.13739212277666929</v>
      </c>
      <c r="F5" s="34">
        <f>'Offgas Val2017, Val2018, deLima'!E4/100</f>
        <v>0.31223252110227312</v>
      </c>
      <c r="G5" s="5">
        <f>'Reconciled gas outflow'!D11</f>
        <v>0.33363126051911568</v>
      </c>
      <c r="H5" s="34">
        <f>'Offgas Val2017, Val2018, deLima'!C4/100</f>
        <v>0.12575175029985081</v>
      </c>
      <c r="I5" s="5">
        <f>'Reconciled gas outflow'!E11</f>
        <v>0.12689293131131979</v>
      </c>
    </row>
    <row r="6" spans="1:9" x14ac:dyDescent="0.25">
      <c r="A6" t="s">
        <v>216</v>
      </c>
      <c r="B6" s="34">
        <f>'Offgas Val2017, Val2018, deLima'!G5/100</f>
        <v>0.32454645070184662</v>
      </c>
      <c r="C6" s="5">
        <f>AVERAGE('Reconciled gas outflow'!B12:B13)</f>
        <v>0.31280371291696568</v>
      </c>
      <c r="D6" s="34">
        <f>'Offgas Val2017, Val2018, deLima'!I5/100</f>
        <v>0.1435060521316241</v>
      </c>
      <c r="E6" s="5">
        <f>AVERAGE('Reconciled gas outflow'!C12:C13)</f>
        <v>0.1252484020127852</v>
      </c>
      <c r="F6" s="34">
        <f>'Offgas Val2017, Val2018, deLima'!E5/100</f>
        <v>0.39399247793413872</v>
      </c>
      <c r="G6" s="5">
        <f>AVERAGE('Reconciled gas outflow'!D12:D13)</f>
        <v>0.42632189374117935</v>
      </c>
      <c r="H6" s="34">
        <f>'Offgas Val2017, Val2018, deLima'!C5/100</f>
        <v>0.13500987609374859</v>
      </c>
      <c r="I6" s="5">
        <f>AVERAGE('Reconciled gas outflow'!E12:E13)</f>
        <v>0.13562599132907674</v>
      </c>
    </row>
    <row r="7" spans="1:9" x14ac:dyDescent="0.25">
      <c r="A7" t="s">
        <v>217</v>
      </c>
      <c r="B7" s="34">
        <f>'Offgas Val2017, Val2018, deLima'!G8/100</f>
        <v>0.34407308357640831</v>
      </c>
      <c r="C7" s="5">
        <f>'Reconciled gas outflow'!B14</f>
        <v>0.30617779877500872</v>
      </c>
      <c r="D7" s="34">
        <f>'Offgas Val2017, Val2018, deLima'!I8/100</f>
        <v>1.0101184403094241E-3</v>
      </c>
      <c r="E7" s="5">
        <f>'Reconciled gas outflow'!C14</f>
        <v>3.154013632703621E-3</v>
      </c>
      <c r="F7" s="34">
        <f>'Offgas Val2017, Val2018, deLima'!E8/100</f>
        <v>0.22358364594480448</v>
      </c>
      <c r="G7" s="5">
        <f>'Reconciled gas outflow'!D14</f>
        <v>0.2267682365828515</v>
      </c>
      <c r="H7" s="34">
        <f>'Offgas Val2017, Val2018, deLima'!C8/100</f>
        <v>0.428861412453441</v>
      </c>
      <c r="I7" s="5">
        <f>'Reconciled gas outflow'!E14</f>
        <v>0.46389995101253478</v>
      </c>
    </row>
    <row r="8" spans="1:9" x14ac:dyDescent="0.25">
      <c r="A8" t="s">
        <v>218</v>
      </c>
      <c r="B8" s="34">
        <f>'Offgas Val2017, Val2018, deLima'!G9/100</f>
        <v>0.26582850637303451</v>
      </c>
      <c r="C8" s="5">
        <f>'Reconciled gas outflow'!B15</f>
        <v>0.2471922451267303</v>
      </c>
      <c r="D8" s="34">
        <f>'Offgas Val2017, Val2018, deLima'!I9/100</f>
        <v>1.7704463314803689E-3</v>
      </c>
      <c r="E8" s="5">
        <f>'Reconciled gas outflow'!C15</f>
        <v>2.1082408592352649E-3</v>
      </c>
      <c r="F8" s="34">
        <f>'Offgas Val2017, Val2018, deLima'!E9/100</f>
        <v>0.28639116329197728</v>
      </c>
      <c r="G8" s="5">
        <f>'Reconciled gas outflow'!D15</f>
        <v>0.27795544774116338</v>
      </c>
      <c r="H8" s="34">
        <f>'Offgas Val2017, Val2018, deLima'!C9/100</f>
        <v>0.44343119577460882</v>
      </c>
      <c r="I8" s="5">
        <f>'Reconciled gas outflow'!E15</f>
        <v>0.47274406627287102</v>
      </c>
    </row>
    <row r="9" spans="1:9" x14ac:dyDescent="0.25">
      <c r="A9" t="s">
        <v>219</v>
      </c>
      <c r="B9" s="34">
        <f>'Offgas Val2017, Val2018, deLima'!G10/100</f>
        <v>0.18347120485868398</v>
      </c>
      <c r="C9" s="5">
        <f>'Reconciled gas outflow'!B16</f>
        <v>0.13950583148463311</v>
      </c>
      <c r="D9" s="34">
        <f>'Offgas Val2017, Val2018, deLima'!I10/100</f>
        <v>1.0132334379680009E-3</v>
      </c>
      <c r="E9" s="5">
        <f>'Reconciled gas outflow'!C16</f>
        <v>2.4234451139860261E-3</v>
      </c>
      <c r="F9" s="34">
        <f>'Offgas Val2017, Val2018, deLima'!E10/100</f>
        <v>0.33186966315764066</v>
      </c>
      <c r="G9" s="5">
        <f>'Reconciled gas outflow'!D16</f>
        <v>0.35988946340988609</v>
      </c>
      <c r="H9" s="34">
        <f>'Offgas Val2017, Val2018, deLima'!C10/100</f>
        <v>0.48111819140311385</v>
      </c>
      <c r="I9" s="5">
        <f>'Reconciled gas outflow'!E16</f>
        <v>0.49818125999149482</v>
      </c>
    </row>
    <row r="10" spans="1:9" x14ac:dyDescent="0.25">
      <c r="A10" t="s">
        <v>220</v>
      </c>
      <c r="B10" s="34">
        <f>'Offgas Val2017, Val2018, deLima'!G11/100</f>
        <v>0.34046352111134665</v>
      </c>
      <c r="C10" s="5">
        <f>'Reconciled gas outflow'!B17</f>
        <v>0.32112469176056929</v>
      </c>
      <c r="D10" s="34">
        <f>'Offgas Val2017, Val2018, deLima'!I11/100</f>
        <v>0.17163351725741152</v>
      </c>
      <c r="E10" s="5">
        <f>'Reconciled gas outflow'!C17</f>
        <v>0.15873850742614981</v>
      </c>
      <c r="F10" s="34">
        <f>'Offgas Val2017, Val2018, deLima'!E11/100</f>
        <v>0.36361558618602691</v>
      </c>
      <c r="G10" s="5">
        <f>'Reconciled gas outflow'!D17</f>
        <v>0.39277335163968041</v>
      </c>
      <c r="H10" s="34">
        <f>'Offgas Val2017, Val2018, deLima'!C11/100</f>
        <v>0.12140861483045511</v>
      </c>
      <c r="I10" s="5">
        <f>'Reconciled gas outflow'!E17</f>
        <v>0.1273634491788023</v>
      </c>
    </row>
    <row r="11" spans="1:9" x14ac:dyDescent="0.25">
      <c r="A11" t="s">
        <v>221</v>
      </c>
      <c r="B11" s="34">
        <f>'Offgas Val2017, Val2018, deLima'!G12/100</f>
        <v>0.2345941624246255</v>
      </c>
      <c r="C11" s="5">
        <f>'Reconciled gas outflow'!B18</f>
        <v>0.19393692983392849</v>
      </c>
      <c r="D11" s="34">
        <f>'Offgas Val2017, Val2018, deLima'!I12/100</f>
        <v>0.1008632551046012</v>
      </c>
      <c r="E11" s="5">
        <f>'Reconciled gas outflow'!C18</f>
        <v>0.1036554322876366</v>
      </c>
      <c r="F11" s="34">
        <f>'Offgas Val2017, Val2018, deLima'!E12/100</f>
        <v>0.51828570809498753</v>
      </c>
      <c r="G11" s="5">
        <f>'Reconciled gas outflow'!D18</f>
        <v>0.55365456282247127</v>
      </c>
      <c r="H11" s="34">
        <f>'Offgas Val2017, Val2018, deLima'!C12/100</f>
        <v>0.139486977098462</v>
      </c>
      <c r="I11" s="5">
        <f>'Reconciled gas outflow'!E18</f>
        <v>0.1487530750559643</v>
      </c>
    </row>
    <row r="12" spans="1:9" x14ac:dyDescent="0.25">
      <c r="A12" t="s">
        <v>222</v>
      </c>
      <c r="B12" s="34">
        <f>'Offgas Val2017, Val2018, deLima'!G13/100</f>
        <v>0.13775317802508119</v>
      </c>
      <c r="C12" s="5">
        <f>'Reconciled gas outflow'!B19</f>
        <v>0.1219816374871741</v>
      </c>
      <c r="D12" s="34">
        <f>'Offgas Val2017, Val2018, deLima'!I13/100</f>
        <v>0.13182793329047221</v>
      </c>
      <c r="E12" s="5">
        <f>'Reconciled gas outflow'!C19</f>
        <v>0.12446871861558791</v>
      </c>
      <c r="F12" s="34">
        <f>'Offgas Val2017, Val2018, deLima'!E13/100</f>
        <v>0.57725428053586325</v>
      </c>
      <c r="G12" s="5">
        <f>'Reconciled gas outflow'!D19</f>
        <v>0.60540760072561284</v>
      </c>
      <c r="H12" s="34">
        <f>'Offgas Val2017, Val2018, deLima'!C13/100</f>
        <v>0.1475947654604626</v>
      </c>
      <c r="I12" s="5">
        <f>'Reconciled gas outflow'!E19</f>
        <v>0.1481420431716261</v>
      </c>
    </row>
    <row r="13" spans="1:9" x14ac:dyDescent="0.25">
      <c r="A13" s="35" t="s">
        <v>223</v>
      </c>
      <c r="B13" s="34">
        <f>Data!AL$19*10</f>
        <v>0.147718137945762</v>
      </c>
      <c r="C13" s="5">
        <f>'Reconciled gas outflow'!B20</f>
        <v>0.17139458960504991</v>
      </c>
      <c r="D13" s="34">
        <f>Data!AL$20*10</f>
        <v>0</v>
      </c>
      <c r="E13" s="5">
        <f>'Reconciled gas outflow'!C20</f>
        <v>5.0931981735768102E-8</v>
      </c>
      <c r="F13" s="34">
        <f>Data!AL$21*10</f>
        <v>0.15773525090753698</v>
      </c>
      <c r="G13" s="5">
        <f>'Reconciled gas outflow'!D20</f>
        <v>0.22785501780222031</v>
      </c>
      <c r="H13" s="34">
        <f>1 - SUM(B13,D13,F13)</f>
        <v>0.69454661114670102</v>
      </c>
      <c r="I13" s="5">
        <f>'Reconciled gas outflow'!E20</f>
        <v>0.6007503417106731</v>
      </c>
    </row>
    <row r="14" spans="1:9" x14ac:dyDescent="0.25">
      <c r="A14" s="35" t="s">
        <v>224</v>
      </c>
      <c r="B14" s="34">
        <f>Data!AN$19*10</f>
        <v>0.104</v>
      </c>
      <c r="C14" s="5">
        <f>'Reconciled gas outflow'!B21</f>
        <v>0.1180986912228318</v>
      </c>
      <c r="D14" s="34">
        <f>Data!AN$20*10</f>
        <v>0</v>
      </c>
      <c r="E14" s="5">
        <f>'Reconciled gas outflow'!C21</f>
        <v>8.1718388953355536E-9</v>
      </c>
      <c r="F14" s="34">
        <f>Data!AN$21*10</f>
        <v>0.16400000000000001</v>
      </c>
      <c r="G14" s="5">
        <f>'Reconciled gas outflow'!D21</f>
        <v>0.2557471787788288</v>
      </c>
      <c r="H14" s="34">
        <f>1 - SUM(B14,D14,F14)</f>
        <v>0.73199999999999998</v>
      </c>
      <c r="I14" s="5">
        <f>'Reconciled gas outflow'!E21</f>
        <v>0.62615412189597508</v>
      </c>
    </row>
    <row r="15" spans="1:9" x14ac:dyDescent="0.25">
      <c r="A15" s="35" t="s">
        <v>225</v>
      </c>
      <c r="B15" s="34">
        <f>Data!AP$19*10</f>
        <v>0.12076482620512001</v>
      </c>
      <c r="C15" s="5">
        <f>'Reconciled gas outflow'!B22</f>
        <v>0.1302473389541971</v>
      </c>
      <c r="D15" s="34">
        <f>Data!AP$20*10</f>
        <v>0</v>
      </c>
      <c r="E15" s="5">
        <f>'Reconciled gas outflow'!C22</f>
        <v>2.5481373455483498E-8</v>
      </c>
      <c r="F15" s="34">
        <f>Data!AP$21*10</f>
        <v>0.167142068373624</v>
      </c>
      <c r="G15" s="5">
        <f>'Reconciled gas outflow'!D22</f>
        <v>0.24676126863470671</v>
      </c>
      <c r="H15" s="34">
        <f>1 - SUM(B15,D15,F15)</f>
        <v>0.71209310542125603</v>
      </c>
      <c r="I15" s="5">
        <f>'Reconciled gas outflow'!E22</f>
        <v>0.62299136693410762</v>
      </c>
    </row>
    <row r="16" spans="1:9" x14ac:dyDescent="0.25">
      <c r="A16" s="35" t="s">
        <v>226</v>
      </c>
      <c r="B16" s="34">
        <f>Data!AR$19*10</f>
        <v>0.17998799550182898</v>
      </c>
      <c r="C16" s="5">
        <f>'Reconciled gas outflow'!B23</f>
        <v>0.26422918162617232</v>
      </c>
      <c r="D16" s="34">
        <f>Data!AR$20*10</f>
        <v>0</v>
      </c>
      <c r="E16" s="5">
        <f>'Reconciled gas outflow'!C23</f>
        <v>7.753505789620691E-8</v>
      </c>
      <c r="F16" s="34">
        <f>Data!AR$21*10</f>
        <v>0.14885724195338601</v>
      </c>
      <c r="G16" s="5">
        <f>'Reconciled gas outflow'!D23</f>
        <v>0.16560807685200529</v>
      </c>
      <c r="H16" s="34">
        <f>1 - SUM(B16,D16,F16)</f>
        <v>0.67115476254478501</v>
      </c>
      <c r="I16" s="5">
        <f>'Reconciled gas outflow'!E23</f>
        <v>0.5701626640793318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19"/>
  <sheetViews>
    <sheetView workbookViewId="0">
      <selection activeCell="C17" sqref="C17"/>
    </sheetView>
  </sheetViews>
  <sheetFormatPr defaultRowHeight="15" x14ac:dyDescent="0.25"/>
  <cols>
    <col min="1" max="1" width="15.28515625" customWidth="1"/>
    <col min="3" max="3" width="12.28515625" customWidth="1"/>
  </cols>
  <sheetData>
    <row r="1" spans="1:4" x14ac:dyDescent="0.25">
      <c r="C1" t="s">
        <v>55</v>
      </c>
      <c r="D1" t="s">
        <v>56</v>
      </c>
    </row>
    <row r="2" spans="1:4" x14ac:dyDescent="0.25">
      <c r="A2" t="s">
        <v>239</v>
      </c>
      <c r="B2" t="s">
        <v>240</v>
      </c>
      <c r="C2" t="s">
        <v>241</v>
      </c>
    </row>
    <row r="3" spans="1:4" x14ac:dyDescent="0.25">
      <c r="A3" t="s">
        <v>242</v>
      </c>
      <c r="B3" t="s">
        <v>243</v>
      </c>
      <c r="C3" s="2">
        <v>0.14000000000000001</v>
      </c>
      <c r="D3">
        <v>0.375</v>
      </c>
    </row>
    <row r="14" spans="1:4" x14ac:dyDescent="0.25">
      <c r="A14" s="12" t="s">
        <v>244</v>
      </c>
    </row>
    <row r="15" spans="1:4" x14ac:dyDescent="0.25">
      <c r="A15" t="s">
        <v>245</v>
      </c>
      <c r="C15">
        <v>6</v>
      </c>
    </row>
    <row r="16" spans="1:4" x14ac:dyDescent="0.25">
      <c r="A16" t="s">
        <v>246</v>
      </c>
      <c r="B16" t="s">
        <v>247</v>
      </c>
      <c r="C16" s="10">
        <v>3.8999999999999999E-12</v>
      </c>
    </row>
    <row r="17" spans="1:3" x14ac:dyDescent="0.25">
      <c r="A17" t="s">
        <v>248</v>
      </c>
      <c r="B17" t="s">
        <v>249</v>
      </c>
      <c r="C17" s="10">
        <v>6.8999999999999997E-5</v>
      </c>
    </row>
    <row r="18" spans="1:3" x14ac:dyDescent="0.25">
      <c r="A18" t="s">
        <v>250</v>
      </c>
      <c r="B18" t="s">
        <v>249</v>
      </c>
      <c r="C18" s="10">
        <v>9.5000000000000003E-10</v>
      </c>
    </row>
    <row r="19" spans="1:3" x14ac:dyDescent="0.25">
      <c r="A19" t="s">
        <v>251</v>
      </c>
      <c r="B19" t="s">
        <v>252</v>
      </c>
      <c r="C19">
        <v>4</v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40"/>
  <sheetViews>
    <sheetView zoomScale="115" zoomScaleNormal="115" workbookViewId="0">
      <selection activeCell="G32" sqref="G32"/>
    </sheetView>
  </sheetViews>
  <sheetFormatPr defaultRowHeight="15" x14ac:dyDescent="0.25"/>
  <cols>
    <col min="1" max="1" width="15.5703125" customWidth="1"/>
  </cols>
  <sheetData>
    <row r="2" spans="1:13" x14ac:dyDescent="0.25">
      <c r="A2" s="42" t="s">
        <v>10</v>
      </c>
      <c r="B2" s="43"/>
      <c r="C2" s="43"/>
      <c r="K2" s="42" t="s">
        <v>11</v>
      </c>
      <c r="L2" s="43"/>
      <c r="M2" s="43"/>
    </row>
    <row r="3" spans="1:13" x14ac:dyDescent="0.25">
      <c r="A3" s="9" t="s">
        <v>12</v>
      </c>
      <c r="B3" t="s">
        <v>13</v>
      </c>
      <c r="C3" s="10">
        <f>0.0000820573660809596*1000</f>
        <v>8.2057366080959607E-2</v>
      </c>
      <c r="K3" t="s">
        <v>14</v>
      </c>
      <c r="L3">
        <f>B25</f>
        <v>4.76</v>
      </c>
    </row>
    <row r="4" spans="1:13" x14ac:dyDescent="0.25">
      <c r="A4" s="9" t="s">
        <v>15</v>
      </c>
      <c r="B4" t="s">
        <v>16</v>
      </c>
      <c r="C4" s="11">
        <v>1</v>
      </c>
      <c r="K4" t="s">
        <v>17</v>
      </c>
      <c r="L4">
        <v>6</v>
      </c>
    </row>
    <row r="5" spans="1:13" x14ac:dyDescent="0.25">
      <c r="A5" s="9" t="s">
        <v>18</v>
      </c>
      <c r="B5" t="s">
        <v>19</v>
      </c>
      <c r="C5">
        <v>298</v>
      </c>
      <c r="K5" t="s">
        <v>20</v>
      </c>
      <c r="L5">
        <f>10^(L4-L3)</f>
        <v>17.378008287493763</v>
      </c>
    </row>
    <row r="6" spans="1:13" x14ac:dyDescent="0.25">
      <c r="A6" t="s">
        <v>21</v>
      </c>
      <c r="B6" t="s">
        <v>22</v>
      </c>
      <c r="C6" s="4">
        <f>C3*C5/C4</f>
        <v>24.453095092125963</v>
      </c>
      <c r="K6" t="s">
        <v>23</v>
      </c>
      <c r="L6">
        <f>L5/(L5+1) * 100</f>
        <v>94.558713956612479</v>
      </c>
      <c r="M6" t="s">
        <v>24</v>
      </c>
    </row>
    <row r="7" spans="1:13" x14ac:dyDescent="0.25">
      <c r="K7" t="s">
        <v>25</v>
      </c>
      <c r="L7">
        <f>1/(L5+1) *100</f>
        <v>5.441286043387521</v>
      </c>
      <c r="M7" t="s">
        <v>24</v>
      </c>
    </row>
    <row r="10" spans="1:13" x14ac:dyDescent="0.25">
      <c r="A10" s="42" t="s">
        <v>26</v>
      </c>
      <c r="B10" s="43"/>
      <c r="C10" s="43"/>
    </row>
    <row r="11" spans="1:13" x14ac:dyDescent="0.25">
      <c r="A11" t="s">
        <v>27</v>
      </c>
      <c r="B11" t="s">
        <v>28</v>
      </c>
      <c r="C11">
        <v>28.01</v>
      </c>
      <c r="D11" t="s">
        <v>29</v>
      </c>
      <c r="E11">
        <f t="shared" ref="E11:E19" si="0">C11/1000</f>
        <v>2.801E-2</v>
      </c>
    </row>
    <row r="12" spans="1:13" x14ac:dyDescent="0.25">
      <c r="A12" t="s">
        <v>30</v>
      </c>
      <c r="B12" t="s">
        <v>28</v>
      </c>
      <c r="C12">
        <v>44.01</v>
      </c>
      <c r="D12" t="s">
        <v>29</v>
      </c>
      <c r="E12">
        <f t="shared" si="0"/>
        <v>4.4010000000000001E-2</v>
      </c>
    </row>
    <row r="13" spans="1:13" x14ac:dyDescent="0.25">
      <c r="A13" t="s">
        <v>31</v>
      </c>
      <c r="B13" t="s">
        <v>28</v>
      </c>
      <c r="C13">
        <v>2.016</v>
      </c>
      <c r="D13" t="s">
        <v>29</v>
      </c>
      <c r="E13">
        <f t="shared" si="0"/>
        <v>2.016E-3</v>
      </c>
    </row>
    <row r="14" spans="1:13" x14ac:dyDescent="0.25">
      <c r="A14" t="s">
        <v>32</v>
      </c>
      <c r="B14" t="s">
        <v>28</v>
      </c>
      <c r="C14" s="6">
        <f>12.01*B29+1.008*B30+15.999*B31+14.0067*B32+B34*30.97+B33*32.065</f>
        <v>26.313499499999999</v>
      </c>
      <c r="D14" t="s">
        <v>29</v>
      </c>
      <c r="E14">
        <f t="shared" si="0"/>
        <v>2.63134995E-2</v>
      </c>
    </row>
    <row r="15" spans="1:13" x14ac:dyDescent="0.25">
      <c r="A15" t="s">
        <v>33</v>
      </c>
      <c r="B15" t="s">
        <v>28</v>
      </c>
      <c r="C15">
        <v>46.067999999999998</v>
      </c>
      <c r="D15" t="s">
        <v>29</v>
      </c>
      <c r="E15">
        <f t="shared" si="0"/>
        <v>4.6067999999999998E-2</v>
      </c>
    </row>
    <row r="16" spans="1:13" x14ac:dyDescent="0.25">
      <c r="A16" t="s">
        <v>34</v>
      </c>
      <c r="B16" t="s">
        <v>28</v>
      </c>
      <c r="C16">
        <v>60.052</v>
      </c>
      <c r="D16" t="s">
        <v>29</v>
      </c>
      <c r="E16">
        <f t="shared" si="0"/>
        <v>6.0052000000000001E-2</v>
      </c>
    </row>
    <row r="17" spans="1:5" x14ac:dyDescent="0.25">
      <c r="A17" t="s">
        <v>35</v>
      </c>
      <c r="B17" t="s">
        <v>28</v>
      </c>
      <c r="C17">
        <v>59.043999999999997</v>
      </c>
      <c r="D17" t="s">
        <v>29</v>
      </c>
      <c r="E17">
        <f t="shared" si="0"/>
        <v>5.9043999999999999E-2</v>
      </c>
    </row>
    <row r="18" spans="1:5" x14ac:dyDescent="0.25">
      <c r="A18" t="s">
        <v>36</v>
      </c>
      <c r="B18" t="s">
        <v>28</v>
      </c>
      <c r="C18">
        <v>90.120999999999995</v>
      </c>
      <c r="D18" t="s">
        <v>29</v>
      </c>
      <c r="E18">
        <f t="shared" si="0"/>
        <v>9.0120999999999993E-2</v>
      </c>
    </row>
    <row r="19" spans="1:5" x14ac:dyDescent="0.25">
      <c r="A19" t="s">
        <v>37</v>
      </c>
      <c r="B19" t="s">
        <v>28</v>
      </c>
      <c r="C19">
        <v>45.017400000000002</v>
      </c>
      <c r="D19" t="s">
        <v>29</v>
      </c>
      <c r="E19">
        <f t="shared" si="0"/>
        <v>4.5017399999999999E-2</v>
      </c>
    </row>
    <row r="24" spans="1:5" x14ac:dyDescent="0.25">
      <c r="A24" s="42" t="s">
        <v>38</v>
      </c>
      <c r="B24" s="43"/>
      <c r="C24" s="43"/>
    </row>
    <row r="25" spans="1:5" x14ac:dyDescent="0.25">
      <c r="A25" t="s">
        <v>39</v>
      </c>
      <c r="B25">
        <v>4.76</v>
      </c>
    </row>
    <row r="28" spans="1:5" x14ac:dyDescent="0.25">
      <c r="A28" s="42" t="s">
        <v>40</v>
      </c>
      <c r="B28" s="43"/>
      <c r="C28" s="43"/>
    </row>
    <row r="29" spans="1:5" x14ac:dyDescent="0.25">
      <c r="A29" t="s">
        <v>41</v>
      </c>
      <c r="B29">
        <v>1</v>
      </c>
    </row>
    <row r="30" spans="1:5" x14ac:dyDescent="0.25">
      <c r="A30" t="s">
        <v>42</v>
      </c>
      <c r="B30">
        <v>1.52</v>
      </c>
    </row>
    <row r="31" spans="1:5" x14ac:dyDescent="0.25">
      <c r="A31" t="s">
        <v>43</v>
      </c>
      <c r="B31">
        <v>0.46</v>
      </c>
    </row>
    <row r="32" spans="1:5" x14ac:dyDescent="0.25">
      <c r="A32" t="s">
        <v>44</v>
      </c>
      <c r="B32">
        <v>0.28000000000000003</v>
      </c>
    </row>
    <row r="33" spans="1:3" x14ac:dyDescent="0.25">
      <c r="A33" t="s">
        <v>45</v>
      </c>
      <c r="B33">
        <v>5.8999999999999999E-3</v>
      </c>
    </row>
    <row r="34" spans="1:3" x14ac:dyDescent="0.25">
      <c r="A34" t="s">
        <v>15</v>
      </c>
      <c r="B34">
        <v>4.2000000000000003E-2</v>
      </c>
    </row>
    <row r="36" spans="1:3" x14ac:dyDescent="0.25">
      <c r="A36" s="42" t="s">
        <v>46</v>
      </c>
      <c r="B36" s="43"/>
      <c r="C36" s="43"/>
    </row>
    <row r="37" spans="1:3" x14ac:dyDescent="0.25">
      <c r="A37" t="s">
        <v>47</v>
      </c>
      <c r="B37">
        <v>5</v>
      </c>
      <c r="C37" t="s">
        <v>24</v>
      </c>
    </row>
    <row r="38" spans="1:3" x14ac:dyDescent="0.25">
      <c r="A38" t="s">
        <v>48</v>
      </c>
      <c r="B38">
        <v>5</v>
      </c>
      <c r="C38" t="s">
        <v>24</v>
      </c>
    </row>
    <row r="39" spans="1:3" x14ac:dyDescent="0.25">
      <c r="A39" t="s">
        <v>49</v>
      </c>
      <c r="B39">
        <v>5</v>
      </c>
      <c r="C39" t="s">
        <v>24</v>
      </c>
    </row>
    <row r="40" spans="1:3" x14ac:dyDescent="0.25">
      <c r="A40" t="s">
        <v>50</v>
      </c>
      <c r="B40">
        <v>5</v>
      </c>
      <c r="C40" t="s">
        <v>24</v>
      </c>
    </row>
  </sheetData>
  <mergeCells count="6">
    <mergeCell ref="K2:M2"/>
    <mergeCell ref="A36:C36"/>
    <mergeCell ref="A2:C2"/>
    <mergeCell ref="A10:C10"/>
    <mergeCell ref="A24:C24"/>
    <mergeCell ref="A28:C2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A115"/>
  <sheetViews>
    <sheetView zoomScaleNormal="100" workbookViewId="0">
      <pane xSplit="1" topLeftCell="B1" activePane="topRight" state="frozen"/>
      <selection activeCell="A3" sqref="A3"/>
      <selection pane="topRight" activeCell="Q52" sqref="Q52"/>
    </sheetView>
  </sheetViews>
  <sheetFormatPr defaultRowHeight="15" x14ac:dyDescent="0.25"/>
  <cols>
    <col min="1" max="1" width="28.5703125" customWidth="1"/>
    <col min="2" max="2" width="11.28515625" customWidth="1"/>
    <col min="3" max="3" width="13.28515625" customWidth="1"/>
    <col min="4" max="4" width="12" bestFit="1" customWidth="1"/>
    <col min="5" max="5" width="16.7109375" customWidth="1"/>
    <col min="6" max="6" width="12" bestFit="1" customWidth="1"/>
    <col min="7" max="7" width="13.85546875" customWidth="1"/>
    <col min="8" max="8" width="12.140625" bestFit="1" customWidth="1"/>
    <col min="9" max="9" width="8.85546875" customWidth="1"/>
    <col min="10" max="10" width="11.5703125" bestFit="1" customWidth="1"/>
    <col min="11" max="11" width="9.140625" customWidth="1"/>
    <col min="12" max="12" width="14.85546875" customWidth="1"/>
    <col min="13" max="13" width="9.7109375" customWidth="1"/>
    <col min="14" max="14" width="15.28515625" customWidth="1"/>
    <col min="15" max="15" width="11.28515625" customWidth="1"/>
    <col min="16" max="16" width="10.28515625" bestFit="1" customWidth="1"/>
    <col min="18" max="18" width="13.28515625" customWidth="1"/>
    <col min="19" max="19" width="9.28515625" customWidth="1"/>
    <col min="20" max="20" width="11.5703125" customWidth="1"/>
    <col min="21" max="21" width="10.7109375" customWidth="1"/>
    <col min="23" max="23" width="10" customWidth="1"/>
    <col min="24" max="24" width="9.140625" customWidth="1"/>
    <col min="25" max="25" width="9.28515625" customWidth="1"/>
    <col min="26" max="26" width="12.5703125" bestFit="1" customWidth="1"/>
    <col min="27" max="27" width="11.42578125" customWidth="1"/>
    <col min="28" max="28" width="12.5703125" bestFit="1" customWidth="1"/>
    <col min="29" max="29" width="11.5703125" bestFit="1" customWidth="1"/>
    <col min="30" max="30" width="12.85546875" bestFit="1" customWidth="1"/>
    <col min="31" max="31" width="11.5703125" bestFit="1" customWidth="1"/>
    <col min="32" max="32" width="12.5703125" bestFit="1" customWidth="1"/>
    <col min="33" max="33" width="11.5703125" bestFit="1" customWidth="1"/>
    <col min="34" max="34" width="12.5703125" bestFit="1" customWidth="1"/>
    <col min="35" max="35" width="11.5703125" bestFit="1" customWidth="1"/>
    <col min="36" max="36" width="12.5703125" bestFit="1" customWidth="1"/>
    <col min="37" max="37" width="11.5703125" bestFit="1" customWidth="1"/>
    <col min="39" max="39" width="12.85546875" customWidth="1"/>
    <col min="41" max="41" width="12" customWidth="1"/>
    <col min="43" max="43" width="12.5703125" customWidth="1"/>
    <col min="45" max="45" width="13.28515625" customWidth="1"/>
    <col min="46" max="46" width="10.28515625" customWidth="1"/>
    <col min="47" max="47" width="13.5703125" customWidth="1"/>
    <col min="48" max="48" width="10.28515625" customWidth="1"/>
    <col min="49" max="49" width="13.85546875" customWidth="1"/>
    <col min="50" max="50" width="12.42578125" bestFit="1" customWidth="1"/>
    <col min="51" max="51" width="14.7109375" customWidth="1"/>
    <col min="53" max="53" width="14.5703125" customWidth="1"/>
    <col min="55" max="55" width="16.5703125" customWidth="1"/>
    <col min="57" max="57" width="15.42578125" customWidth="1"/>
    <col min="59" max="59" width="16.28515625" customWidth="1"/>
    <col min="60" max="60" width="11.7109375" bestFit="1" customWidth="1"/>
    <col min="61" max="61" width="16.140625" customWidth="1"/>
    <col min="62" max="62" width="13.140625" bestFit="1" customWidth="1"/>
    <col min="63" max="63" width="13.42578125" customWidth="1"/>
    <col min="65" max="65" width="10" customWidth="1"/>
    <col min="85" max="85" width="13.7109375" customWidth="1"/>
    <col min="87" max="87" width="13.7109375" customWidth="1"/>
    <col min="89" max="89" width="11.5703125" customWidth="1"/>
    <col min="91" max="91" width="12.140625" customWidth="1"/>
  </cols>
  <sheetData>
    <row r="1" spans="1:79" x14ac:dyDescent="0.25">
      <c r="A1" s="8"/>
      <c r="B1" s="47" t="s">
        <v>51</v>
      </c>
      <c r="C1" s="43"/>
      <c r="D1" s="43"/>
      <c r="E1" s="43"/>
      <c r="F1" s="43"/>
      <c r="G1" s="43"/>
      <c r="H1" s="48" t="s">
        <v>52</v>
      </c>
      <c r="I1" s="43"/>
      <c r="J1" s="43"/>
      <c r="K1" s="43"/>
      <c r="L1" s="43"/>
      <c r="M1" s="43"/>
      <c r="N1" s="43"/>
      <c r="O1" s="43"/>
      <c r="P1" s="50" t="s">
        <v>53</v>
      </c>
      <c r="Q1" s="43"/>
      <c r="R1" s="43"/>
      <c r="S1" s="43"/>
      <c r="T1" s="43"/>
      <c r="U1" s="43"/>
      <c r="V1" s="43"/>
      <c r="W1" s="43"/>
      <c r="X1" s="43"/>
      <c r="Y1" s="43"/>
      <c r="Z1" s="49" t="s">
        <v>54</v>
      </c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51" t="s">
        <v>55</v>
      </c>
      <c r="AM1" s="43"/>
      <c r="AN1" s="43"/>
      <c r="AO1" s="43"/>
      <c r="AP1" s="43"/>
      <c r="AQ1" s="43"/>
      <c r="AR1" s="43"/>
      <c r="AS1" s="43"/>
      <c r="AT1" s="52" t="s">
        <v>56</v>
      </c>
      <c r="AU1" s="43"/>
      <c r="AV1" s="43"/>
      <c r="AW1" s="43"/>
      <c r="AX1" s="53" t="s">
        <v>57</v>
      </c>
      <c r="AY1" s="43"/>
      <c r="AZ1" s="43"/>
      <c r="BA1" s="43"/>
      <c r="BB1" s="43"/>
      <c r="BC1" s="43"/>
      <c r="BD1" s="45" t="s">
        <v>58</v>
      </c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6" t="s">
        <v>59</v>
      </c>
      <c r="BY1" s="43"/>
      <c r="BZ1" s="43"/>
      <c r="CA1" s="43"/>
    </row>
    <row r="2" spans="1:79" x14ac:dyDescent="0.25">
      <c r="A2" s="13"/>
      <c r="B2" s="44">
        <v>1</v>
      </c>
      <c r="C2" s="43"/>
      <c r="D2" s="44">
        <v>2</v>
      </c>
      <c r="E2" s="43"/>
      <c r="F2" s="44">
        <v>3</v>
      </c>
      <c r="G2" s="43"/>
      <c r="H2" s="44">
        <v>4</v>
      </c>
      <c r="I2" s="43"/>
      <c r="J2" s="44">
        <v>5</v>
      </c>
      <c r="K2" s="43"/>
      <c r="L2" s="44">
        <v>6</v>
      </c>
      <c r="M2" s="43"/>
      <c r="N2" s="44">
        <v>7</v>
      </c>
      <c r="O2" s="43"/>
      <c r="P2" s="44">
        <v>8</v>
      </c>
      <c r="Q2" s="43"/>
      <c r="R2" s="44">
        <v>9</v>
      </c>
      <c r="S2" s="43"/>
      <c r="T2" s="44">
        <v>10</v>
      </c>
      <c r="U2" s="43"/>
      <c r="V2" s="44">
        <v>11</v>
      </c>
      <c r="W2" s="43"/>
      <c r="X2" s="44">
        <v>12</v>
      </c>
      <c r="Y2" s="43"/>
      <c r="Z2" s="44">
        <v>13</v>
      </c>
      <c r="AA2" s="43"/>
      <c r="AB2" s="44">
        <v>14</v>
      </c>
      <c r="AC2" s="43"/>
      <c r="AD2" s="44">
        <v>15</v>
      </c>
      <c r="AE2" s="43"/>
      <c r="AF2" s="44">
        <v>16</v>
      </c>
      <c r="AG2" s="43"/>
      <c r="AH2" s="44">
        <v>17</v>
      </c>
      <c r="AI2" s="43"/>
      <c r="AJ2" s="44">
        <v>18</v>
      </c>
      <c r="AK2" s="43"/>
      <c r="AL2" s="44">
        <v>19</v>
      </c>
      <c r="AM2" s="43"/>
      <c r="AN2" s="44">
        <v>20</v>
      </c>
      <c r="AO2" s="43"/>
      <c r="AP2" s="44">
        <v>21</v>
      </c>
      <c r="AQ2" s="43"/>
      <c r="AR2" s="44">
        <v>22</v>
      </c>
      <c r="AS2" s="43"/>
      <c r="AT2" s="44">
        <v>23</v>
      </c>
      <c r="AU2" s="43"/>
      <c r="AV2" s="44">
        <v>24</v>
      </c>
      <c r="AW2" s="43"/>
      <c r="AX2" s="44">
        <v>25</v>
      </c>
      <c r="AY2" s="43"/>
      <c r="AZ2" s="44">
        <v>26</v>
      </c>
      <c r="BA2" s="43"/>
      <c r="BB2" s="44">
        <v>27</v>
      </c>
      <c r="BC2" s="43"/>
      <c r="BD2" s="44">
        <v>28</v>
      </c>
      <c r="BE2" s="43"/>
      <c r="BF2" s="44">
        <v>29</v>
      </c>
      <c r="BG2" s="43"/>
      <c r="BH2" s="44">
        <v>30</v>
      </c>
      <c r="BI2" s="43"/>
      <c r="BJ2" s="44">
        <v>31</v>
      </c>
      <c r="BK2" s="43"/>
      <c r="BL2" s="44">
        <v>32</v>
      </c>
      <c r="BM2" s="43"/>
      <c r="BN2" s="44">
        <v>33</v>
      </c>
      <c r="BO2" s="43"/>
      <c r="BP2" s="44">
        <v>34</v>
      </c>
      <c r="BQ2" s="43"/>
      <c r="BR2" s="44">
        <v>35</v>
      </c>
      <c r="BS2" s="43"/>
      <c r="BT2" s="44">
        <v>36</v>
      </c>
      <c r="BU2" s="43"/>
      <c r="BV2" s="44">
        <v>37</v>
      </c>
      <c r="BW2" s="43"/>
      <c r="BX2" s="44">
        <v>38</v>
      </c>
      <c r="BY2" s="43"/>
      <c r="BZ2" s="44">
        <v>39</v>
      </c>
      <c r="CA2" s="43"/>
    </row>
    <row r="3" spans="1:79" ht="18" customHeight="1" x14ac:dyDescent="0.25">
      <c r="A3" s="1" t="s">
        <v>60</v>
      </c>
      <c r="B3" s="3" t="s">
        <v>61</v>
      </c>
      <c r="C3" s="3" t="s">
        <v>62</v>
      </c>
      <c r="D3" s="3" t="s">
        <v>63</v>
      </c>
      <c r="E3" s="3" t="s">
        <v>62</v>
      </c>
      <c r="F3" s="3" t="s">
        <v>64</v>
      </c>
      <c r="G3" s="3" t="s">
        <v>62</v>
      </c>
      <c r="H3" s="3" t="s">
        <v>65</v>
      </c>
      <c r="I3" s="3" t="s">
        <v>62</v>
      </c>
      <c r="J3" s="3" t="s">
        <v>66</v>
      </c>
      <c r="K3" s="3" t="s">
        <v>62</v>
      </c>
      <c r="L3" s="3" t="s">
        <v>67</v>
      </c>
      <c r="M3" s="3" t="s">
        <v>68</v>
      </c>
      <c r="N3" s="3" t="s">
        <v>69</v>
      </c>
      <c r="O3" s="3" t="s">
        <v>62</v>
      </c>
      <c r="P3" s="3" t="s">
        <v>70</v>
      </c>
      <c r="Q3" s="3" t="s">
        <v>62</v>
      </c>
      <c r="R3" s="3" t="s">
        <v>71</v>
      </c>
      <c r="S3" s="3" t="s">
        <v>62</v>
      </c>
      <c r="T3" s="3" t="s">
        <v>72</v>
      </c>
      <c r="U3" s="3" t="s">
        <v>62</v>
      </c>
      <c r="V3" s="3" t="s">
        <v>73</v>
      </c>
      <c r="W3" s="3" t="s">
        <v>62</v>
      </c>
      <c r="X3" s="3" t="s">
        <v>74</v>
      </c>
      <c r="Y3" s="3" t="s">
        <v>62</v>
      </c>
      <c r="Z3" s="3" t="s">
        <v>75</v>
      </c>
      <c r="AA3" s="3" t="s">
        <v>62</v>
      </c>
      <c r="AB3" s="3" t="s">
        <v>76</v>
      </c>
      <c r="AC3" s="3" t="s">
        <v>62</v>
      </c>
      <c r="AD3" s="3" t="s">
        <v>77</v>
      </c>
      <c r="AE3" s="3" t="s">
        <v>62</v>
      </c>
      <c r="AF3" s="3" t="s">
        <v>78</v>
      </c>
      <c r="AG3" s="3" t="s">
        <v>62</v>
      </c>
      <c r="AH3" s="3" t="s">
        <v>79</v>
      </c>
      <c r="AI3" s="3" t="s">
        <v>62</v>
      </c>
      <c r="AJ3" s="3" t="s">
        <v>80</v>
      </c>
      <c r="AK3" s="3" t="s">
        <v>62</v>
      </c>
      <c r="AL3" s="3" t="s">
        <v>81</v>
      </c>
      <c r="AM3" s="3" t="s">
        <v>62</v>
      </c>
      <c r="AN3" s="3" t="s">
        <v>82</v>
      </c>
      <c r="AO3" s="3" t="s">
        <v>83</v>
      </c>
      <c r="AP3" s="3" t="s">
        <v>84</v>
      </c>
      <c r="AQ3" s="3" t="s">
        <v>62</v>
      </c>
      <c r="AR3" s="3" t="s">
        <v>85</v>
      </c>
      <c r="AS3" s="3" t="s">
        <v>62</v>
      </c>
      <c r="AT3" s="3" t="s">
        <v>86</v>
      </c>
      <c r="AU3" s="3" t="s">
        <v>62</v>
      </c>
      <c r="AV3" s="3" t="s">
        <v>87</v>
      </c>
      <c r="AW3" s="3" t="s">
        <v>62</v>
      </c>
      <c r="AX3" s="3" t="s">
        <v>86</v>
      </c>
      <c r="AY3" s="3" t="s">
        <v>62</v>
      </c>
      <c r="AZ3" s="3" t="s">
        <v>88</v>
      </c>
      <c r="BA3" s="3" t="s">
        <v>83</v>
      </c>
      <c r="BB3" s="3" t="s">
        <v>89</v>
      </c>
      <c r="BC3" s="3" t="s">
        <v>83</v>
      </c>
      <c r="BD3" s="3" t="s">
        <v>90</v>
      </c>
      <c r="BE3" s="3" t="s">
        <v>68</v>
      </c>
      <c r="BF3" s="3" t="s">
        <v>91</v>
      </c>
      <c r="BG3" s="3" t="s">
        <v>68</v>
      </c>
      <c r="BH3" s="3" t="s">
        <v>92</v>
      </c>
      <c r="BI3" s="3" t="s">
        <v>68</v>
      </c>
      <c r="BJ3" s="3" t="s">
        <v>93</v>
      </c>
      <c r="BK3" s="3" t="s">
        <v>68</v>
      </c>
      <c r="BL3" s="3" t="s">
        <v>94</v>
      </c>
      <c r="BM3" s="3" t="s">
        <v>68</v>
      </c>
      <c r="BN3" s="3" t="s">
        <v>95</v>
      </c>
      <c r="BO3" s="3" t="s">
        <v>68</v>
      </c>
      <c r="BP3" s="3" t="s">
        <v>96</v>
      </c>
      <c r="BQ3" s="3" t="s">
        <v>68</v>
      </c>
      <c r="BR3" s="3" t="s">
        <v>97</v>
      </c>
      <c r="BS3" s="3" t="s">
        <v>68</v>
      </c>
      <c r="BT3" s="3" t="s">
        <v>98</v>
      </c>
      <c r="BU3" s="3" t="s">
        <v>68</v>
      </c>
      <c r="BV3" s="3" t="s">
        <v>99</v>
      </c>
      <c r="BW3" s="3" t="s">
        <v>68</v>
      </c>
      <c r="BX3" s="3" t="s">
        <v>86</v>
      </c>
      <c r="BY3" s="3" t="s">
        <v>62</v>
      </c>
      <c r="BZ3" s="3" t="s">
        <v>87</v>
      </c>
      <c r="CA3" s="3" t="s">
        <v>62</v>
      </c>
    </row>
    <row r="4" spans="1:79" x14ac:dyDescent="0.25">
      <c r="A4" t="s">
        <v>100</v>
      </c>
      <c r="B4" t="s">
        <v>101</v>
      </c>
      <c r="C4" s="14"/>
      <c r="H4" t="s">
        <v>101</v>
      </c>
      <c r="I4" s="14"/>
      <c r="P4" t="s">
        <v>101</v>
      </c>
      <c r="Z4" t="s">
        <v>102</v>
      </c>
      <c r="AL4" s="22"/>
      <c r="AM4" s="22"/>
      <c r="AN4" s="22"/>
      <c r="AO4" s="22"/>
      <c r="AP4" s="22"/>
      <c r="AQ4" s="22"/>
      <c r="AR4" s="22"/>
      <c r="AS4" s="22"/>
      <c r="AT4" t="s">
        <v>103</v>
      </c>
      <c r="AX4" s="33" t="s">
        <v>104</v>
      </c>
      <c r="BD4" t="s">
        <v>105</v>
      </c>
      <c r="BX4" t="s">
        <v>103</v>
      </c>
    </row>
    <row r="5" spans="1:79" x14ac:dyDescent="0.25">
      <c r="A5" t="s">
        <v>106</v>
      </c>
      <c r="B5">
        <v>1200</v>
      </c>
      <c r="D5">
        <v>500</v>
      </c>
      <c r="F5">
        <v>800</v>
      </c>
      <c r="H5">
        <v>510</v>
      </c>
      <c r="J5">
        <v>665</v>
      </c>
      <c r="L5">
        <v>650</v>
      </c>
      <c r="N5">
        <v>1000</v>
      </c>
      <c r="P5">
        <v>500</v>
      </c>
      <c r="R5">
        <v>500</v>
      </c>
      <c r="T5">
        <v>590</v>
      </c>
      <c r="V5">
        <v>650</v>
      </c>
      <c r="X5">
        <v>650</v>
      </c>
      <c r="Z5">
        <v>690</v>
      </c>
      <c r="AB5">
        <v>815</v>
      </c>
      <c r="AD5">
        <v>1175</v>
      </c>
      <c r="AF5">
        <v>675</v>
      </c>
      <c r="AH5">
        <v>800</v>
      </c>
      <c r="AJ5">
        <v>1160</v>
      </c>
      <c r="AL5">
        <v>500</v>
      </c>
      <c r="AN5">
        <v>500</v>
      </c>
      <c r="AP5">
        <v>500</v>
      </c>
      <c r="AR5">
        <v>500</v>
      </c>
      <c r="AT5">
        <v>600</v>
      </c>
      <c r="AV5">
        <v>600</v>
      </c>
      <c r="AX5">
        <v>0</v>
      </c>
      <c r="AZ5">
        <v>0</v>
      </c>
      <c r="BB5">
        <v>0</v>
      </c>
      <c r="BD5">
        <v>400</v>
      </c>
      <c r="BF5">
        <v>400</v>
      </c>
      <c r="BH5">
        <v>400</v>
      </c>
      <c r="BJ5">
        <v>400</v>
      </c>
      <c r="BL5">
        <v>400</v>
      </c>
      <c r="BN5">
        <v>400</v>
      </c>
      <c r="BP5">
        <v>400</v>
      </c>
      <c r="BR5">
        <v>400</v>
      </c>
      <c r="BT5">
        <v>400</v>
      </c>
      <c r="BV5">
        <v>400</v>
      </c>
      <c r="BX5">
        <v>500</v>
      </c>
      <c r="BZ5">
        <v>500</v>
      </c>
    </row>
    <row r="6" spans="1:79" x14ac:dyDescent="0.25">
      <c r="A6" t="s">
        <v>107</v>
      </c>
      <c r="B6">
        <v>37</v>
      </c>
      <c r="D6">
        <v>37</v>
      </c>
      <c r="F6">
        <v>37</v>
      </c>
      <c r="H6">
        <v>37</v>
      </c>
      <c r="J6">
        <v>37</v>
      </c>
      <c r="L6">
        <v>37</v>
      </c>
      <c r="N6">
        <v>37</v>
      </c>
      <c r="P6">
        <v>37</v>
      </c>
      <c r="R6">
        <v>37</v>
      </c>
      <c r="T6">
        <v>37</v>
      </c>
      <c r="V6">
        <v>37</v>
      </c>
      <c r="X6">
        <v>37</v>
      </c>
      <c r="Z6">
        <v>37</v>
      </c>
      <c r="AB6">
        <v>37</v>
      </c>
      <c r="AD6">
        <v>37</v>
      </c>
      <c r="AF6">
        <v>37</v>
      </c>
      <c r="AH6">
        <v>37</v>
      </c>
      <c r="AJ6">
        <v>37</v>
      </c>
      <c r="AL6">
        <v>37</v>
      </c>
      <c r="AN6">
        <v>37</v>
      </c>
      <c r="AP6">
        <v>37</v>
      </c>
      <c r="AR6">
        <v>37</v>
      </c>
      <c r="AT6">
        <v>37</v>
      </c>
      <c r="AV6">
        <v>37</v>
      </c>
      <c r="AX6">
        <v>37</v>
      </c>
      <c r="AZ6">
        <v>37</v>
      </c>
      <c r="BB6">
        <v>37</v>
      </c>
      <c r="BD6">
        <v>37</v>
      </c>
      <c r="BF6">
        <v>37</v>
      </c>
      <c r="BH6">
        <v>37</v>
      </c>
      <c r="BJ6">
        <v>37</v>
      </c>
      <c r="BL6">
        <v>37</v>
      </c>
      <c r="BN6">
        <v>37</v>
      </c>
      <c r="BP6">
        <v>37</v>
      </c>
      <c r="BR6">
        <v>37</v>
      </c>
      <c r="BT6">
        <v>37</v>
      </c>
      <c r="BV6">
        <v>37</v>
      </c>
      <c r="BX6">
        <v>37</v>
      </c>
      <c r="BZ6">
        <v>37</v>
      </c>
    </row>
    <row r="7" spans="1:79" x14ac:dyDescent="0.25">
      <c r="A7" t="s">
        <v>17</v>
      </c>
      <c r="B7">
        <v>5</v>
      </c>
      <c r="D7">
        <v>5</v>
      </c>
      <c r="F7">
        <v>5</v>
      </c>
      <c r="H7">
        <v>5</v>
      </c>
      <c r="J7">
        <v>5</v>
      </c>
      <c r="L7">
        <v>5</v>
      </c>
      <c r="N7">
        <v>5</v>
      </c>
      <c r="P7">
        <v>5</v>
      </c>
      <c r="R7">
        <v>5</v>
      </c>
      <c r="T7">
        <v>5</v>
      </c>
      <c r="V7">
        <v>5</v>
      </c>
      <c r="X7">
        <v>5</v>
      </c>
      <c r="Z7">
        <v>5</v>
      </c>
      <c r="AB7">
        <v>5</v>
      </c>
      <c r="AD7">
        <v>5</v>
      </c>
      <c r="AF7">
        <v>5</v>
      </c>
      <c r="AH7">
        <v>5</v>
      </c>
      <c r="AJ7">
        <v>5</v>
      </c>
      <c r="AL7">
        <v>5.9</v>
      </c>
      <c r="AM7">
        <v>0.05</v>
      </c>
      <c r="AN7">
        <v>5.9</v>
      </c>
      <c r="AO7">
        <v>0.05</v>
      </c>
      <c r="AP7">
        <v>5.9</v>
      </c>
      <c r="AQ7">
        <v>0.05</v>
      </c>
      <c r="AR7">
        <v>5.9</v>
      </c>
      <c r="AS7">
        <v>0.05</v>
      </c>
      <c r="AT7">
        <v>5.5</v>
      </c>
      <c r="AU7">
        <v>0.05</v>
      </c>
      <c r="AV7">
        <v>5.5</v>
      </c>
      <c r="AW7">
        <v>0.05</v>
      </c>
      <c r="AX7">
        <v>5</v>
      </c>
      <c r="AZ7">
        <v>5</v>
      </c>
      <c r="BB7">
        <v>5</v>
      </c>
      <c r="BD7">
        <v>6.2</v>
      </c>
      <c r="BF7">
        <v>6.2</v>
      </c>
      <c r="BH7">
        <v>6.2</v>
      </c>
      <c r="BJ7">
        <v>6.2</v>
      </c>
      <c r="BL7">
        <v>6.2</v>
      </c>
      <c r="BN7">
        <v>6.2</v>
      </c>
      <c r="BP7">
        <v>6.2</v>
      </c>
      <c r="BR7">
        <v>6.2</v>
      </c>
      <c r="BT7">
        <v>6.2</v>
      </c>
      <c r="BV7">
        <v>6.2</v>
      </c>
      <c r="BX7">
        <v>5.5</v>
      </c>
      <c r="BY7">
        <v>0.05</v>
      </c>
      <c r="BZ7">
        <v>5.5</v>
      </c>
      <c r="CA7">
        <v>0.05</v>
      </c>
    </row>
    <row r="8" spans="1:79" x14ac:dyDescent="0.25">
      <c r="A8" t="s">
        <v>108</v>
      </c>
      <c r="B8">
        <v>0.75</v>
      </c>
      <c r="C8" s="30">
        <f>('Standard Values'!$B$37/100)*B8</f>
        <v>3.7500000000000006E-2</v>
      </c>
      <c r="D8">
        <v>0.75</v>
      </c>
      <c r="E8" s="30">
        <f>('Standard Values'!$B$37/100)*D8</f>
        <v>3.7500000000000006E-2</v>
      </c>
      <c r="F8">
        <v>0.75</v>
      </c>
      <c r="G8" s="30">
        <f>('Standard Values'!$B$37/100)*F8</f>
        <v>3.7500000000000006E-2</v>
      </c>
      <c r="H8">
        <v>0.75</v>
      </c>
      <c r="I8" s="30">
        <f>('Standard Values'!$B$37/100)*H8</f>
        <v>3.7500000000000006E-2</v>
      </c>
      <c r="J8">
        <v>0.75</v>
      </c>
      <c r="K8" s="30">
        <f>('Standard Values'!$B$37/100)*J8</f>
        <v>3.7500000000000006E-2</v>
      </c>
      <c r="L8">
        <v>0.75</v>
      </c>
      <c r="M8" s="30">
        <f>('Standard Values'!$B$37/100)*L8</f>
        <v>3.7500000000000006E-2</v>
      </c>
      <c r="N8">
        <v>0.75</v>
      </c>
      <c r="O8" s="30">
        <f>('Standard Values'!$B$37/100)*N8</f>
        <v>3.7500000000000006E-2</v>
      </c>
      <c r="P8">
        <v>0.75</v>
      </c>
      <c r="Q8" s="30">
        <f>('Standard Values'!$B$37/100)*P8</f>
        <v>3.7500000000000006E-2</v>
      </c>
      <c r="R8">
        <v>0.75</v>
      </c>
      <c r="S8" s="30">
        <f>('Standard Values'!$B$37/100)*R8</f>
        <v>3.7500000000000006E-2</v>
      </c>
      <c r="T8">
        <v>0.75</v>
      </c>
      <c r="U8" s="30">
        <f>('Standard Values'!$B$37/100)*T8</f>
        <v>3.7500000000000006E-2</v>
      </c>
      <c r="V8">
        <v>0.75</v>
      </c>
      <c r="W8" s="30">
        <f>('Standard Values'!$B$37/100)*V8</f>
        <v>3.7500000000000006E-2</v>
      </c>
      <c r="X8">
        <v>0.75</v>
      </c>
      <c r="Y8" s="30">
        <f>('Standard Values'!$B$37/100)*X8</f>
        <v>3.7500000000000006E-2</v>
      </c>
      <c r="Z8">
        <v>0.75</v>
      </c>
      <c r="AA8" s="30">
        <f>('Standard Values'!$B$37/100)*Z8</f>
        <v>3.7500000000000006E-2</v>
      </c>
      <c r="AB8">
        <v>0.75</v>
      </c>
      <c r="AC8" s="30">
        <f>('Standard Values'!$B$37/100)*AB8</f>
        <v>3.7500000000000006E-2</v>
      </c>
      <c r="AD8">
        <v>0.75</v>
      </c>
      <c r="AE8" s="30">
        <f>('Standard Values'!$B$37/100)*AD8</f>
        <v>3.7500000000000006E-2</v>
      </c>
      <c r="AF8">
        <v>0.75</v>
      </c>
      <c r="AG8" s="30">
        <f>('Standard Values'!$B$37/100)*AF8</f>
        <v>3.7500000000000006E-2</v>
      </c>
      <c r="AH8">
        <v>0.75</v>
      </c>
      <c r="AI8" s="30">
        <f>('Standard Values'!$B$37/100)*AH8</f>
        <v>3.7500000000000006E-2</v>
      </c>
      <c r="AJ8">
        <v>0.75</v>
      </c>
      <c r="AK8" s="30">
        <f>('Standard Values'!$B$37/100)*AJ8</f>
        <v>3.7500000000000006E-2</v>
      </c>
      <c r="AL8">
        <v>1</v>
      </c>
      <c r="AM8">
        <v>0.05</v>
      </c>
      <c r="AN8">
        <v>1</v>
      </c>
      <c r="AO8">
        <v>0.05</v>
      </c>
      <c r="AP8">
        <v>1</v>
      </c>
      <c r="AQ8">
        <v>0.05</v>
      </c>
      <c r="AR8">
        <v>1</v>
      </c>
      <c r="AS8">
        <v>0.05</v>
      </c>
      <c r="AT8">
        <v>1.6</v>
      </c>
      <c r="AU8" s="30">
        <f>('Standard Values'!$B$37/100)*AT8</f>
        <v>8.0000000000000016E-2</v>
      </c>
      <c r="AV8">
        <v>1.6</v>
      </c>
      <c r="AW8" s="30">
        <f>('Standard Values'!$B$37/100)*AV8</f>
        <v>8.0000000000000016E-2</v>
      </c>
      <c r="AX8">
        <v>2.6</v>
      </c>
      <c r="AY8" s="30">
        <f>('Standard Values'!$B$37/100)*AX8</f>
        <v>0.13</v>
      </c>
      <c r="AZ8">
        <v>2.6</v>
      </c>
      <c r="BA8" s="30">
        <f>('Standard Values'!$B$37/100)*AZ8</f>
        <v>0.13</v>
      </c>
      <c r="BB8">
        <v>2.6</v>
      </c>
      <c r="BC8" s="30">
        <f>('Standard Values'!$B$37/100)*BB8</f>
        <v>0.13</v>
      </c>
      <c r="BD8">
        <v>0.75</v>
      </c>
      <c r="BE8" s="32">
        <f>('Standard Values'!$B$37)/100 * Data!BD8</f>
        <v>3.7500000000000006E-2</v>
      </c>
      <c r="BF8">
        <v>0.75</v>
      </c>
      <c r="BG8" s="32">
        <f>('Standard Values'!$B$37)/100 * Data!BF8</f>
        <v>3.7500000000000006E-2</v>
      </c>
      <c r="BH8">
        <v>1</v>
      </c>
      <c r="BI8" s="32">
        <f>('Standard Values'!$B$37)/100 * Data!BH8</f>
        <v>0.05</v>
      </c>
      <c r="BJ8">
        <v>1</v>
      </c>
      <c r="BK8" s="32">
        <f>('Standard Values'!$B$37)/100 * Data!BJ8</f>
        <v>0.05</v>
      </c>
      <c r="BL8">
        <v>1</v>
      </c>
      <c r="BM8" s="32">
        <f>('Standard Values'!$B$37)/100 * Data!BL8</f>
        <v>0.05</v>
      </c>
      <c r="BN8">
        <v>1</v>
      </c>
      <c r="BO8" s="32">
        <f>('Standard Values'!$B$37)/100 * Data!BN8</f>
        <v>0.05</v>
      </c>
      <c r="BP8">
        <v>0.75</v>
      </c>
      <c r="BQ8" s="32">
        <f>('Standard Values'!$B$37)/100 * Data!BP8</f>
        <v>3.7500000000000006E-2</v>
      </c>
      <c r="BR8">
        <v>0.75</v>
      </c>
      <c r="BS8" s="32">
        <f>('Standard Values'!$B$37)/100 * Data!BR8</f>
        <v>3.7500000000000006E-2</v>
      </c>
      <c r="BT8">
        <v>0.75</v>
      </c>
      <c r="BU8" s="32">
        <f>('Standard Values'!$B$37)/100 * Data!BT8</f>
        <v>3.7500000000000006E-2</v>
      </c>
      <c r="BV8">
        <v>0.75</v>
      </c>
      <c r="BW8" s="32">
        <f>('Standard Values'!$B$37)/100 * Data!BV8</f>
        <v>3.7500000000000006E-2</v>
      </c>
      <c r="BX8">
        <v>2</v>
      </c>
      <c r="BY8" s="30">
        <f>('Standard Values'!$B$37/100)*BX8</f>
        <v>0.1</v>
      </c>
      <c r="BZ8">
        <v>2</v>
      </c>
      <c r="CA8" s="30">
        <f>('Standard Values'!$B$37/100)*BZ8</f>
        <v>0.1</v>
      </c>
    </row>
    <row r="9" spans="1:79" x14ac:dyDescent="0.25">
      <c r="A9" t="s">
        <v>109</v>
      </c>
      <c r="B9">
        <f>1/24</f>
        <v>4.1666666666666664E-2</v>
      </c>
      <c r="C9">
        <f>0.01/24</f>
        <v>4.1666666666666669E-4</v>
      </c>
      <c r="D9">
        <f>0.47/24</f>
        <v>1.9583333333333331E-2</v>
      </c>
      <c r="E9">
        <f>0.01/24</f>
        <v>4.1666666666666669E-4</v>
      </c>
      <c r="F9">
        <f>0.5/24</f>
        <v>2.0833333333333332E-2</v>
      </c>
      <c r="G9">
        <f>0.01/24</f>
        <v>4.1666666666666669E-4</v>
      </c>
      <c r="H9">
        <f>1/24</f>
        <v>4.1666666666666664E-2</v>
      </c>
      <c r="I9">
        <f>0.01/24</f>
        <v>4.1666666666666669E-4</v>
      </c>
      <c r="J9">
        <f>1/24</f>
        <v>4.1666666666666664E-2</v>
      </c>
      <c r="K9">
        <f>0.01/24</f>
        <v>4.1666666666666669E-4</v>
      </c>
      <c r="L9">
        <f>1/24</f>
        <v>4.1666666666666664E-2</v>
      </c>
      <c r="M9">
        <f>0.01/24</f>
        <v>4.1666666666666669E-4</v>
      </c>
      <c r="N9">
        <f>1/24</f>
        <v>4.1666666666666664E-2</v>
      </c>
      <c r="O9">
        <f>0.01/24</f>
        <v>4.1666666666666669E-4</v>
      </c>
      <c r="P9">
        <v>0.04</v>
      </c>
      <c r="Q9">
        <v>1E-3</v>
      </c>
      <c r="R9">
        <v>0.04</v>
      </c>
      <c r="S9">
        <v>1E-3</v>
      </c>
      <c r="T9">
        <v>0.04</v>
      </c>
      <c r="U9">
        <v>1E-3</v>
      </c>
      <c r="V9">
        <v>0.04</v>
      </c>
      <c r="W9">
        <v>1E-3</v>
      </c>
      <c r="X9">
        <v>0.04</v>
      </c>
      <c r="Y9">
        <v>1E-3</v>
      </c>
      <c r="Z9">
        <f>1.02/24</f>
        <v>4.2500000000000003E-2</v>
      </c>
      <c r="AA9">
        <f>0.01/24</f>
        <v>4.1666666666666669E-4</v>
      </c>
      <c r="AB9">
        <f>2.03/24</f>
        <v>8.458333333333333E-2</v>
      </c>
      <c r="AC9">
        <f>0.06/24</f>
        <v>2.5000000000000001E-3</v>
      </c>
      <c r="AD9">
        <f>2.79/24</f>
        <v>0.11625000000000001</v>
      </c>
      <c r="AE9">
        <f>0.03/24</f>
        <v>1.25E-3</v>
      </c>
      <c r="AF9">
        <f>1.01/24</f>
        <v>4.2083333333333334E-2</v>
      </c>
      <c r="AG9">
        <f>0.02/24</f>
        <v>8.3333333333333339E-4</v>
      </c>
      <c r="AH9">
        <f>2.01/24</f>
        <v>8.3749999999999991E-2</v>
      </c>
      <c r="AI9">
        <f>0.07/24</f>
        <v>2.9166666666666668E-3</v>
      </c>
      <c r="AJ9">
        <f>2.79/24</f>
        <v>0.11625000000000001</v>
      </c>
      <c r="AK9">
        <f>0.07/24</f>
        <v>2.9166666666666668E-3</v>
      </c>
      <c r="AL9">
        <v>8.8000000000000005E-3</v>
      </c>
      <c r="AM9">
        <v>4.0000000000000002E-4</v>
      </c>
      <c r="AN9">
        <v>2.4E-2</v>
      </c>
      <c r="AO9">
        <v>1E-3</v>
      </c>
      <c r="AP9">
        <v>3.9E-2</v>
      </c>
      <c r="AQ9">
        <v>2E-3</v>
      </c>
      <c r="AR9">
        <v>0.04</v>
      </c>
      <c r="AS9">
        <v>2E-3</v>
      </c>
      <c r="AT9">
        <v>0.01</v>
      </c>
      <c r="AU9" s="31">
        <f>'Standard Values'!$B$38/100*Data!AT9</f>
        <v>5.0000000000000001E-4</v>
      </c>
      <c r="AV9">
        <v>0.01</v>
      </c>
      <c r="AW9" s="31">
        <f>'Standard Values'!$B$38/100*Data!AV9</f>
        <v>5.0000000000000001E-4</v>
      </c>
      <c r="AX9">
        <f>1.5/24</f>
        <v>6.25E-2</v>
      </c>
      <c r="AY9" s="31">
        <f>'Standard Values'!$B$38/100*Data!AX9</f>
        <v>3.1250000000000002E-3</v>
      </c>
      <c r="AZ9">
        <f>1.5/24</f>
        <v>6.25E-2</v>
      </c>
      <c r="BA9" s="31">
        <f>'Standard Values'!$B$38/100*Data!AZ9</f>
        <v>3.1250000000000002E-3</v>
      </c>
      <c r="BB9">
        <f>1.5/24</f>
        <v>6.25E-2</v>
      </c>
      <c r="BC9" s="31">
        <f>'Standard Values'!$B$38/100*Data!BB9</f>
        <v>3.1250000000000002E-3</v>
      </c>
      <c r="BD9">
        <f>1/1.5/24</f>
        <v>2.7777777777777776E-2</v>
      </c>
      <c r="BE9" s="32">
        <f>('Standard Values'!$B$40)/100 * Data!BD9</f>
        <v>1.3888888888888889E-3</v>
      </c>
      <c r="BF9">
        <f>1/1.5/24</f>
        <v>2.7777777777777776E-2</v>
      </c>
      <c r="BG9" s="32">
        <f>('Standard Values'!$B$40)/100 * Data!BF9</f>
        <v>1.3888888888888889E-3</v>
      </c>
      <c r="BH9">
        <f>1/2/24</f>
        <v>2.0833333333333332E-2</v>
      </c>
      <c r="BI9" s="32">
        <f>('Standard Values'!$B$40)/100 * Data!BH9</f>
        <v>1.0416666666666667E-3</v>
      </c>
      <c r="BJ9">
        <f>1/2/24</f>
        <v>2.0833333333333332E-2</v>
      </c>
      <c r="BK9" s="32">
        <f>('Standard Values'!$B$40)/100 * Data!BJ9</f>
        <v>1.0416666666666667E-3</v>
      </c>
      <c r="BL9">
        <f>1/2/24</f>
        <v>2.0833333333333332E-2</v>
      </c>
      <c r="BM9" s="32">
        <f>('Standard Values'!$B$40)/100 * Data!BL9</f>
        <v>1.0416666666666667E-3</v>
      </c>
      <c r="BN9">
        <f>1/2/24</f>
        <v>2.0833333333333332E-2</v>
      </c>
      <c r="BO9" s="32">
        <f>('Standard Values'!$B$40)/100 * Data!BN9</f>
        <v>1.0416666666666667E-3</v>
      </c>
      <c r="BP9">
        <f>1/1.5/24</f>
        <v>2.7777777777777776E-2</v>
      </c>
      <c r="BQ9" s="32">
        <f>('Standard Values'!$B$40)/100 * Data!BP9</f>
        <v>1.3888888888888889E-3</v>
      </c>
      <c r="BR9">
        <f>1/1.5/24</f>
        <v>2.7777777777777776E-2</v>
      </c>
      <c r="BS9" s="32">
        <f>('Standard Values'!$B$40)/100 * Data!BR9</f>
        <v>1.3888888888888889E-3</v>
      </c>
      <c r="BT9">
        <f>1/1.5/24</f>
        <v>2.7777777777777776E-2</v>
      </c>
      <c r="BU9" s="32">
        <f>('Standard Values'!$B$40)/100 * Data!BT9</f>
        <v>1.3888888888888889E-3</v>
      </c>
      <c r="BV9">
        <f>1/1.5/24</f>
        <v>2.7777777777777776E-2</v>
      </c>
      <c r="BW9" s="32">
        <f>('Standard Values'!$B$40)/100 * Data!BV9</f>
        <v>1.3888888888888889E-3</v>
      </c>
      <c r="BX9">
        <v>8.0000000000000002E-3</v>
      </c>
      <c r="BY9" s="31">
        <f>'Standard Values'!$B$38/100*Data!BX9</f>
        <v>4.0000000000000002E-4</v>
      </c>
      <c r="BZ9">
        <v>8.0000000000000002E-3</v>
      </c>
      <c r="CA9" s="31">
        <f>'Standard Values'!$B$38/100*Data!BZ9</f>
        <v>4.0000000000000002E-4</v>
      </c>
    </row>
    <row r="10" spans="1:79" x14ac:dyDescent="0.25">
      <c r="A10" t="s">
        <v>110</v>
      </c>
      <c r="B10">
        <v>1</v>
      </c>
      <c r="D10">
        <v>1</v>
      </c>
      <c r="F10">
        <v>1</v>
      </c>
      <c r="H10">
        <v>1</v>
      </c>
      <c r="J10">
        <v>1</v>
      </c>
      <c r="L10">
        <v>1</v>
      </c>
      <c r="N10">
        <v>1</v>
      </c>
      <c r="P10">
        <v>1</v>
      </c>
      <c r="R10">
        <v>1</v>
      </c>
      <c r="T10">
        <v>1</v>
      </c>
      <c r="V10">
        <v>1</v>
      </c>
      <c r="X10">
        <v>1</v>
      </c>
      <c r="Z10">
        <v>1</v>
      </c>
      <c r="AB10">
        <v>1</v>
      </c>
      <c r="AD10">
        <v>1</v>
      </c>
      <c r="AF10">
        <v>1</v>
      </c>
      <c r="AH10">
        <v>1</v>
      </c>
      <c r="AJ10">
        <v>1</v>
      </c>
      <c r="AL10">
        <v>1</v>
      </c>
      <c r="AN10">
        <v>1</v>
      </c>
      <c r="AP10">
        <v>1</v>
      </c>
      <c r="AR10">
        <v>1</v>
      </c>
      <c r="AT10">
        <v>1</v>
      </c>
      <c r="AV10">
        <v>1</v>
      </c>
      <c r="AX10">
        <v>1</v>
      </c>
      <c r="AZ10">
        <v>1</v>
      </c>
      <c r="BB10">
        <v>1</v>
      </c>
      <c r="BD10">
        <v>1</v>
      </c>
      <c r="BF10">
        <v>1</v>
      </c>
      <c r="BH10">
        <v>1</v>
      </c>
      <c r="BJ10">
        <v>1</v>
      </c>
      <c r="BL10">
        <v>1</v>
      </c>
      <c r="BN10">
        <v>1</v>
      </c>
      <c r="BP10">
        <v>1</v>
      </c>
      <c r="BR10">
        <v>1</v>
      </c>
      <c r="BT10">
        <v>1</v>
      </c>
      <c r="BV10">
        <v>1</v>
      </c>
      <c r="BX10">
        <v>1</v>
      </c>
      <c r="BZ10">
        <v>1</v>
      </c>
    </row>
    <row r="11" spans="1:79" x14ac:dyDescent="0.25">
      <c r="A11" s="1" t="s">
        <v>111</v>
      </c>
    </row>
    <row r="12" spans="1:79" x14ac:dyDescent="0.25">
      <c r="A12" t="s">
        <v>112</v>
      </c>
      <c r="B12">
        <v>30</v>
      </c>
      <c r="D12">
        <v>32</v>
      </c>
      <c r="F12">
        <v>30</v>
      </c>
      <c r="H12">
        <v>46.5</v>
      </c>
      <c r="J12">
        <v>46.5</v>
      </c>
      <c r="L12">
        <v>46.5</v>
      </c>
      <c r="N12">
        <v>110</v>
      </c>
      <c r="P12">
        <v>46.5</v>
      </c>
      <c r="R12">
        <v>46.5</v>
      </c>
      <c r="T12">
        <v>46.5</v>
      </c>
      <c r="V12">
        <v>46.5</v>
      </c>
      <c r="X12">
        <v>46.5</v>
      </c>
      <c r="Z12">
        <v>50</v>
      </c>
      <c r="AB12">
        <v>72</v>
      </c>
      <c r="AD12">
        <v>72</v>
      </c>
      <c r="AF12">
        <v>50</v>
      </c>
      <c r="AH12">
        <v>72</v>
      </c>
      <c r="AJ12">
        <v>72</v>
      </c>
      <c r="AL12">
        <v>10</v>
      </c>
      <c r="AN12">
        <v>10</v>
      </c>
      <c r="AP12">
        <v>10</v>
      </c>
      <c r="AR12">
        <v>10</v>
      </c>
      <c r="AT12">
        <v>100</v>
      </c>
      <c r="AV12">
        <v>100</v>
      </c>
      <c r="AX12">
        <v>500</v>
      </c>
      <c r="AZ12">
        <v>600</v>
      </c>
      <c r="BB12">
        <v>700</v>
      </c>
      <c r="BD12">
        <f>(155)/1000*BD8*'Standard Values'!C6/24/60*1000 + 1</f>
        <v>2.9740779892080855</v>
      </c>
      <c r="BF12">
        <f>(155)*BF8*('Standard Values'!$C$6/1000)/24/60*1000+1</f>
        <v>2.9740779892080855</v>
      </c>
      <c r="BH12">
        <f>(116)/1000*BH8*'Standard Values'!C6/24/60*1000</f>
        <v>1.9698326601990359</v>
      </c>
      <c r="BJ12">
        <f>(116+23)*BJ8*('Standard Values'!$C$6/1000)/24/60*1000</f>
        <v>2.3604029290316038</v>
      </c>
      <c r="BL12">
        <f>(116+47)*BL8*('Standard Values'!$C$6/1000)/24/60*1000</f>
        <v>2.7679545139003694</v>
      </c>
      <c r="BN12">
        <f>(116+93)*BN8*('Standard Values'!$C$6/1000)/24/60*1000</f>
        <v>3.5490950515655042</v>
      </c>
      <c r="BP12">
        <f>(155)*BP8*('Standard Values'!$C$6/1000)/24/60*1000+1</f>
        <v>2.9740779892080855</v>
      </c>
      <c r="BR12">
        <f>(155)*BR8*('Standard Values'!$C$6/1000)/24/60*1000+1</f>
        <v>2.9740779892080855</v>
      </c>
      <c r="BT12">
        <f>(155)*BT8*('Standard Values'!$C$6/1000)/24/60*1000+1</f>
        <v>2.9740779892080855</v>
      </c>
      <c r="BV12">
        <f>(155)*BV8*('Standard Values'!$C$6/1000)/24/60*1000+1</f>
        <v>2.9740779892080855</v>
      </c>
      <c r="BX12">
        <v>100</v>
      </c>
      <c r="BZ12">
        <v>100</v>
      </c>
    </row>
    <row r="13" spans="1:79" x14ac:dyDescent="0.25">
      <c r="A13" t="s">
        <v>113</v>
      </c>
      <c r="B13">
        <v>0.02</v>
      </c>
      <c r="D13">
        <v>0</v>
      </c>
      <c r="F13">
        <v>0.02</v>
      </c>
      <c r="H13">
        <v>0.6</v>
      </c>
      <c r="J13">
        <v>0.6</v>
      </c>
      <c r="L13">
        <v>0.15</v>
      </c>
      <c r="N13">
        <v>0.15</v>
      </c>
      <c r="P13">
        <v>0.5</v>
      </c>
      <c r="R13">
        <v>0.5</v>
      </c>
      <c r="T13">
        <v>0.5</v>
      </c>
      <c r="V13">
        <v>0.5</v>
      </c>
      <c r="X13">
        <v>0.5</v>
      </c>
      <c r="Z13">
        <v>0.6</v>
      </c>
      <c r="AB13">
        <v>0.6</v>
      </c>
      <c r="AD13">
        <v>0.6</v>
      </c>
      <c r="AF13">
        <v>0.5</v>
      </c>
      <c r="AH13">
        <v>0.5</v>
      </c>
      <c r="AJ13">
        <v>0.5</v>
      </c>
      <c r="AL13">
        <v>0.5</v>
      </c>
      <c r="AN13">
        <v>0.5</v>
      </c>
      <c r="AP13">
        <v>0.5</v>
      </c>
      <c r="AR13">
        <v>0.5</v>
      </c>
      <c r="AT13">
        <v>0.1</v>
      </c>
      <c r="AV13">
        <v>0.1</v>
      </c>
      <c r="AX13">
        <v>0.5</v>
      </c>
      <c r="AZ13">
        <v>0.5</v>
      </c>
      <c r="BB13">
        <v>0.5</v>
      </c>
      <c r="BD13">
        <f>(155*BD8)/(155*BD8 + (1*60*24/1000/'Standard Values'!$C$6*1000))</f>
        <v>0.66376133926929326</v>
      </c>
      <c r="BF13">
        <f>(155*BF8)/(155*BF8 + (1*60*24/1000/'Standard Values'!$C$6*1000))</f>
        <v>0.66376133926929326</v>
      </c>
      <c r="BH13">
        <v>1</v>
      </c>
      <c r="BJ13">
        <f>(116)*BJ8*('Standard Values'!$C$6/1000)/24/60*1000/BJ12</f>
        <v>0.83453237410071934</v>
      </c>
      <c r="BL13">
        <f>(116)*BL8*('Standard Values'!$C$6/1000)/24/60*1000/BL12</f>
        <v>0.71165644171779141</v>
      </c>
      <c r="BN13">
        <f>(116)*BL8*('Standard Values'!$C$6/1000)/24/60*1000/BN12</f>
        <v>0.55502392344497609</v>
      </c>
      <c r="BP13">
        <f>1-BP16</f>
        <v>0.66376133926929326</v>
      </c>
      <c r="BR13">
        <f>1-BR16</f>
        <v>0.66376133926929326</v>
      </c>
      <c r="BT13">
        <f>1-BT16</f>
        <v>0.66376133926929326</v>
      </c>
      <c r="BV13">
        <f>1-BV16</f>
        <v>0.66376133926929326</v>
      </c>
      <c r="BX13">
        <v>0.2</v>
      </c>
      <c r="BZ13">
        <v>0.2</v>
      </c>
    </row>
    <row r="14" spans="1:79" x14ac:dyDescent="0.25">
      <c r="A14" t="s">
        <v>114</v>
      </c>
      <c r="B14">
        <v>0.65</v>
      </c>
      <c r="D14">
        <v>0.67</v>
      </c>
      <c r="F14">
        <v>0.65</v>
      </c>
      <c r="H14">
        <v>0</v>
      </c>
      <c r="J14">
        <v>0</v>
      </c>
      <c r="L14">
        <v>0.45</v>
      </c>
      <c r="N14">
        <v>0.45</v>
      </c>
      <c r="P14">
        <v>0.2</v>
      </c>
      <c r="R14">
        <v>0.2</v>
      </c>
      <c r="T14">
        <v>0.2</v>
      </c>
      <c r="V14">
        <v>0.2</v>
      </c>
      <c r="X14">
        <v>0.2</v>
      </c>
      <c r="Z14">
        <v>0</v>
      </c>
      <c r="AB14">
        <v>0</v>
      </c>
      <c r="AD14">
        <v>0</v>
      </c>
      <c r="AF14">
        <v>0.2</v>
      </c>
      <c r="AH14">
        <v>0.2</v>
      </c>
      <c r="AJ14">
        <v>0.2</v>
      </c>
      <c r="AL14">
        <v>0</v>
      </c>
      <c r="AN14">
        <v>0</v>
      </c>
      <c r="AP14">
        <v>0</v>
      </c>
      <c r="AR14">
        <v>0</v>
      </c>
      <c r="AT14">
        <v>0</v>
      </c>
      <c r="AV14">
        <v>0</v>
      </c>
      <c r="AX14">
        <v>0</v>
      </c>
      <c r="AZ14">
        <v>0</v>
      </c>
      <c r="BB14">
        <v>0</v>
      </c>
      <c r="BD14">
        <v>0</v>
      </c>
      <c r="BF14">
        <v>0</v>
      </c>
      <c r="BH14">
        <v>0</v>
      </c>
      <c r="BJ14">
        <f>1-BJ13</f>
        <v>0.16546762589928066</v>
      </c>
      <c r="BL14">
        <f>1-BL13</f>
        <v>0.28834355828220859</v>
      </c>
      <c r="BN14">
        <f>1-BN13</f>
        <v>0.44497607655502391</v>
      </c>
      <c r="BP14">
        <v>0</v>
      </c>
      <c r="BR14">
        <v>0</v>
      </c>
      <c r="BT14">
        <v>0</v>
      </c>
      <c r="BV14">
        <v>0</v>
      </c>
      <c r="BX14">
        <v>0</v>
      </c>
      <c r="BZ14">
        <v>0</v>
      </c>
    </row>
    <row r="15" spans="1:79" x14ac:dyDescent="0.25">
      <c r="A15" t="s">
        <v>115</v>
      </c>
      <c r="B15">
        <v>0.23</v>
      </c>
      <c r="D15">
        <v>0.23</v>
      </c>
      <c r="F15">
        <v>0.23</v>
      </c>
      <c r="H15">
        <v>0</v>
      </c>
      <c r="J15">
        <v>0</v>
      </c>
      <c r="L15">
        <v>0</v>
      </c>
      <c r="N15">
        <v>0</v>
      </c>
      <c r="P15">
        <v>0.2</v>
      </c>
      <c r="R15">
        <v>0.2</v>
      </c>
      <c r="T15">
        <v>0.2</v>
      </c>
      <c r="V15">
        <v>0.2</v>
      </c>
      <c r="X15">
        <v>0.2</v>
      </c>
      <c r="Z15">
        <v>0</v>
      </c>
      <c r="AB15">
        <v>0</v>
      </c>
      <c r="AD15">
        <v>0</v>
      </c>
      <c r="AF15">
        <v>0.2</v>
      </c>
      <c r="AH15">
        <v>0.2</v>
      </c>
      <c r="AJ15">
        <v>0.2</v>
      </c>
      <c r="AL15">
        <v>0</v>
      </c>
      <c r="AN15">
        <v>0</v>
      </c>
      <c r="AP15">
        <v>0</v>
      </c>
      <c r="AR15">
        <v>0</v>
      </c>
      <c r="AT15">
        <v>0</v>
      </c>
      <c r="AV15">
        <v>0</v>
      </c>
      <c r="AX15">
        <v>0.2</v>
      </c>
      <c r="AZ15">
        <v>0.2</v>
      </c>
      <c r="BB15">
        <v>0.2</v>
      </c>
      <c r="BD15">
        <v>0</v>
      </c>
      <c r="BF15">
        <v>0</v>
      </c>
      <c r="BH15">
        <v>0</v>
      </c>
      <c r="BJ15">
        <v>0</v>
      </c>
      <c r="BL15">
        <v>0</v>
      </c>
      <c r="BN15">
        <v>0</v>
      </c>
      <c r="BP15">
        <v>0</v>
      </c>
      <c r="BR15">
        <v>0</v>
      </c>
      <c r="BT15">
        <v>0</v>
      </c>
      <c r="BV15">
        <v>0</v>
      </c>
      <c r="BX15">
        <v>0</v>
      </c>
      <c r="BZ15">
        <v>0</v>
      </c>
    </row>
    <row r="16" spans="1:79" x14ac:dyDescent="0.25">
      <c r="A16" t="s">
        <v>325</v>
      </c>
      <c r="B16">
        <f>1-SUM(B13:B15)</f>
        <v>9.9999999999999978E-2</v>
      </c>
      <c r="D16">
        <f>1-SUM(D13:D15)</f>
        <v>9.9999999999999978E-2</v>
      </c>
      <c r="F16">
        <f>1-SUM(F13:F15)</f>
        <v>9.9999999999999978E-2</v>
      </c>
      <c r="H16">
        <v>0.4</v>
      </c>
      <c r="J16">
        <v>0.4</v>
      </c>
      <c r="L16">
        <v>0.4</v>
      </c>
      <c r="N16">
        <v>0.4</v>
      </c>
      <c r="P16">
        <v>0.1</v>
      </c>
      <c r="R16">
        <v>0.1</v>
      </c>
      <c r="T16">
        <v>0.1</v>
      </c>
      <c r="V16">
        <v>0.1</v>
      </c>
      <c r="X16">
        <v>0.1</v>
      </c>
      <c r="Z16">
        <v>0.4</v>
      </c>
      <c r="AB16">
        <v>0.4</v>
      </c>
      <c r="AD16">
        <v>0.4</v>
      </c>
      <c r="AF16">
        <v>0.1</v>
      </c>
      <c r="AH16">
        <v>0.1</v>
      </c>
      <c r="AJ16">
        <v>0.1</v>
      </c>
      <c r="AL16">
        <v>0.5</v>
      </c>
      <c r="AN16">
        <v>0.5</v>
      </c>
      <c r="AP16">
        <v>0.5</v>
      </c>
      <c r="AR16">
        <v>0.5</v>
      </c>
      <c r="AT16">
        <v>0.9</v>
      </c>
      <c r="AV16">
        <v>0.9</v>
      </c>
      <c r="AX16">
        <v>0.3</v>
      </c>
      <c r="AZ16">
        <v>0.3</v>
      </c>
      <c r="BB16">
        <v>0.3</v>
      </c>
      <c r="BD16">
        <f>1-BD13</f>
        <v>0.33623866073070674</v>
      </c>
      <c r="BF16">
        <f>1-BF13</f>
        <v>0.33623866073070674</v>
      </c>
      <c r="BH16">
        <v>0</v>
      </c>
      <c r="BJ16">
        <v>0</v>
      </c>
      <c r="BL16">
        <v>0</v>
      </c>
      <c r="BN16">
        <v>0</v>
      </c>
      <c r="BP16">
        <f>1/BP12</f>
        <v>0.33623866073070674</v>
      </c>
      <c r="BR16">
        <f>1/BR12</f>
        <v>0.33623866073070674</v>
      </c>
      <c r="BT16">
        <f>1/BT12</f>
        <v>0.33623866073070674</v>
      </c>
      <c r="BV16">
        <f>1/BV12</f>
        <v>0.33623866073070674</v>
      </c>
      <c r="BX16">
        <v>0.8</v>
      </c>
      <c r="BZ16">
        <v>0.8</v>
      </c>
    </row>
    <row r="17" spans="1:79" x14ac:dyDescent="0.25">
      <c r="A17" s="1" t="s">
        <v>116</v>
      </c>
    </row>
    <row r="18" spans="1:79" x14ac:dyDescent="0.25">
      <c r="A18" t="s">
        <v>117</v>
      </c>
      <c r="AL18">
        <v>108.30831416011959</v>
      </c>
      <c r="AM18">
        <v>0.108095252952564</v>
      </c>
      <c r="AN18">
        <v>107.8914919852034</v>
      </c>
      <c r="AO18">
        <v>8.8614415746009811E-2</v>
      </c>
      <c r="AP18">
        <v>108.1126373689616</v>
      </c>
      <c r="AQ18">
        <v>5.2424659368968098E-2</v>
      </c>
      <c r="AR18">
        <v>108.5702820170476</v>
      </c>
      <c r="AS18">
        <v>0.13354627723409501</v>
      </c>
    </row>
    <row r="19" spans="1:79" x14ac:dyDescent="0.25">
      <c r="A19" t="s">
        <v>118</v>
      </c>
      <c r="J19" s="6">
        <f>'Offgas Val2017, Val2018, deLima'!G6/100</f>
        <v>0.3542529730156091</v>
      </c>
      <c r="K19" s="6">
        <f>'Offgas Val2017, Val2018, deLima'!H6/100</f>
        <v>1.5044793412960021E-2</v>
      </c>
      <c r="N19" s="6">
        <f>'Offgas Val2017, Val2018, deLima'!G7/100</f>
        <v>8.921900694169102E-2</v>
      </c>
      <c r="O19" s="6">
        <f>'Offgas Val2017, Val2018, deLima'!H7/100</f>
        <v>3.6115440174116332E-4</v>
      </c>
      <c r="T19" s="7">
        <f>'Offgas Val2017, Val2018, deLima'!G4/100</f>
        <v>0.40862054188769098</v>
      </c>
      <c r="Z19" s="6">
        <f>'Offgas Val2017, Val2018, deLima'!G8/100</f>
        <v>0.34407308357640831</v>
      </c>
      <c r="AA19" s="6">
        <f>'Offgas Val2017, Val2018, deLima'!H8/100</f>
        <v>5.2546928658250003E-3</v>
      </c>
      <c r="AB19" s="6">
        <f>'Offgas Val2017, Val2018, deLima'!G9/100</f>
        <v>0.26582850637303451</v>
      </c>
      <c r="AC19" s="6">
        <f>'Offgas Val2017, Val2018, deLima'!H9/100</f>
        <v>8.6111816643003533E-3</v>
      </c>
      <c r="AD19" s="6">
        <f>'Offgas Val2017, Val2018, deLima'!G10/100</f>
        <v>0.18347120485868398</v>
      </c>
      <c r="AE19" s="6">
        <f>'Offgas Val2017, Val2018, deLima'!I10/100</f>
        <v>1.0132334379680009E-3</v>
      </c>
      <c r="AF19" s="6">
        <f>'Offgas Val2017, Val2018, deLima'!G11/100</f>
        <v>0.34046352111134665</v>
      </c>
      <c r="AG19" s="6">
        <f>'Offgas Val2017, Val2018, deLima'!H11/100</f>
        <v>8.0956818582761797E-3</v>
      </c>
      <c r="AH19" s="6">
        <f>'Offgas Val2017, Val2018, deLima'!G12/100</f>
        <v>0.2345941624246255</v>
      </c>
      <c r="AI19" s="6">
        <f>'Offgas Val2017, Val2018, deLima'!H12/100</f>
        <v>4.6836690053853082E-3</v>
      </c>
      <c r="AJ19" s="6">
        <f>'Offgas Val2017, Val2018, deLima'!G13/100</f>
        <v>0.13775317802508119</v>
      </c>
      <c r="AK19" s="6">
        <f>'Offgas Val2017, Val2018, deLima'!H13/100</f>
        <v>3.6118865898314472E-4</v>
      </c>
      <c r="AL19" s="5">
        <v>1.47718137945762E-2</v>
      </c>
      <c r="AM19" s="5">
        <v>6.0697591342376799E-4</v>
      </c>
      <c r="AN19" s="5">
        <v>1.04E-2</v>
      </c>
      <c r="AO19" s="5">
        <v>5.1118443161252895E-4</v>
      </c>
      <c r="AP19" s="5">
        <v>1.2076482620512001E-2</v>
      </c>
      <c r="AQ19" s="5">
        <v>2.5150487071066199E-4</v>
      </c>
      <c r="AR19" s="5">
        <v>1.7998799550182899E-2</v>
      </c>
      <c r="AS19" s="5">
        <v>4.7031245754860699E-4</v>
      </c>
    </row>
    <row r="20" spans="1:79" x14ac:dyDescent="0.25">
      <c r="A20" t="s">
        <v>119</v>
      </c>
      <c r="J20" s="6">
        <f>'Offgas Val2017, Val2018, deLima'!I6/100</f>
        <v>4.5117534723503579E-3</v>
      </c>
      <c r="K20" s="6">
        <f>'Offgas Val2017, Val2018, deLima'!J6/100</f>
        <v>1.006560154743779E-4</v>
      </c>
      <c r="N20" s="6">
        <f>'Offgas Val2017, Val2018, deLima'!I7/100</f>
        <v>0.40421985189473958</v>
      </c>
      <c r="O20" s="6">
        <f>'Offgas Val2017, Val2018, deLima'!J7/100</f>
        <v>2.2261448994035662E-3</v>
      </c>
      <c r="T20" s="7">
        <f>'Offgas Val2017, Val2018, deLima'!I4/100</f>
        <v>0.15145183521611438</v>
      </c>
      <c r="Z20" s="6">
        <f>'Offgas Val2017, Val2018, deLima'!I8/100</f>
        <v>1.0101184403094241E-3</v>
      </c>
      <c r="AA20" s="6">
        <f>'Offgas Val2017, Val2018, deLima'!J8/100</f>
        <v>5.7084549628441316E-5</v>
      </c>
      <c r="AB20" s="6">
        <f>'Offgas Val2017, Val2018, deLima'!I9/100</f>
        <v>1.7704463314803689E-3</v>
      </c>
      <c r="AC20" s="6">
        <f>'Offgas Val2017, Val2018, deLima'!J9/100</f>
        <v>1.7082458323482578E-4</v>
      </c>
      <c r="AD20" s="6">
        <f>'Offgas Val2017, Val2018, deLima'!I10/100</f>
        <v>1.0132334379680009E-3</v>
      </c>
      <c r="AE20" s="6">
        <f>'Offgas Val2017, Val2018, deLima'!J10/100</f>
        <v>5.3399242300949448E-5</v>
      </c>
      <c r="AF20" s="6">
        <f>'Offgas Val2017, Val2018, deLima'!I11/100</f>
        <v>0.17163351725741152</v>
      </c>
      <c r="AG20" s="6">
        <f>'Offgas Val2017, Val2018, deLima'!J11/100</f>
        <v>5.2315877401414882E-3</v>
      </c>
      <c r="AH20" s="6">
        <f>'Offgas Val2017, Val2018, deLima'!I12/100</f>
        <v>0.1008632551046012</v>
      </c>
      <c r="AI20" s="6">
        <f>'Offgas Val2017, Val2018, deLima'!J12/100</f>
        <v>1.5856073071057759E-2</v>
      </c>
      <c r="AJ20" s="6">
        <f>'Offgas Val2017, Val2018, deLima'!I13/100</f>
        <v>0.13182793329047221</v>
      </c>
      <c r="AK20" s="6">
        <f>'Offgas Val2017, Val2018, deLima'!J13/100</f>
        <v>7.5989492722398104E-3</v>
      </c>
      <c r="AL20" s="5">
        <v>0</v>
      </c>
      <c r="AM20" s="5">
        <v>0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</row>
    <row r="21" spans="1:79" x14ac:dyDescent="0.25">
      <c r="A21" t="s">
        <v>120</v>
      </c>
      <c r="J21" s="6">
        <f>'Offgas Val2017, Val2018, deLima'!E6/100</f>
        <v>0.19678277782876349</v>
      </c>
      <c r="K21" s="6">
        <f>'Offgas Val2017, Val2018, deLima'!F6/100</f>
        <v>1.1474484954040361E-2</v>
      </c>
      <c r="N21" s="6">
        <f>'Offgas Val2017, Val2018, deLima'!E7/100</f>
        <v>1.9285458207222789E-2</v>
      </c>
      <c r="O21" s="6">
        <f>'Offgas Val2017, Val2018, deLima'!F7/100</f>
        <v>5.1377393149568107E-4</v>
      </c>
      <c r="T21" s="7">
        <f>'Offgas Val2017, Val2018, deLima'!E4/100</f>
        <v>0.31223252110227312</v>
      </c>
      <c r="Z21" s="6">
        <f>'Offgas Val2017, Val2018, deLima'!E8/100</f>
        <v>0.22358364594480448</v>
      </c>
      <c r="AA21" s="6">
        <f>'Offgas Val2017, Val2018, deLima'!F8/100</f>
        <v>4.8195950624617158E-3</v>
      </c>
      <c r="AB21" s="6">
        <f>'Offgas Val2017, Val2018, deLima'!E9/100</f>
        <v>0.28639116329197728</v>
      </c>
      <c r="AC21" s="6">
        <f>'Offgas Val2017, Val2018, deLima'!F9/100</f>
        <v>8.4621061595821848E-3</v>
      </c>
      <c r="AD21" s="6">
        <f>'Offgas Val2017, Val2018, deLima'!E10/100</f>
        <v>0.33186966315764066</v>
      </c>
      <c r="AE21" s="6">
        <f>'Offgas Val2017, Val2018, deLima'!F10/100</f>
        <v>9.6140419449719375E-4</v>
      </c>
      <c r="AF21" s="6">
        <f>'Offgas Val2017, Val2018, deLima'!E11/100</f>
        <v>0.36361558618602691</v>
      </c>
      <c r="AG21" s="6">
        <f>'Offgas Val2017, Val2018, deLima'!F11/100</f>
        <v>8.748680223655143E-3</v>
      </c>
      <c r="AH21" s="6">
        <f>'Offgas Val2017, Val2018, deLima'!E12/100</f>
        <v>0.51828570809498753</v>
      </c>
      <c r="AI21" s="6">
        <f>'Offgas Val2017, Val2018, deLima'!F12/100</f>
        <v>1.247962211292108E-2</v>
      </c>
      <c r="AJ21" s="6">
        <f>'Offgas Val2017, Val2018, deLima'!E13/100</f>
        <v>0.57725428053586325</v>
      </c>
      <c r="AK21" s="6">
        <f>'Offgas Val2017, Val2018, deLima'!F13/100</f>
        <v>5.3459015132985644E-3</v>
      </c>
      <c r="AL21" s="5">
        <v>1.57735250907537E-2</v>
      </c>
      <c r="AM21" s="5">
        <v>7.4779937493065505E-4</v>
      </c>
      <c r="AN21" s="5">
        <v>1.6400000000000001E-2</v>
      </c>
      <c r="AO21" s="5">
        <v>6.0746043405735396E-4</v>
      </c>
      <c r="AP21" s="5">
        <v>1.67142068373624E-2</v>
      </c>
      <c r="AQ21" s="5">
        <v>3.8727354749370298E-4</v>
      </c>
      <c r="AR21" s="5">
        <v>1.4885724195338601E-2</v>
      </c>
      <c r="AS21" s="5">
        <v>1.0887878802770101E-3</v>
      </c>
    </row>
    <row r="22" spans="1:79" x14ac:dyDescent="0.25">
      <c r="A22" t="s">
        <v>121</v>
      </c>
      <c r="J22" s="6">
        <f>'Offgas Val2017, Val2018, deLima'!C6/100</f>
        <v>0.44315338690682538</v>
      </c>
      <c r="K22" s="6">
        <f>'Offgas Val2017, Val2018, deLima'!D6/100</f>
        <v>3.6929851569748413E-3</v>
      </c>
      <c r="N22" s="6">
        <f>'Offgas Val2017, Val2018, deLima'!C7/100</f>
        <v>0.48427807264381678</v>
      </c>
      <c r="O22" s="6">
        <f>'Offgas Val2017, Val2018, deLima'!D7/100</f>
        <v>1.9989403582072419E-3</v>
      </c>
      <c r="T22" s="7">
        <f>'Offgas Val2017, Val2018, deLima'!C4/100</f>
        <v>0.12575175029985081</v>
      </c>
      <c r="Z22" s="6">
        <f>'Offgas Val2017, Val2018, deLima'!C8/100</f>
        <v>0.428861412453441</v>
      </c>
      <c r="AA22" s="6">
        <f>'Offgas Val2017, Val2018, deLima'!D8/100</f>
        <v>3.2434385711932329E-3</v>
      </c>
      <c r="AB22" s="6">
        <f>'Offgas Val2017, Val2018, deLima'!C9/100</f>
        <v>0.44343119577460882</v>
      </c>
      <c r="AC22" s="6">
        <f>'Offgas Val2017, Val2018, deLima'!D9/100</f>
        <v>6.0496281110772624E-4</v>
      </c>
      <c r="AD22" s="6">
        <f>'Offgas Val2017, Val2018, deLima'!C10/100</f>
        <v>0.48111819140311385</v>
      </c>
      <c r="AE22" s="6">
        <f>'Offgas Val2017, Val2018, deLima'!D10/100</f>
        <v>2.8762791639416942E-3</v>
      </c>
      <c r="AF22" s="6">
        <f>'Offgas Val2017, Val2018, deLima'!C11/100</f>
        <v>0.12140861483045511</v>
      </c>
      <c r="AG22" s="6">
        <f>'Offgas Val2017, Val2018, deLima'!D11/100</f>
        <v>2.107042953942065E-3</v>
      </c>
      <c r="AH22" s="6">
        <f>'Offgas Val2017, Val2018, deLima'!C12/100</f>
        <v>0.139486977098462</v>
      </c>
      <c r="AI22" s="6">
        <f>'Offgas Val2017, Val2018, deLima'!D12/100</f>
        <v>3.4917993643907509E-3</v>
      </c>
      <c r="AJ22" s="6">
        <f>'Offgas Val2017, Val2018, deLima'!C13/100</f>
        <v>0.1475947654604626</v>
      </c>
      <c r="AK22" s="6">
        <f>'Offgas Val2017, Val2018, deLima'!D13/100</f>
        <v>1.9412504125515858E-3</v>
      </c>
      <c r="AL22" s="5">
        <v>0.96945466111467016</v>
      </c>
      <c r="AM22" s="5">
        <v>9.6313221554638901E-4</v>
      </c>
      <c r="AN22" s="5">
        <v>0.97320000000000007</v>
      </c>
      <c r="AO22" s="5">
        <v>7.9392550158574279E-4</v>
      </c>
      <c r="AP22" s="5">
        <v>0.97120931054212567</v>
      </c>
      <c r="AQ22" s="5">
        <v>4.6177429614427889E-4</v>
      </c>
      <c r="AR22" s="5">
        <v>0.96711547625447847</v>
      </c>
      <c r="AS22" s="5">
        <v>1.186023969388273E-3</v>
      </c>
    </row>
    <row r="23" spans="1:79" x14ac:dyDescent="0.25">
      <c r="A23" s="1" t="s">
        <v>122</v>
      </c>
    </row>
    <row r="24" spans="1:79" x14ac:dyDescent="0.25">
      <c r="A24" t="s">
        <v>123</v>
      </c>
      <c r="B24" s="24">
        <f>B8*B9</f>
        <v>3.125E-2</v>
      </c>
      <c r="C24" s="21">
        <f>B24*((C8/B8)^2+(C9/B9)^2)^0.5</f>
        <v>1.5934435979977454E-3</v>
      </c>
      <c r="D24" s="24">
        <f>D8*D9</f>
        <v>1.4687499999999999E-2</v>
      </c>
      <c r="E24" s="21">
        <f>D24*((E8/D8)^2+(E9/D9)^2)^0.5</f>
        <v>7.9809954932013346E-4</v>
      </c>
      <c r="F24" s="24">
        <f>F8*F9</f>
        <v>1.5625E-2</v>
      </c>
      <c r="G24" s="21">
        <f>F24*((G8/F8)^2+(G9/F9)^2)^0.5</f>
        <v>8.414320011147664E-4</v>
      </c>
      <c r="H24" s="24">
        <f>H8*H9</f>
        <v>3.125E-2</v>
      </c>
      <c r="I24" s="21">
        <f>H24*((I8/H8)^2+(I9/H9)^2)^0.5</f>
        <v>1.5934435979977454E-3</v>
      </c>
      <c r="J24" s="24">
        <f>J8*J9</f>
        <v>3.125E-2</v>
      </c>
      <c r="K24" s="21">
        <f>J24*((K8/J8)^2+(K9/J9)^2)^0.5</f>
        <v>1.5934435979977454E-3</v>
      </c>
      <c r="L24" s="24">
        <f>L8*L9</f>
        <v>3.125E-2</v>
      </c>
      <c r="M24" s="21">
        <f>L24*((M8/L8)^2+(M9/L9)^2)^0.5</f>
        <v>1.5934435979977454E-3</v>
      </c>
      <c r="N24" s="24">
        <f>N8*N9</f>
        <v>3.125E-2</v>
      </c>
      <c r="O24" s="21">
        <f>N24*((O8/N8)^2+(O9/N9)^2)^0.5</f>
        <v>1.5934435979977454E-3</v>
      </c>
      <c r="P24" s="24">
        <f>P8*P9</f>
        <v>0.03</v>
      </c>
      <c r="Q24" s="21">
        <f>P24*((Q8/P8)^2+(Q9/P9)^2)^0.5</f>
        <v>1.6770509831248426E-3</v>
      </c>
      <c r="R24" s="24">
        <f>R8*R9</f>
        <v>0.03</v>
      </c>
      <c r="S24" s="21">
        <f>R24*((S8/R8)^2+(S9/R9)^2)^0.5</f>
        <v>1.6770509831248426E-3</v>
      </c>
      <c r="T24" s="24">
        <f>T8*T9</f>
        <v>0.03</v>
      </c>
      <c r="U24" s="21">
        <f>T24*((U8/T8)^2+(U9/T9)^2)^0.5</f>
        <v>1.6770509831248426E-3</v>
      </c>
      <c r="V24" s="24">
        <f>V8*V9</f>
        <v>0.03</v>
      </c>
      <c r="W24" s="21">
        <f>V24*((W8/V8)^2+(W9/V9)^2)^0.5</f>
        <v>1.6770509831248426E-3</v>
      </c>
      <c r="X24" s="24">
        <f>X8*X9</f>
        <v>0.03</v>
      </c>
      <c r="Y24" s="21">
        <f>X24*((Y8/X8)^2+(Y9/X9)^2)^0.5</f>
        <v>1.6770509831248426E-3</v>
      </c>
      <c r="Z24" s="24">
        <f>Z8*Z9</f>
        <v>3.1875000000000001E-2</v>
      </c>
      <c r="AA24" s="21">
        <f>Z24*((AA8/Z8)^2+(AA9/Z9)^2)^0.5</f>
        <v>1.6240983075232855E-3</v>
      </c>
      <c r="AB24" s="24">
        <f>AB8*AB9</f>
        <v>6.3437499999999994E-2</v>
      </c>
      <c r="AC24" s="21">
        <f>AB24*((AC8/AB8)^2+(AC9/AB9)^2)^0.5</f>
        <v>3.6846188426518421E-3</v>
      </c>
      <c r="AD24" s="24">
        <f>AD8*AD9</f>
        <v>8.7187500000000001E-2</v>
      </c>
      <c r="AE24" s="21">
        <f>AD24*((AE8/AD8)^2+(AE9/AD9)^2)^0.5</f>
        <v>4.4590421214230538E-3</v>
      </c>
      <c r="AF24" s="24">
        <f>AF8*AF9</f>
        <v>3.15625E-2</v>
      </c>
      <c r="AG24" s="21">
        <f>AF24*((AG8/AF8)^2+(AG9/AF9)^2)^0.5</f>
        <v>1.6973813701183953E-3</v>
      </c>
      <c r="AH24" s="24">
        <f>AH8*AH9</f>
        <v>6.2812499999999993E-2</v>
      </c>
      <c r="AI24" s="21">
        <f>AH24*((AI8/AH8)^2+(AI9/AH9)^2)^0.5</f>
        <v>3.8273596173635164E-3</v>
      </c>
      <c r="AJ24" s="24">
        <f>AJ8*AJ9</f>
        <v>8.7187500000000001E-2</v>
      </c>
      <c r="AK24" s="21">
        <f>AJ24*((AK8/AJ8)^2+(AK9/AJ9)^2)^0.5</f>
        <v>4.8774282814435122E-3</v>
      </c>
      <c r="AL24" s="4">
        <v>8.8244960136137415E-3</v>
      </c>
      <c r="AM24" s="4">
        <v>2.73483486950888E-7</v>
      </c>
      <c r="AN24" s="4">
        <f>23.5371621058351/1000</f>
        <v>2.3537162105835101E-2</v>
      </c>
      <c r="AO24" s="4">
        <f>0.000450108870041734/1000</f>
        <v>4.5010887004173398E-7</v>
      </c>
      <c r="AP24" s="4">
        <v>3.9182800064552561E-2</v>
      </c>
      <c r="AQ24" s="4">
        <v>3.2661195512306069E-7</v>
      </c>
      <c r="AR24" s="4">
        <v>4.0212909334204738E-2</v>
      </c>
      <c r="AS24" s="4">
        <v>8.4074228749953534E-6</v>
      </c>
      <c r="AT24" s="21">
        <f>AT9*AT8</f>
        <v>1.6E-2</v>
      </c>
      <c r="AU24" s="21">
        <f>AT24*((AU8/AT8)^2+(AU9/AT9)^2)^0.5</f>
        <v>1.1313708498984763E-3</v>
      </c>
      <c r="AV24" s="21">
        <f>AV9*AV8</f>
        <v>1.6E-2</v>
      </c>
      <c r="AW24" s="21">
        <f>AV24*((AW8/AV8)^2+(AW9/AV9)^2)^0.5</f>
        <v>1.1313708498984763E-3</v>
      </c>
      <c r="AX24" s="21">
        <f>AX8*AX9</f>
        <v>0.16250000000000001</v>
      </c>
      <c r="AY24" s="21">
        <f>AX24*((AY8/AX8)^2+(AY9/AX9)^2)^0.5</f>
        <v>1.14904851942814E-2</v>
      </c>
      <c r="AZ24" s="21">
        <f>AZ8*AZ9</f>
        <v>0.16250000000000001</v>
      </c>
      <c r="BA24" s="21">
        <f>AZ24*((BA8/AZ8)^2+(BA9/AZ9)^2)^0.5</f>
        <v>1.14904851942814E-2</v>
      </c>
      <c r="BB24" s="21">
        <f>BB8*BB9</f>
        <v>0.16250000000000001</v>
      </c>
      <c r="BC24" s="21">
        <f>BB24*((BC8/BB8)^2+(BC9/BB9)^2)^0.5</f>
        <v>1.14904851942814E-2</v>
      </c>
      <c r="BD24" s="21">
        <f>BD8*BD9</f>
        <v>2.0833333333333332E-2</v>
      </c>
      <c r="BE24" s="21">
        <f>BD24*((BE8/BD8)^2+(BE9/BD9)^2)^0.5</f>
        <v>1.4731391274719742E-3</v>
      </c>
      <c r="BF24" s="21">
        <f>BF8*BF9</f>
        <v>2.0833333333333332E-2</v>
      </c>
      <c r="BG24" s="21">
        <f>BF24*((BG8/BF8)^2+(BG9/BF9)^2)^0.5</f>
        <v>1.4731391274719742E-3</v>
      </c>
      <c r="BH24" s="21">
        <f>BH8*BH9</f>
        <v>2.0833333333333332E-2</v>
      </c>
      <c r="BI24" s="21">
        <f>BH24*((BI8/BH8)^2+(BI9/BH9)^2)^0.5</f>
        <v>1.4731391274719742E-3</v>
      </c>
      <c r="BJ24" s="21">
        <f>BJ8*BJ9</f>
        <v>2.0833333333333332E-2</v>
      </c>
      <c r="BK24" s="21">
        <f>BJ24*((BK8/BJ8)^2+(BK9/BJ9)^2)^0.5</f>
        <v>1.4731391274719742E-3</v>
      </c>
      <c r="BL24" s="21">
        <f>BL8*BL9</f>
        <v>2.0833333333333332E-2</v>
      </c>
      <c r="BM24" s="21">
        <f>BL24*((BM8/BL8)^2+(BM9/BL9)^2)^0.5</f>
        <v>1.4731391274719742E-3</v>
      </c>
      <c r="BN24" s="21">
        <f>BN8*BN9</f>
        <v>2.0833333333333332E-2</v>
      </c>
      <c r="BO24" s="21">
        <f>BN24*((BO8/BN8)^2+(BO9/BN9)^2)^0.5</f>
        <v>1.4731391274719742E-3</v>
      </c>
      <c r="BP24" s="21">
        <f>BP8*BP9</f>
        <v>2.0833333333333332E-2</v>
      </c>
      <c r="BQ24" s="21">
        <f>BP24*((BQ8/BP8)^2+(BQ9/BP9)^2)^0.5</f>
        <v>1.4731391274719742E-3</v>
      </c>
      <c r="BR24" s="21">
        <f>BR8*BR9</f>
        <v>2.0833333333333332E-2</v>
      </c>
      <c r="BS24" s="21">
        <f>BR24*((BS8/BR8)^2+(BS9/BR9)^2)^0.5</f>
        <v>1.4731391274719742E-3</v>
      </c>
      <c r="BT24" s="21">
        <f>BT8*BT9</f>
        <v>2.0833333333333332E-2</v>
      </c>
      <c r="BU24" s="21">
        <f>BT24*((BU8/BT8)^2+(BU9/BT9)^2)^0.5</f>
        <v>1.4731391274719742E-3</v>
      </c>
      <c r="BV24" s="21">
        <f>BV8*BV9</f>
        <v>2.0833333333333332E-2</v>
      </c>
      <c r="BW24" s="21">
        <f>BV24*((BW8/BV8)^2+(BW9/BV9)^2)^0.5</f>
        <v>1.4731391274719742E-3</v>
      </c>
      <c r="BX24" s="21">
        <f>BX9*BX8</f>
        <v>1.6E-2</v>
      </c>
      <c r="BY24" s="21">
        <f>BX24*((BY8/BX8)^2+(BY9/BX9)^2)^0.5</f>
        <v>1.1313708498984763E-3</v>
      </c>
      <c r="BZ24" s="21">
        <f>BZ9*BZ8</f>
        <v>1.6E-2</v>
      </c>
      <c r="CA24" s="21">
        <f>BZ24*((CA8/BZ8)^2+(CA9/BZ9)^2)^0.5</f>
        <v>1.1313708498984763E-3</v>
      </c>
    </row>
    <row r="25" spans="1:79" x14ac:dyDescent="0.25">
      <c r="A25" t="s">
        <v>124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</row>
    <row r="26" spans="1:79" x14ac:dyDescent="0.25">
      <c r="A26" t="s">
        <v>125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10.15</v>
      </c>
      <c r="AS26">
        <v>0.11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f>25*'Standard Values'!$E$16</f>
        <v>1.5013000000000001</v>
      </c>
      <c r="BS26" s="32">
        <f>('Standard Values'!$B$40/100)*Data!BR26</f>
        <v>7.5065000000000007E-2</v>
      </c>
      <c r="BT26">
        <f>50*'Standard Values'!$E$16</f>
        <v>3.0026000000000002</v>
      </c>
      <c r="BU26" s="32">
        <f>('Standard Values'!$B$40/100)*Data!BT26</f>
        <v>0.15013000000000001</v>
      </c>
      <c r="BV26">
        <f>90*'Standard Values'!$E$16</f>
        <v>5.4046799999999999</v>
      </c>
      <c r="BW26" s="32">
        <f>('Standard Values'!$B$40/100)*Data!BV26</f>
        <v>0.27023400000000003</v>
      </c>
      <c r="BX26">
        <v>0</v>
      </c>
      <c r="BY26">
        <v>0</v>
      </c>
      <c r="BZ26">
        <v>0</v>
      </c>
      <c r="CA26">
        <v>0</v>
      </c>
    </row>
    <row r="27" spans="1:79" x14ac:dyDescent="0.25">
      <c r="A27" t="s">
        <v>126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A27">
        <v>0</v>
      </c>
    </row>
    <row r="28" spans="1:79" x14ac:dyDescent="0.25">
      <c r="A28" t="s">
        <v>127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0</v>
      </c>
      <c r="CA28">
        <v>0</v>
      </c>
    </row>
    <row r="29" spans="1:79" x14ac:dyDescent="0.25">
      <c r="A29" t="s">
        <v>128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BX29">
        <v>0</v>
      </c>
      <c r="BY29">
        <v>0</v>
      </c>
      <c r="BZ29">
        <v>0</v>
      </c>
      <c r="CA29">
        <v>0</v>
      </c>
    </row>
    <row r="30" spans="1:79" x14ac:dyDescent="0.25">
      <c r="A30" t="s">
        <v>129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 s="21">
        <v>0</v>
      </c>
      <c r="AS30" s="21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0</v>
      </c>
      <c r="BZ30">
        <v>0</v>
      </c>
      <c r="CA30">
        <v>0</v>
      </c>
    </row>
    <row r="31" spans="1:79" x14ac:dyDescent="0.25">
      <c r="A31" t="s">
        <v>130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 s="21">
        <v>0</v>
      </c>
      <c r="AS31" s="2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BX31">
        <v>0</v>
      </c>
      <c r="BY31">
        <v>0</v>
      </c>
      <c r="BZ31">
        <v>0</v>
      </c>
      <c r="CA31">
        <v>0</v>
      </c>
    </row>
    <row r="32" spans="1:79" x14ac:dyDescent="0.25">
      <c r="A32" s="1" t="s">
        <v>131</v>
      </c>
    </row>
    <row r="33" spans="1:79" x14ac:dyDescent="0.25">
      <c r="A33" t="s">
        <v>132</v>
      </c>
      <c r="B33" s="24">
        <f>B8*B9</f>
        <v>3.125E-2</v>
      </c>
      <c r="C33" s="21">
        <f>B33*((C8/B8)^2+(C9/B9)^2)^0.5</f>
        <v>1.5934435979977454E-3</v>
      </c>
      <c r="D33" s="24">
        <f>D8*D9</f>
        <v>1.4687499999999999E-2</v>
      </c>
      <c r="E33" s="21">
        <f>D33*((E8/D8)^2+(E9/D9)^2)^0.5</f>
        <v>7.9809954932013346E-4</v>
      </c>
      <c r="F33" s="24">
        <f>F8*F9</f>
        <v>1.5625E-2</v>
      </c>
      <c r="G33" s="21">
        <f>F33*((G8/F8)^2+(G9/F9)^2)^0.5</f>
        <v>8.414320011147664E-4</v>
      </c>
      <c r="H33" s="21">
        <f>H8*H9</f>
        <v>3.125E-2</v>
      </c>
      <c r="I33" s="21">
        <f>H33*((I8/H8)^2+(I9/H9)^2)^0.5</f>
        <v>1.5934435979977454E-3</v>
      </c>
      <c r="J33" s="21">
        <f>J8*J9</f>
        <v>3.125E-2</v>
      </c>
      <c r="K33" s="21">
        <f>J33*((K8/J8)^2+(K9/J9)^2)^0.5</f>
        <v>1.5934435979977454E-3</v>
      </c>
      <c r="L33" s="21">
        <f>L8*L9</f>
        <v>3.125E-2</v>
      </c>
      <c r="M33" s="21">
        <f>L33*((M8/L8)^2+(M9/L9)^2)^0.5</f>
        <v>1.5934435979977454E-3</v>
      </c>
      <c r="N33" s="21">
        <f>N8*N9</f>
        <v>3.125E-2</v>
      </c>
      <c r="O33" s="21">
        <f>N33*((O8/N8)^2+(O9/N9)^2)^0.5</f>
        <v>1.5934435979977454E-3</v>
      </c>
      <c r="P33" s="21">
        <f>P8*P9</f>
        <v>0.03</v>
      </c>
      <c r="Q33" s="21">
        <f>P33*((Q8/P8)^2+(Q9/P9)^2)^0.5</f>
        <v>1.6770509831248426E-3</v>
      </c>
      <c r="R33" s="21">
        <f>R8*R9</f>
        <v>0.03</v>
      </c>
      <c r="S33" s="21">
        <f>R33*((S8/R8)^2+(S9/R9)^2)^0.5</f>
        <v>1.6770509831248426E-3</v>
      </c>
      <c r="T33" s="21">
        <f>T8*T9</f>
        <v>0.03</v>
      </c>
      <c r="U33" s="21">
        <f>T33*((U8/T8)^2+(U9/T9)^2)^0.5</f>
        <v>1.6770509831248426E-3</v>
      </c>
      <c r="V33" s="21">
        <f>V8*V9</f>
        <v>0.03</v>
      </c>
      <c r="W33" s="21">
        <f>V33*((W8/V8)^2+(W9/V9)^2)^0.5</f>
        <v>1.6770509831248426E-3</v>
      </c>
      <c r="X33" s="21">
        <f>X8*X9</f>
        <v>0.03</v>
      </c>
      <c r="Y33" s="21">
        <f>X33*((Y8/X8)^2+(Y9/X9)^2)^0.5</f>
        <v>1.6770509831248426E-3</v>
      </c>
      <c r="Z33" s="24">
        <f>Z8*Z9</f>
        <v>3.1875000000000001E-2</v>
      </c>
      <c r="AA33" s="21">
        <f>Z33*((AA8/Z8)^2+(AA9/Z9)^2)^0.5</f>
        <v>1.6240983075232855E-3</v>
      </c>
      <c r="AB33" s="24">
        <f>AB8*AB9</f>
        <v>6.3437499999999994E-2</v>
      </c>
      <c r="AC33" s="21">
        <f>AB33*((AC8/AB8)^2+(AC9/AB9)^2)^0.5</f>
        <v>3.6846188426518421E-3</v>
      </c>
      <c r="AD33" s="24">
        <f>AD8*AD9</f>
        <v>8.7187500000000001E-2</v>
      </c>
      <c r="AE33" s="21">
        <f>AD33*((AE8/AD8)^2+(AE9/AD9)^2)^0.5</f>
        <v>4.4590421214230538E-3</v>
      </c>
      <c r="AF33" s="24">
        <f>AF8*AF9</f>
        <v>3.15625E-2</v>
      </c>
      <c r="AG33" s="21">
        <f>AF33*((AG8/AF8)^2+(AG9/AF9)^2)^0.5</f>
        <v>1.6973813701183953E-3</v>
      </c>
      <c r="AH33" s="24">
        <f>AH8*AH9</f>
        <v>6.2812499999999993E-2</v>
      </c>
      <c r="AI33" s="21">
        <f>AH33*((AI8/AH8)^2+(AI9/AH9)^2)^0.5</f>
        <v>3.8273596173635164E-3</v>
      </c>
      <c r="AJ33" s="24">
        <f>AJ8*AJ9</f>
        <v>8.7187500000000001E-2</v>
      </c>
      <c r="AK33" s="21">
        <f>AJ33*((AK8/AJ8)^2+(AK9/AJ9)^2)^0.5</f>
        <v>4.8774282814435122E-3</v>
      </c>
      <c r="AL33" s="28">
        <f>AL24</f>
        <v>8.8244960136137415E-3</v>
      </c>
      <c r="AM33" s="21">
        <f>AL33*((AM8/AL8)^2+(AM9/AL9)^2)^0.5</f>
        <v>5.9629801999463625E-4</v>
      </c>
      <c r="AN33" s="28">
        <f>AN24</f>
        <v>2.3537162105835101E-2</v>
      </c>
      <c r="AO33" s="21">
        <f>AN33*((AO8/AN8)^2+(AO9/AN9)^2)^0.5</f>
        <v>1.5319259392405085E-3</v>
      </c>
      <c r="AP33" s="28">
        <f>AP24</f>
        <v>3.9182800064552561E-2</v>
      </c>
      <c r="AQ33" s="21">
        <f>AP33*((AQ8/AP8)^2+(AQ9/AP9)^2)^0.5</f>
        <v>2.8063882268948436E-3</v>
      </c>
      <c r="AR33" s="28">
        <f>AR24</f>
        <v>4.0212909334204738E-2</v>
      </c>
      <c r="AS33" s="21">
        <f>AR33*((AS8/AR8)^2+(AS9/AR9)^2)^0.5</f>
        <v>2.8434820881455989E-3</v>
      </c>
      <c r="AT33" s="21">
        <f>AT8*AT9</f>
        <v>1.6E-2</v>
      </c>
      <c r="AU33" s="21">
        <f>AT33*((AU8/AT8)^2+(AU9/AT9)^2)^0.5</f>
        <v>1.1313708498984763E-3</v>
      </c>
      <c r="AV33" s="21">
        <f>AV8*AV9</f>
        <v>1.6E-2</v>
      </c>
      <c r="AW33" s="21">
        <f>AV33*((AW8/AV8)^2+(AW9/AV9)^2)^0.5</f>
        <v>1.1313708498984763E-3</v>
      </c>
      <c r="AX33" s="21">
        <f>AX9*AX8</f>
        <v>0.16250000000000001</v>
      </c>
      <c r="AY33" s="21">
        <f>AX33*((AY8/AX8)^2+(AY9/AX9)^2)^0.5</f>
        <v>1.14904851942814E-2</v>
      </c>
      <c r="AZ33" s="21">
        <f>AZ9*AZ8</f>
        <v>0.16250000000000001</v>
      </c>
      <c r="BA33" s="21">
        <f>AZ33*((BA8/AZ8)^2+(BA9/AZ9)^2)^0.5</f>
        <v>1.14904851942814E-2</v>
      </c>
      <c r="BB33" s="21">
        <f>BB9*BB8</f>
        <v>0.16250000000000001</v>
      </c>
      <c r="BC33" s="21">
        <f>BB33*((BC8/BB8)^2+(BC9/BB9)^2)^0.5</f>
        <v>1.14904851942814E-2</v>
      </c>
      <c r="BD33" s="21">
        <f>BD8*BD9</f>
        <v>2.0833333333333332E-2</v>
      </c>
      <c r="BE33" s="21">
        <f>BD33*((BE8/BD8)^2+(BE9/BD9)^2)^0.5</f>
        <v>1.4731391274719742E-3</v>
      </c>
      <c r="BF33" s="21">
        <f>BF8*BF9</f>
        <v>2.0833333333333332E-2</v>
      </c>
      <c r="BG33" s="21">
        <f>BF33*((BG8/BF8)^2+(BG9/BF9)^2)^0.5</f>
        <v>1.4731391274719742E-3</v>
      </c>
      <c r="BH33" s="21">
        <f>BH8*BH9</f>
        <v>2.0833333333333332E-2</v>
      </c>
      <c r="BI33" s="21">
        <f>BH33*((BI8/BH8)^2+(BI9/BH9)^2)^0.5</f>
        <v>1.4731391274719742E-3</v>
      </c>
      <c r="BJ33" s="21">
        <f>BJ8*BJ9</f>
        <v>2.0833333333333332E-2</v>
      </c>
      <c r="BK33" s="21">
        <f>BJ33*((BK8/BJ8)^2+(BK9/BJ9)^2)^0.5</f>
        <v>1.4731391274719742E-3</v>
      </c>
      <c r="BL33" s="21">
        <f>BL8*BL9</f>
        <v>2.0833333333333332E-2</v>
      </c>
      <c r="BM33" s="21">
        <f>BL33*((BM8/BL8)^2+(BM9/BL9)^2)^0.5</f>
        <v>1.4731391274719742E-3</v>
      </c>
      <c r="BN33" s="21">
        <f>BN8*BN9</f>
        <v>2.0833333333333332E-2</v>
      </c>
      <c r="BO33" s="21">
        <f>BN33*((BO8/BN8)^2+(BO9/BN9)^2)^0.5</f>
        <v>1.4731391274719742E-3</v>
      </c>
      <c r="BP33" s="21">
        <f>BP8*BP9</f>
        <v>2.0833333333333332E-2</v>
      </c>
      <c r="BQ33" s="21">
        <f>BP33*((BQ8/BP8)^2+(BQ9/BP9)^2)^0.5</f>
        <v>1.4731391274719742E-3</v>
      </c>
      <c r="BR33" s="21">
        <f>BR8*BR9</f>
        <v>2.0833333333333332E-2</v>
      </c>
      <c r="BS33" s="21">
        <f>BR33*((BS8/BR8)^2+(BS9/BR9)^2)^0.5</f>
        <v>1.4731391274719742E-3</v>
      </c>
      <c r="BT33" s="21">
        <f>BT8*BT9</f>
        <v>2.0833333333333332E-2</v>
      </c>
      <c r="BU33" s="21">
        <f>BT33*((BU8/BT8)^2+(BU9/BT9)^2)^0.5</f>
        <v>1.4731391274719742E-3</v>
      </c>
      <c r="BV33" s="21">
        <f>BV8*BV9</f>
        <v>2.0833333333333332E-2</v>
      </c>
      <c r="BW33" s="21">
        <f>BV33*((BW8/BV8)^2+(BW9/BV9)^2)^0.5</f>
        <v>1.4731391274719742E-3</v>
      </c>
      <c r="BX33" s="21">
        <f>BX8*BX9</f>
        <v>1.6E-2</v>
      </c>
      <c r="BY33" s="21">
        <f>BX33*((BY8/BX8)^2+(BY9/BX9)^2)^0.5</f>
        <v>1.1313708498984763E-3</v>
      </c>
      <c r="BZ33" s="21">
        <f>BZ8*BZ9</f>
        <v>1.6E-2</v>
      </c>
      <c r="CA33" s="21">
        <f>BZ33*((CA8/BZ8)^2+(CA9/BZ9)^2)^0.5</f>
        <v>1.1313708498984763E-3</v>
      </c>
    </row>
    <row r="34" spans="1:79" x14ac:dyDescent="0.25">
      <c r="A34" t="s">
        <v>177</v>
      </c>
      <c r="B34">
        <v>0.34</v>
      </c>
      <c r="C34">
        <v>0.02</v>
      </c>
      <c r="D34">
        <v>0.18</v>
      </c>
      <c r="E34">
        <v>0.02</v>
      </c>
      <c r="F34">
        <v>0.54</v>
      </c>
      <c r="G34">
        <v>0.01</v>
      </c>
      <c r="H34">
        <v>0.47</v>
      </c>
      <c r="I34">
        <v>0.02</v>
      </c>
      <c r="J34">
        <v>1.43</v>
      </c>
      <c r="K34">
        <v>0.08</v>
      </c>
      <c r="L34">
        <v>0.46</v>
      </c>
      <c r="M34">
        <v>0.04</v>
      </c>
      <c r="N34">
        <v>1.45</v>
      </c>
      <c r="O34">
        <v>0.04</v>
      </c>
      <c r="P34">
        <v>0.45</v>
      </c>
      <c r="Q34" s="32">
        <f>('Standard Values'!$B$40/100)*P34</f>
        <v>2.2500000000000003E-2</v>
      </c>
      <c r="R34">
        <v>0.51</v>
      </c>
      <c r="S34" s="32">
        <f>('Standard Values'!$B$40/100)*R34</f>
        <v>2.5500000000000002E-2</v>
      </c>
      <c r="T34">
        <v>1.1000000000000001</v>
      </c>
      <c r="U34" s="32">
        <f>('Standard Values'!$B$40/100)*T34</f>
        <v>5.5000000000000007E-2</v>
      </c>
      <c r="V34">
        <v>1.32</v>
      </c>
      <c r="W34" s="32">
        <f>('Standard Values'!$B$40/100)*V34</f>
        <v>6.6000000000000003E-2</v>
      </c>
      <c r="X34">
        <v>1.4</v>
      </c>
      <c r="Y34" s="32">
        <f>('Standard Values'!$B$40/100)*X34</f>
        <v>6.9999999999999993E-2</v>
      </c>
      <c r="Z34">
        <v>1.58</v>
      </c>
      <c r="AA34">
        <v>0.06</v>
      </c>
      <c r="AB34">
        <v>1.65</v>
      </c>
      <c r="AC34">
        <v>0.01</v>
      </c>
      <c r="AD34">
        <v>1.65</v>
      </c>
      <c r="AE34">
        <v>0.02</v>
      </c>
      <c r="AF34">
        <v>1.59</v>
      </c>
      <c r="AG34">
        <v>0.03</v>
      </c>
      <c r="AH34">
        <v>1.57</v>
      </c>
      <c r="AI34">
        <v>0.08</v>
      </c>
      <c r="AJ34">
        <v>1.43</v>
      </c>
      <c r="AK34">
        <v>0.03</v>
      </c>
      <c r="AL34">
        <v>0.54100000000000004</v>
      </c>
      <c r="AM34">
        <v>1.2E-2</v>
      </c>
      <c r="AN34">
        <v>0.48</v>
      </c>
      <c r="AO34">
        <v>0.02</v>
      </c>
      <c r="AP34">
        <v>0.36199999999999999</v>
      </c>
      <c r="AQ34">
        <v>0.01</v>
      </c>
      <c r="AR34">
        <v>0.26400000000000001</v>
      </c>
      <c r="AS34">
        <v>0.01</v>
      </c>
      <c r="AT34">
        <v>0.52</v>
      </c>
      <c r="AU34">
        <v>0.02</v>
      </c>
      <c r="AV34">
        <v>0.59</v>
      </c>
      <c r="AW34">
        <v>0.03</v>
      </c>
      <c r="AX34">
        <v>3.51</v>
      </c>
      <c r="AY34" s="32">
        <f>('Standard Values'!$B$40/100)*AX34</f>
        <v>0.17549999999999999</v>
      </c>
      <c r="AZ34">
        <v>3.9</v>
      </c>
      <c r="BA34" s="32">
        <f>('Standard Values'!$B$40/100)*AZ34</f>
        <v>0.19500000000000001</v>
      </c>
      <c r="BB34">
        <v>4.4000000000000004</v>
      </c>
      <c r="BC34" s="32">
        <f>('Standard Values'!$B$40/100)*BB34</f>
        <v>0.22000000000000003</v>
      </c>
      <c r="BD34">
        <v>0.6</v>
      </c>
      <c r="BE34">
        <f>('Standard Values'!$B$40/100)*Data!BD34</f>
        <v>0.03</v>
      </c>
      <c r="BF34">
        <f>0.43*1.5</f>
        <v>0.64500000000000002</v>
      </c>
      <c r="BG34" s="32">
        <f>('Standard Values'!$B$40/100)*Data!BF34</f>
        <v>3.2250000000000001E-2</v>
      </c>
      <c r="BH34">
        <v>0.28000000000000003</v>
      </c>
      <c r="BI34" s="32">
        <f>('Standard Values'!$B$40/100)*Data!BH34</f>
        <v>1.4000000000000002E-2</v>
      </c>
      <c r="BJ34">
        <v>0.22</v>
      </c>
      <c r="BK34" s="32">
        <f>('Standard Values'!$B$40/100)*Data!BJ34</f>
        <v>1.1000000000000001E-2</v>
      </c>
      <c r="BL34">
        <v>0.24</v>
      </c>
      <c r="BM34" s="32">
        <f>('Standard Values'!$B$40/100)*Data!BL34</f>
        <v>1.2E-2</v>
      </c>
      <c r="BN34">
        <v>0.3</v>
      </c>
      <c r="BO34" s="32">
        <f>('Standard Values'!$B$40/100)*Data!BN34</f>
        <v>1.4999999999999999E-2</v>
      </c>
      <c r="BP34">
        <v>0.15</v>
      </c>
      <c r="BQ34" s="32">
        <f>('Standard Values'!$B$40/100)*Data!BP34</f>
        <v>7.4999999999999997E-3</v>
      </c>
      <c r="BR34">
        <v>0.14000000000000001</v>
      </c>
      <c r="BS34" s="32">
        <f>('Standard Values'!$B$40/100)*Data!BR34</f>
        <v>7.000000000000001E-3</v>
      </c>
      <c r="BT34">
        <v>0.09</v>
      </c>
      <c r="BU34" s="32">
        <f>('Standard Values'!$B$40/100)*Data!BT34</f>
        <v>4.4999999999999997E-3</v>
      </c>
      <c r="BV34">
        <v>0.08</v>
      </c>
      <c r="BW34" s="32">
        <f>('Standard Values'!$B$40/100)*Data!BV34</f>
        <v>4.0000000000000001E-3</v>
      </c>
      <c r="BX34">
        <v>0.39</v>
      </c>
      <c r="BY34">
        <v>0.01</v>
      </c>
      <c r="BZ34">
        <v>0.41</v>
      </c>
      <c r="CA34">
        <v>0.02</v>
      </c>
    </row>
    <row r="35" spans="1:79" x14ac:dyDescent="0.25">
      <c r="A35" t="s">
        <v>133</v>
      </c>
      <c r="B35">
        <v>5.03</v>
      </c>
      <c r="C35">
        <v>0.34</v>
      </c>
      <c r="D35">
        <v>2.5099999999999998</v>
      </c>
      <c r="E35">
        <v>0.42</v>
      </c>
      <c r="F35">
        <v>5.97</v>
      </c>
      <c r="G35">
        <v>0.98</v>
      </c>
      <c r="H35">
        <v>2.12</v>
      </c>
      <c r="I35">
        <v>0.18</v>
      </c>
      <c r="J35">
        <v>6.28</v>
      </c>
      <c r="K35">
        <v>0.43</v>
      </c>
      <c r="L35">
        <v>0.69</v>
      </c>
      <c r="M35">
        <v>7.0000000000000007E-2</v>
      </c>
      <c r="N35">
        <v>3.84</v>
      </c>
      <c r="O35">
        <v>0.33</v>
      </c>
      <c r="P35" s="6">
        <f>'Concentrations Val2017'!B5</f>
        <v>4.2686000000000002</v>
      </c>
      <c r="Q35" s="32">
        <f>('Standard Values'!$B$40/100)*P35</f>
        <v>0.21343000000000001</v>
      </c>
      <c r="R35" s="6">
        <f>'Concentrations Val2017'!B8</f>
        <v>4.4542999999999999</v>
      </c>
      <c r="S35" s="32">
        <f>('Standard Values'!$B$40/100)*R35</f>
        <v>0.222715</v>
      </c>
      <c r="T35" s="6">
        <f>'Concentrations Val2017'!B12</f>
        <v>8.0287000000000006</v>
      </c>
      <c r="U35" s="32">
        <f>('Standard Values'!$B$40/100)*T35</f>
        <v>0.40143500000000004</v>
      </c>
      <c r="V35" s="6">
        <f>'Concentrations Val2017'!B15</f>
        <v>7.9669999999999996</v>
      </c>
      <c r="W35" s="32">
        <f>('Standard Values'!$B$40/100)*V35</f>
        <v>0.39834999999999998</v>
      </c>
      <c r="X35" s="6">
        <f>'Concentrations Val2017'!B17</f>
        <v>7.7744299999999997</v>
      </c>
      <c r="Y35" s="32">
        <f>('Standard Values'!$B$40/100)*X35</f>
        <v>0.3887215</v>
      </c>
      <c r="Z35">
        <v>8.1150000000000002</v>
      </c>
      <c r="AA35">
        <f>8.904-8.115</f>
        <v>0.7889999999999997</v>
      </c>
      <c r="AB35">
        <v>4.0179999999999998</v>
      </c>
      <c r="AC35">
        <f>4.146-4.018</f>
        <v>0.12800000000000011</v>
      </c>
      <c r="AD35">
        <v>4.3529999999999998</v>
      </c>
      <c r="AE35">
        <f>4.729-4.353</f>
        <v>0.37600000000000033</v>
      </c>
      <c r="AF35">
        <v>10.25</v>
      </c>
      <c r="AG35">
        <f>10.93-10.25</f>
        <v>0.67999999999999972</v>
      </c>
      <c r="AH35">
        <v>5.4020000000000001</v>
      </c>
      <c r="AI35">
        <f>5.768-5.402</f>
        <v>0.36599999999999966</v>
      </c>
      <c r="AJ35">
        <v>3.4209999999999998</v>
      </c>
      <c r="AK35">
        <f>3.697-3.421</f>
        <v>0.27600000000000025</v>
      </c>
      <c r="AL35">
        <v>10.78</v>
      </c>
      <c r="AM35">
        <v>0.09</v>
      </c>
      <c r="AN35">
        <v>5.58</v>
      </c>
      <c r="AO35">
        <v>0.06</v>
      </c>
      <c r="AP35">
        <v>3.13</v>
      </c>
      <c r="AQ35">
        <v>0.17</v>
      </c>
      <c r="AR35">
        <v>11.38</v>
      </c>
      <c r="AS35">
        <v>0.11</v>
      </c>
      <c r="AT35">
        <v>5.95</v>
      </c>
      <c r="AU35">
        <v>0.93</v>
      </c>
      <c r="AV35" s="21">
        <f>(AV54*$AV$34*$AV$8)/$AV$33*'Standard Values'!E16</f>
        <v>6.5901064800000002</v>
      </c>
      <c r="AW35" s="32">
        <f>('Standard Values'!$B$40/100)*AV35</f>
        <v>0.32950532400000004</v>
      </c>
      <c r="AX35">
        <v>9.1999999999999993</v>
      </c>
      <c r="AY35" s="32">
        <f>('Standard Values'!$B$40/100)*AX35</f>
        <v>0.45999999999999996</v>
      </c>
      <c r="AZ35">
        <v>8.27</v>
      </c>
      <c r="BA35" s="32">
        <f>('Standard Values'!$B$40/100)*AZ35</f>
        <v>0.41349999999999998</v>
      </c>
      <c r="BB35">
        <v>6.79</v>
      </c>
      <c r="BC35" s="32">
        <f>('Standard Values'!$B$40/100)*BB35</f>
        <v>0.33950000000000002</v>
      </c>
      <c r="BD35">
        <f>BD43*'Standard Values'!$E16</f>
        <v>3.2848444000000003</v>
      </c>
      <c r="BE35">
        <f>BE43*'Standard Values'!$E16</f>
        <v>5.4046799999999999E-2</v>
      </c>
      <c r="BF35" s="21">
        <f>BF43*'Standard Values'!$E16</f>
        <v>3.2698313999999997</v>
      </c>
      <c r="BG35" s="21">
        <f>BG43*'Standard Values'!$E16</f>
        <v>8.0169420000000005E-2</v>
      </c>
      <c r="BH35">
        <f>BH43*'Standard Values'!$E16</f>
        <v>3.3629120000000001</v>
      </c>
      <c r="BI35" s="32">
        <f>('Standard Values'!$B$40/100)*Data!BH35</f>
        <v>0.16814560000000001</v>
      </c>
      <c r="BJ35">
        <f>BJ43*'Standard Values'!$E16</f>
        <v>3.6631719999999999</v>
      </c>
      <c r="BK35" s="32">
        <f>('Standard Values'!$B$40/100)*Data!BJ35</f>
        <v>0.1831586</v>
      </c>
      <c r="BL35">
        <f>BL43*'Standard Values'!$E16</f>
        <v>3.9033800000000003</v>
      </c>
      <c r="BM35" s="32">
        <f>('Standard Values'!$B$40/100)*Data!BL35</f>
        <v>0.19516900000000004</v>
      </c>
      <c r="BN35">
        <f>BN43*'Standard Values'!$E16</f>
        <v>4.9843159999999997</v>
      </c>
      <c r="BO35" s="32">
        <f>('Standard Values'!$B$40/100)*Data!BN35</f>
        <v>0.24921579999999999</v>
      </c>
      <c r="BP35">
        <f>BP43*'Standard Values'!$E16</f>
        <v>2.4441164000000004</v>
      </c>
      <c r="BQ35" s="32">
        <f>('Standard Values'!$B$40/100)*Data!BP35</f>
        <v>0.12220582000000002</v>
      </c>
      <c r="BR35">
        <f>BR43*'Standard Values'!$E16</f>
        <v>3.7952864000000002</v>
      </c>
      <c r="BS35" s="32">
        <f>('Standard Values'!$B$40/100)*Data!BR35</f>
        <v>0.18976432000000001</v>
      </c>
      <c r="BT35">
        <f>BT43*'Standard Values'!$E16</f>
        <v>4.8702171999999999</v>
      </c>
      <c r="BU35" s="32">
        <f>('Standard Values'!$B$40/100)*Data!BT35</f>
        <v>0.24351086</v>
      </c>
      <c r="BV35">
        <f>BV43*'Standard Values'!$E16</f>
        <v>7.1882244000000002</v>
      </c>
      <c r="BW35" s="32">
        <f>('Standard Values'!$B$40/100)*Data!BV35</f>
        <v>0.35941122000000003</v>
      </c>
      <c r="BX35">
        <v>4.6500000000000004</v>
      </c>
      <c r="BY35">
        <v>0.46</v>
      </c>
      <c r="BZ35">
        <v>5.12</v>
      </c>
      <c r="CA35">
        <v>0.25</v>
      </c>
    </row>
    <row r="36" spans="1:79" x14ac:dyDescent="0.25">
      <c r="A36" t="s">
        <v>134</v>
      </c>
      <c r="B36">
        <v>4.79</v>
      </c>
      <c r="C36">
        <v>0.43</v>
      </c>
      <c r="D36">
        <v>2.36</v>
      </c>
      <c r="E36">
        <v>0.25</v>
      </c>
      <c r="F36">
        <v>9.69</v>
      </c>
      <c r="G36">
        <v>0.39</v>
      </c>
      <c r="H36">
        <v>0.63</v>
      </c>
      <c r="I36">
        <v>0.05</v>
      </c>
      <c r="J36">
        <v>3.88</v>
      </c>
      <c r="K36">
        <v>0.15</v>
      </c>
      <c r="L36">
        <v>4.46</v>
      </c>
      <c r="M36">
        <v>0.41</v>
      </c>
      <c r="N36">
        <v>11.55</v>
      </c>
      <c r="O36">
        <v>0.41</v>
      </c>
      <c r="P36" s="6">
        <f>'Concentrations Val2017'!C5</f>
        <v>0.57520000000000004</v>
      </c>
      <c r="Q36" s="32">
        <f>('Standard Values'!$B$40/100)*P36</f>
        <v>2.8760000000000004E-2</v>
      </c>
      <c r="R36" s="6">
        <f>'Concentrations Val2017'!C8</f>
        <v>0.65739999999999998</v>
      </c>
      <c r="S36" s="32">
        <f>('Standard Values'!$B$40/100)*R36</f>
        <v>3.2870000000000003E-2</v>
      </c>
      <c r="T36" s="6">
        <f>'Concentrations Val2017'!C12</f>
        <v>2.9157000000000002</v>
      </c>
      <c r="U36" s="32">
        <f>('Standard Values'!$B$40/100)*T36</f>
        <v>0.14578500000000003</v>
      </c>
      <c r="V36" s="6">
        <f>'Concentrations Val2017'!C15</f>
        <v>5.2125000000000004</v>
      </c>
      <c r="W36" s="32">
        <f>('Standard Values'!$B$40/100)*V36</f>
        <v>0.26062500000000005</v>
      </c>
      <c r="X36" s="6">
        <f>'Concentrations Val2017'!C17</f>
        <v>5.6826999999999996</v>
      </c>
      <c r="Y36" s="32">
        <f>('Standard Values'!$B$40/100)*X36</f>
        <v>0.28413499999999997</v>
      </c>
      <c r="Z36">
        <v>4.2649999999999997</v>
      </c>
      <c r="AA36">
        <f>4.65-4.265</f>
        <v>0.38500000000000068</v>
      </c>
      <c r="AB36">
        <v>3.7909999999999999</v>
      </c>
      <c r="AC36">
        <f>4.087-3.791</f>
        <v>0.29599999999999982</v>
      </c>
      <c r="AD36">
        <v>3.81</v>
      </c>
      <c r="AE36">
        <f>4.047-3.81</f>
        <v>0.23699999999999966</v>
      </c>
      <c r="AF36">
        <v>4.915</v>
      </c>
      <c r="AG36">
        <f>5.535-4.915</f>
        <v>0.62000000000000011</v>
      </c>
      <c r="AH36">
        <v>5.3250000000000002</v>
      </c>
      <c r="AI36">
        <f>5.889-5.325</f>
        <v>0.56400000000000006</v>
      </c>
      <c r="AJ36">
        <v>4.4610000000000003</v>
      </c>
      <c r="AK36">
        <f>4.649-4.461</f>
        <v>0.18799999999999972</v>
      </c>
      <c r="AL36">
        <v>1.01</v>
      </c>
      <c r="AM36">
        <v>0.02</v>
      </c>
      <c r="AN36">
        <v>6.3E-2</v>
      </c>
      <c r="AO36">
        <v>4.0000000000000001E-3</v>
      </c>
      <c r="AP36">
        <v>4.4999999999999998E-2</v>
      </c>
      <c r="AQ36">
        <v>8.9999999999999993E-3</v>
      </c>
      <c r="AR36">
        <v>0.318</v>
      </c>
      <c r="AS36">
        <v>6.0000000000000001E-3</v>
      </c>
      <c r="AT36">
        <v>0.51</v>
      </c>
      <c r="AU36">
        <v>0.09</v>
      </c>
      <c r="AV36" s="21">
        <f>(AV55*$AV$34*$AV$8)/$AV$33*'Standard Values'!E15</f>
        <v>0.43488191999999998</v>
      </c>
      <c r="AW36" s="32">
        <f>('Standard Values'!$B$40/100)*AV36</f>
        <v>2.1744096000000001E-2</v>
      </c>
      <c r="AX36">
        <v>8.02</v>
      </c>
      <c r="AY36" s="32">
        <f>('Standard Values'!$B$40/100)*AX36</f>
        <v>0.40100000000000002</v>
      </c>
      <c r="AZ36">
        <v>10.64</v>
      </c>
      <c r="BA36" s="32">
        <f>('Standard Values'!$B$40/100)*AZ36</f>
        <v>0.53200000000000003</v>
      </c>
      <c r="BB36">
        <v>12.47</v>
      </c>
      <c r="BC36" s="32">
        <f>('Standard Values'!$B$40/100)*BB36</f>
        <v>0.62350000000000005</v>
      </c>
      <c r="BD36">
        <f>BD44*'Standard Values'!$E15</f>
        <v>9.2136000000000006E-3</v>
      </c>
      <c r="BE36" s="32">
        <f>BE44*'Standard Values'!$E15</f>
        <v>4.6068000000000004E-4</v>
      </c>
      <c r="BF36">
        <f>BF44*'Standard Values'!$E15</f>
        <v>0</v>
      </c>
      <c r="BG36">
        <f>BG44*'Standard Values'!$E15</f>
        <v>0</v>
      </c>
      <c r="BH36">
        <f>BH44*'Standard Values'!$E15</f>
        <v>9.2136000000000006E-3</v>
      </c>
      <c r="BI36" s="32">
        <f>('Standard Values'!$B$40/100)*Data!BH36</f>
        <v>4.6068000000000004E-4</v>
      </c>
      <c r="BJ36">
        <f>BJ44*'Standard Values'!$E15</f>
        <v>9.2136000000000006E-3</v>
      </c>
      <c r="BK36" s="32">
        <f>('Standard Values'!$B$40/100)*Data!BJ36</f>
        <v>4.6068000000000004E-4</v>
      </c>
      <c r="BL36">
        <f>BL44*'Standard Values'!$E15</f>
        <v>1.8427200000000001E-2</v>
      </c>
      <c r="BM36" s="32">
        <f>('Standard Values'!$B$40/100)*Data!BL36</f>
        <v>9.2136000000000008E-4</v>
      </c>
      <c r="BN36">
        <f>BN44*'Standard Values'!$E15</f>
        <v>0.27640799999999999</v>
      </c>
      <c r="BO36" s="32">
        <f>('Standard Values'!$B$40/100)*Data!BN36</f>
        <v>1.38204E-2</v>
      </c>
      <c r="BP36">
        <f>BP44*'Standard Values'!$E15</f>
        <v>9.2136000000000006E-3</v>
      </c>
      <c r="BQ36" s="32">
        <f>('Standard Values'!$B$40/100)*Data!BP36</f>
        <v>4.6068000000000004E-4</v>
      </c>
      <c r="BR36">
        <f>BR44*'Standard Values'!$E15</f>
        <v>1.1977679999999999E-2</v>
      </c>
      <c r="BS36" s="32">
        <f>('Standard Values'!$B$40/100)*Data!BR36</f>
        <v>5.9888400000000005E-4</v>
      </c>
      <c r="BT36">
        <f>BT44*'Standard Values'!$E15</f>
        <v>2.53374E-2</v>
      </c>
      <c r="BU36" s="32">
        <f>('Standard Values'!$B$40/100)*Data!BT36</f>
        <v>1.26687E-3</v>
      </c>
      <c r="BV36">
        <f>BV44*'Standard Values'!$E15</f>
        <v>5.1596160000000002E-2</v>
      </c>
      <c r="BW36" s="32">
        <f>('Standard Values'!$B$40/100)*Data!BV36</f>
        <v>2.5798080000000003E-3</v>
      </c>
      <c r="BX36">
        <v>0.69</v>
      </c>
      <c r="BY36">
        <v>0.13</v>
      </c>
      <c r="BZ36">
        <v>0.41</v>
      </c>
      <c r="CA36">
        <v>0.03</v>
      </c>
    </row>
    <row r="37" spans="1:79" x14ac:dyDescent="0.25">
      <c r="A37" t="s">
        <v>135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0.217</v>
      </c>
      <c r="K37">
        <f>0.227-0.217</f>
        <v>1.0000000000000009E-2</v>
      </c>
      <c r="L37">
        <v>0</v>
      </c>
      <c r="M37">
        <v>0</v>
      </c>
      <c r="N37">
        <v>0</v>
      </c>
      <c r="O37">
        <v>0</v>
      </c>
      <c r="P37">
        <v>0</v>
      </c>
      <c r="Q37" s="32">
        <f>('Standard Values'!$B$40/100)*P37</f>
        <v>0</v>
      </c>
      <c r="R37">
        <v>0</v>
      </c>
      <c r="S37" s="32">
        <f>('Standard Values'!$B$40/100)*R37</f>
        <v>0</v>
      </c>
      <c r="T37">
        <f>'Concentrations Val2017'!D12</f>
        <v>2.9829999999999999E-2</v>
      </c>
      <c r="U37" s="32">
        <f>('Standard Values'!$B$40/100)*T37</f>
        <v>1.4915E-3</v>
      </c>
      <c r="V37">
        <f>'Concentrations Val2017'!D15</f>
        <v>0.27929999999999999</v>
      </c>
      <c r="W37" s="32">
        <f>('Standard Values'!$B$40/100)*V37</f>
        <v>1.3965E-2</v>
      </c>
      <c r="X37">
        <f>'Concentrations Val2017'!D17</f>
        <v>0.2707</v>
      </c>
      <c r="Y37" s="32">
        <f>('Standard Values'!$B$40/100)*X37</f>
        <v>1.3535E-2</v>
      </c>
      <c r="Z37">
        <v>0.25669999999999998</v>
      </c>
      <c r="AA37">
        <f>0.306-0.2567</f>
        <v>4.930000000000001E-2</v>
      </c>
      <c r="AB37">
        <v>0.39489999999999997</v>
      </c>
      <c r="AC37">
        <f>0.4541-0.3949</f>
        <v>5.920000000000003E-2</v>
      </c>
      <c r="AD37">
        <v>0.1678</v>
      </c>
      <c r="AE37">
        <f>0.1974-0.1678</f>
        <v>2.9599999999999987E-2</v>
      </c>
      <c r="AF37">
        <v>0.33210000000000001</v>
      </c>
      <c r="AG37">
        <f>0.4096-0.3321</f>
        <v>7.7500000000000013E-2</v>
      </c>
      <c r="AH37">
        <v>0.55349999999999999</v>
      </c>
      <c r="AI37">
        <f>0.6974-0.5535</f>
        <v>0.14390000000000003</v>
      </c>
      <c r="AJ37">
        <f>0.6974</f>
        <v>0.69740000000000002</v>
      </c>
      <c r="AK37">
        <f>0.7638-0.6974</f>
        <v>6.6400000000000015E-2</v>
      </c>
      <c r="AL37">
        <v>0.57499999999999996</v>
      </c>
      <c r="AM37">
        <v>1.0999999999999999E-2</v>
      </c>
      <c r="AN37">
        <v>7.0000000000000007E-2</v>
      </c>
      <c r="AO37">
        <v>0.03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f>(AV56*$AV$34*$AV$8)/$AV$33*'Standard Values'!E18</f>
        <v>0</v>
      </c>
      <c r="AW37">
        <v>0</v>
      </c>
      <c r="AX37">
        <v>0.47</v>
      </c>
      <c r="AY37" s="32">
        <f>('Standard Values'!$B$40/100)*AX37</f>
        <v>2.35E-2</v>
      </c>
      <c r="AZ37">
        <v>0.88</v>
      </c>
      <c r="BA37" s="32">
        <f>('Standard Values'!$B$40/100)*AZ37</f>
        <v>4.4000000000000004E-2</v>
      </c>
      <c r="BB37">
        <v>0.93</v>
      </c>
      <c r="BC37" s="32">
        <f>('Standard Values'!$B$40/100)*BB37</f>
        <v>4.6500000000000007E-2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0</v>
      </c>
      <c r="BZ37">
        <v>0</v>
      </c>
      <c r="CA37">
        <v>0</v>
      </c>
    </row>
    <row r="38" spans="1:79" x14ac:dyDescent="0.25">
      <c r="A38" t="s">
        <v>136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 s="32">
        <f>('Standard Values'!$B$40/100)*P38</f>
        <v>0</v>
      </c>
      <c r="R38">
        <v>0</v>
      </c>
      <c r="S38" s="32">
        <f>('Standard Values'!$B$40/100)*R38</f>
        <v>0</v>
      </c>
      <c r="T38">
        <v>0</v>
      </c>
      <c r="U38" s="32">
        <f>('Standard Values'!$B$40/100)*T38</f>
        <v>0</v>
      </c>
      <c r="V38">
        <v>0</v>
      </c>
      <c r="W38" s="32">
        <f>('Standard Values'!$B$40/100)*V38</f>
        <v>0</v>
      </c>
      <c r="X38">
        <v>0</v>
      </c>
      <c r="Y38" s="32">
        <f>('Standard Values'!$B$40/100)*X38</f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f>(AV57*$AV$34*$AV$8)/$AV$33*'Standard Values'!E19</f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BX38">
        <v>0</v>
      </c>
      <c r="BY38">
        <v>0</v>
      </c>
      <c r="BZ38">
        <v>0</v>
      </c>
      <c r="CA38">
        <v>0</v>
      </c>
    </row>
    <row r="39" spans="1:79" x14ac:dyDescent="0.25">
      <c r="A39" t="s">
        <v>137</v>
      </c>
      <c r="B39" s="23">
        <f>B47*'Standard Values'!$E$16</f>
        <v>1.8372410246868458</v>
      </c>
      <c r="C39" s="23">
        <f>C47*'Standard Values'!$E$16</f>
        <v>0.12418726608221226</v>
      </c>
      <c r="D39" s="23">
        <f>D47*'Standard Values'!$E$16</f>
        <v>0.91679422901868446</v>
      </c>
      <c r="E39" s="23">
        <f>E47*'Standard Values'!$E$16</f>
        <v>0.15340779927802686</v>
      </c>
      <c r="F39" s="23">
        <f>F47*'Standard Values'!$E$16</f>
        <v>2.1805822897376679</v>
      </c>
      <c r="G39" s="23">
        <f>G47*'Standard Values'!$E$16</f>
        <v>0.35795153164872934</v>
      </c>
      <c r="H39" s="23">
        <f>H47*'Standard Values'!$E$16</f>
        <v>0.77434412968908806</v>
      </c>
      <c r="I39" s="23">
        <f>I47*'Standard Values'!$E$16</f>
        <v>6.5746199690582943E-2</v>
      </c>
      <c r="J39" s="23">
        <f>J47*'Standard Values'!$E$16</f>
        <v>2.2938118558714495</v>
      </c>
      <c r="K39" s="23">
        <f>K47*'Standard Values'!$E$16</f>
        <v>0.15706036592750372</v>
      </c>
      <c r="L39" s="23">
        <f>L47*'Standard Values'!$E$16</f>
        <v>0.25202709881390128</v>
      </c>
      <c r="M39" s="23">
        <f>M47*'Standard Values'!$E$16</f>
        <v>2.556796654633782E-2</v>
      </c>
      <c r="N39" s="23">
        <f>N47*'Standard Values'!$E$16</f>
        <v>1.4025855933991029</v>
      </c>
      <c r="O39" s="25">
        <f>O47*'Standard Values'!$E$16</f>
        <v>0.12053469943273543</v>
      </c>
      <c r="P39" s="25">
        <f>P47*'Standard Values'!$E$16</f>
        <v>1.5591345999956798</v>
      </c>
      <c r="Q39" s="32">
        <f>('Standard Values'!$B$40/100)*P39</f>
        <v>7.7956729999783994E-2</v>
      </c>
      <c r="R39" s="25">
        <f>R47*'Standard Values'!$E$16</f>
        <v>1.6269627626764647</v>
      </c>
      <c r="S39" s="32">
        <f>('Standard Values'!$B$40/100)*R39</f>
        <v>8.1348138133823245E-2</v>
      </c>
      <c r="T39" s="25">
        <f>T47*'Standard Values'!$E$16</f>
        <v>2.9325361858654633</v>
      </c>
      <c r="U39" s="32">
        <f>('Standard Values'!$B$40/100)*T39</f>
        <v>0.14662680929327318</v>
      </c>
      <c r="V39" s="25">
        <f>V47*'Standard Values'!$E$16</f>
        <v>2.9099998496381909</v>
      </c>
      <c r="W39" s="32">
        <f>('Standard Values'!$B$40/100)*V39</f>
        <v>0.14549999248190956</v>
      </c>
      <c r="X39" s="25">
        <f>X47*'Standard Values'!$E$16</f>
        <v>2.8396623736692153</v>
      </c>
      <c r="Y39" s="32">
        <f>('Standard Values'!$B$40/100)*X39</f>
        <v>0.14198311868346078</v>
      </c>
      <c r="Z39" s="25">
        <f>Z47*'Standard Values'!$E$16</f>
        <v>2.9640578360504479</v>
      </c>
      <c r="AA39" s="25">
        <f>AA47*'Standard Values'!$E$16</f>
        <v>0.28818750864372183</v>
      </c>
      <c r="AB39" s="25">
        <f>AB47*'Standard Values'!$E$16</f>
        <v>1.4676012797597902</v>
      </c>
      <c r="AC39" s="25">
        <f>AC47*'Standard Values'!$E$16</f>
        <v>4.6752853113303475E-2</v>
      </c>
      <c r="AD39" s="25">
        <f>AD47*'Standard Values'!$E$16</f>
        <v>1.5899622625172645</v>
      </c>
      <c r="AE39" s="25">
        <f>AE47*'Standard Values'!$E$16</f>
        <v>0.13733650602032893</v>
      </c>
      <c r="AF39" s="25">
        <f>AF47*'Standard Values'!$E$16</f>
        <v>3.7438808157137515</v>
      </c>
      <c r="AG39" s="25">
        <f>AG47*'Standard Values'!$E$16</f>
        <v>0.24837453216442434</v>
      </c>
      <c r="AH39" s="25">
        <f>AH47*'Standard Values'!$E$16</f>
        <v>1.9731165040473837</v>
      </c>
      <c r="AI39" s="25">
        <f>AI47*'Standard Values'!$E$16</f>
        <v>0.13368393937085188</v>
      </c>
      <c r="AJ39" s="25">
        <f>AJ47*'Standard Values'!$E$16</f>
        <v>1.2495430507860237</v>
      </c>
      <c r="AK39" s="25">
        <f>AK47*'Standard Values'!$E$16</f>
        <v>0.10081083952556061</v>
      </c>
      <c r="AL39" s="25">
        <f>AL47*'Standard Values'!$E$16</f>
        <v>0.72818931258309028</v>
      </c>
      <c r="AM39" s="25">
        <f>AM47*'Standard Values'!$E$16</f>
        <v>6.0795026096918479E-3</v>
      </c>
      <c r="AN39" s="25">
        <f>AN47*'Standard Values'!$E$16</f>
        <v>0.37692916180089464</v>
      </c>
      <c r="AO39" s="25">
        <f>AO47*'Standard Values'!$E$16</f>
        <v>4.0530017397945655E-3</v>
      </c>
      <c r="AP39" s="25">
        <f>AP47*'Standard Values'!$E$16</f>
        <v>0.21143159075928317</v>
      </c>
      <c r="AQ39" s="25">
        <f>AQ47*'Standard Values'!$E$16</f>
        <v>1.1483504929417939E-2</v>
      </c>
      <c r="AR39" s="25">
        <f>AR47*'Standard Values'!$E$16</f>
        <v>0.76871932998103609</v>
      </c>
      <c r="AS39" s="25">
        <f>AS47*'Standard Values'!$E$16</f>
        <v>7.4305031896233715E-3</v>
      </c>
      <c r="AT39" s="25">
        <f>AT47*'Standard Values'!$E$16</f>
        <v>0.91603165242903561</v>
      </c>
      <c r="AU39" s="25">
        <f>AU47*'Standard Values'!$E$16</f>
        <v>0.14317805659815178</v>
      </c>
      <c r="AV39" s="25">
        <f>AV47*'Standard Values'!$E$16</f>
        <v>1.014579181270201</v>
      </c>
      <c r="AW39" s="25">
        <f>AW47*'Standard Values'!$E$16</f>
        <v>5.0728959063510055E-2</v>
      </c>
      <c r="AX39" s="25">
        <f>AX47*'Standard Values'!$E$16</f>
        <v>3.3603613175186839</v>
      </c>
      <c r="AY39" s="25">
        <f>AY47*'Standard Values'!$E$16</f>
        <v>0.16801806587593421</v>
      </c>
      <c r="AZ39" s="25">
        <f>AZ47*'Standard Values'!$E$16</f>
        <v>3.020672619117339</v>
      </c>
      <c r="BA39" s="25">
        <f>BA47*'Standard Values'!$E$16</f>
        <v>0.15103363095586692</v>
      </c>
      <c r="BB39" s="25">
        <f>BB47*'Standard Values'!$E$16</f>
        <v>2.480092754994768</v>
      </c>
      <c r="BC39" s="25">
        <f>BC47*'Standard Values'!$E$16</f>
        <v>0.1240046377497384</v>
      </c>
      <c r="BD39" s="25">
        <f>BD47*'Standard Values'!$E$16</f>
        <v>0.11508693736273488</v>
      </c>
      <c r="BE39" s="25">
        <f>BE47*'Standard Values'!$E$16</f>
        <v>1.893569353317393E-3</v>
      </c>
      <c r="BF39" s="25">
        <f>BF47*'Standard Values'!$E$16</f>
        <v>0.11456094587570227</v>
      </c>
      <c r="BG39" s="25">
        <f>BG47*'Standard Values'!$E$16</f>
        <v>2.8087945407541328E-3</v>
      </c>
      <c r="BH39" s="25">
        <f>BH47*'Standard Values'!$E$16</f>
        <v>0.11782209309530446</v>
      </c>
      <c r="BI39" s="25">
        <f>BI47*'Standard Values'!$E$16</f>
        <v>5.8911046547652232E-3</v>
      </c>
      <c r="BJ39" s="25">
        <f>BJ47*'Standard Values'!$E$16</f>
        <v>0.12834192283595663</v>
      </c>
      <c r="BK39" s="25">
        <f>BK47*'Standard Values'!$E$16</f>
        <v>6.4170961417978328E-3</v>
      </c>
      <c r="BL39" s="25">
        <f>BL47*'Standard Values'!$E$16</f>
        <v>0.13675778662847837</v>
      </c>
      <c r="BM39" s="25">
        <f>BM47*'Standard Values'!$E$16</f>
        <v>6.8378893314239193E-3</v>
      </c>
      <c r="BN39" s="25">
        <f>BN47*'Standard Values'!$E$16</f>
        <v>0.17462917369482622</v>
      </c>
      <c r="BO39" s="25">
        <f>BO47*'Standard Values'!$E$16</f>
        <v>8.7314586847413132E-3</v>
      </c>
      <c r="BP39" s="25">
        <f>BP47*'Standard Values'!$E$16</f>
        <v>8.5631414088908772E-2</v>
      </c>
      <c r="BQ39" s="25">
        <f>BQ47*'Standard Values'!$E$16</f>
        <v>4.2815707044454388E-3</v>
      </c>
      <c r="BR39" s="25">
        <f>BR47*'Standard Values'!$E$16</f>
        <v>0.1329706479218436</v>
      </c>
      <c r="BS39" s="25">
        <f>BS47*'Standard Values'!$E$16</f>
        <v>6.6485323960921803E-3</v>
      </c>
      <c r="BT39" s="25">
        <f>BT47*'Standard Values'!$E$16</f>
        <v>0.17063163839337839</v>
      </c>
      <c r="BU39" s="25">
        <f>BU47*'Standard Values'!$E$16</f>
        <v>8.5315819196689208E-3</v>
      </c>
      <c r="BV39" s="25">
        <f>BV47*'Standard Values'!$E$16</f>
        <v>0.25184472399121327</v>
      </c>
      <c r="BW39" s="25">
        <f>BW47*'Standard Values'!$E$16</f>
        <v>1.2592236199560665E-2</v>
      </c>
      <c r="BX39" s="25">
        <f>BX47*'Standard Values'!$E$16</f>
        <v>0.71589028299075896</v>
      </c>
      <c r="BY39" s="25">
        <f>BY47*'Standard Values'!$E$16</f>
        <v>7.0819253801236368E-2</v>
      </c>
      <c r="BZ39" s="25">
        <f>BZ47*'Standard Values'!$E$16</f>
        <v>0.78824908578767439</v>
      </c>
      <c r="CA39" s="25">
        <f>CA47*'Standard Values'!$E$16</f>
        <v>3.8488724891976279E-2</v>
      </c>
    </row>
    <row r="40" spans="1:79" x14ac:dyDescent="0.25">
      <c r="A40" t="s">
        <v>138</v>
      </c>
      <c r="B40" s="23">
        <f>B48*'Standard Values'!$E$17</f>
        <v>3.1391670708450983</v>
      </c>
      <c r="C40" s="23">
        <f>C48*'Standard Values'!$E$17</f>
        <v>0.21219021950046393</v>
      </c>
      <c r="D40" s="23">
        <f>D48*'Standard Values'!$E$17</f>
        <v>1.5664630910181305</v>
      </c>
      <c r="E40" s="23">
        <f>E48*'Standard Values'!$E$17</f>
        <v>0.26211732997116127</v>
      </c>
      <c r="F40" s="23">
        <f>F48*'Standard Values'!$E$17</f>
        <v>3.7258106188757929</v>
      </c>
      <c r="G40" s="23">
        <f>G48*'Standard Values'!$E$17</f>
        <v>0.61160710326604295</v>
      </c>
      <c r="H40" s="23">
        <f>H48*'Standard Values'!$E$17</f>
        <v>1.3230684274734807</v>
      </c>
      <c r="I40" s="23">
        <f>I48*'Standard Values'!$E$17</f>
        <v>0.11233599855906912</v>
      </c>
      <c r="J40" s="23">
        <f>J48*'Standard Values'!$E$17</f>
        <v>3.9192781719497454</v>
      </c>
      <c r="K40" s="23">
        <f>K48*'Standard Values'!$E$17</f>
        <v>0.26835821877999844</v>
      </c>
      <c r="L40" s="23">
        <f>L48*'Standard Values'!$E$17</f>
        <v>0.43062132780976492</v>
      </c>
      <c r="M40" s="23">
        <f>M48*'Standard Values'!$E$17</f>
        <v>4.3686221661860224E-2</v>
      </c>
      <c r="N40" s="23">
        <f>N48*'Standard Values'!$E$17</f>
        <v>2.3965013025934745</v>
      </c>
      <c r="O40" s="25">
        <f>O48*'Standard Values'!$E$17</f>
        <v>0.20594933069162674</v>
      </c>
      <c r="P40" s="25">
        <f>P48*'Standard Values'!$E$17</f>
        <v>2.6639857969402359</v>
      </c>
      <c r="Q40" s="32">
        <f>('Standard Values'!$B$40/100)*P40</f>
        <v>0.13319928984701179</v>
      </c>
      <c r="R40" s="25">
        <f>R48*'Standard Values'!$E$17</f>
        <v>2.7798791021203422</v>
      </c>
      <c r="S40" s="32">
        <f>('Standard Values'!$B$40/100)*R40</f>
        <v>0.13899395510601711</v>
      </c>
      <c r="T40" s="25">
        <f>T48*'Standard Values'!$E$17</f>
        <v>5.010622397951102</v>
      </c>
      <c r="U40" s="32">
        <f>('Standard Values'!$B$40/100)*T40</f>
        <v>0.25053111989755511</v>
      </c>
      <c r="V40" s="25">
        <f>V48*'Standard Values'!$E$17</f>
        <v>4.9721161140005758</v>
      </c>
      <c r="W40" s="32">
        <f>('Standard Values'!$B$40/100)*V40</f>
        <v>0.2486058057000288</v>
      </c>
      <c r="X40" s="25">
        <f>X48*'Standard Values'!$E$17</f>
        <v>4.8519353182087981</v>
      </c>
      <c r="Y40" s="32">
        <f>('Standard Values'!$B$40/100)*X40</f>
        <v>0.24259676591043991</v>
      </c>
      <c r="Z40" s="25">
        <f>Z48*'Standard Values'!$E$17</f>
        <v>5.0644812683713658</v>
      </c>
      <c r="AA40" s="25">
        <f>AA48*'Standard Values'!$E$17</f>
        <v>0.49240612701725278</v>
      </c>
      <c r="AB40" s="25">
        <f>AB48*'Standard Values'!$E$17</f>
        <v>2.5075891233907757</v>
      </c>
      <c r="AC40" s="25">
        <f>AC48*'Standard Values'!$E$17</f>
        <v>7.9883376753115881E-2</v>
      </c>
      <c r="AD40" s="25">
        <f>AD48*'Standard Values'!$E$17</f>
        <v>2.7166588984868216</v>
      </c>
      <c r="AE40" s="25">
        <f>AE48*'Standard Values'!$E$17</f>
        <v>0.23465741921227792</v>
      </c>
      <c r="AF40" s="25">
        <f>AF48*'Standard Values'!$E$17</f>
        <v>6.3969110290581028</v>
      </c>
      <c r="AG40" s="25">
        <f>AG48*'Standard Values'!$E$17</f>
        <v>0.42438043900092759</v>
      </c>
      <c r="AH40" s="25">
        <f>AH48*'Standard Values'!$E$17</f>
        <v>3.3713281345338411</v>
      </c>
      <c r="AI40" s="25">
        <f>AI48*'Standard Values'!$E$17</f>
        <v>0.22841653040344034</v>
      </c>
      <c r="AJ40" s="25">
        <f>AJ48*'Standard Values'!$E$17</f>
        <v>2.1350080615031968</v>
      </c>
      <c r="AK40" s="25">
        <f>AK48*'Standard Values'!$E$17</f>
        <v>0.17224853112390615</v>
      </c>
      <c r="AL40" s="25">
        <f>AL48*'Standard Values'!$E$17</f>
        <v>9.8830864955012991</v>
      </c>
      <c r="AM40" s="25">
        <f>AM48*'Standard Values'!$E$17</f>
        <v>8.2511853858545162E-2</v>
      </c>
      <c r="AN40" s="25">
        <f>AN48*'Standard Values'!$E$17</f>
        <v>5.1157349392298004</v>
      </c>
      <c r="AO40" s="25">
        <f>AO48*'Standard Values'!$E$17</f>
        <v>5.5007902572363439E-2</v>
      </c>
      <c r="AP40" s="25">
        <f>AP48*'Standard Values'!$E$17</f>
        <v>2.8695789175249593</v>
      </c>
      <c r="AQ40" s="25">
        <f>AQ48*'Standard Values'!$E$17</f>
        <v>0.15585572395502975</v>
      </c>
      <c r="AR40" s="25">
        <f>AR48*'Standard Values'!$E$17</f>
        <v>10.433165521224932</v>
      </c>
      <c r="AS40" s="25">
        <f>AS48*'Standard Values'!$E$17</f>
        <v>0.10084782138266631</v>
      </c>
      <c r="AT40" s="25">
        <f>AT48*'Standard Values'!$E$17</f>
        <v>4.9494709104439485</v>
      </c>
      <c r="AU40" s="25">
        <f>AU48*'Standard Values'!$E$17</f>
        <v>0.77361478096014669</v>
      </c>
      <c r="AV40" s="25">
        <f>AV48*'Standard Values'!$E$17</f>
        <v>5.4819395494938092</v>
      </c>
      <c r="AW40" s="25">
        <f>AW48*'Standard Values'!$E$17</f>
        <v>0.27409697747469053</v>
      </c>
      <c r="AX40" s="25">
        <f>AX48*'Standard Values'!$E$17</f>
        <v>5.7416177041302001</v>
      </c>
      <c r="AY40" s="25">
        <f>AY48*'Standard Values'!$E$17</f>
        <v>0.28708088520650993</v>
      </c>
      <c r="AZ40" s="25">
        <f>AZ48*'Standard Values'!$E$17</f>
        <v>5.1612150449083423</v>
      </c>
      <c r="BA40" s="25">
        <f>BA48*'Standard Values'!$E$17</f>
        <v>0.25806075224541708</v>
      </c>
      <c r="BB40" s="25">
        <f>BB48*'Standard Values'!$E$17</f>
        <v>11.601604865464678</v>
      </c>
      <c r="BC40" s="25">
        <f>BC48*'Standard Values'!$E$17</f>
        <v>0.21187817506002204</v>
      </c>
      <c r="BD40" s="25">
        <f>BD48*'Standard Values'!$E$17</f>
        <v>3.1165516489701375</v>
      </c>
      <c r="BE40" s="25">
        <f>BE48*'Standard Values'!$E$17</f>
        <v>5.127781506532219E-2</v>
      </c>
      <c r="BF40" s="25">
        <f>BF48*'Standard Values'!$E$17</f>
        <v>3.1023078114519924</v>
      </c>
      <c r="BG40" s="25">
        <f>BG48*'Standard Values'!$E$17</f>
        <v>7.606209234689458E-2</v>
      </c>
      <c r="BH40" s="25">
        <f>BH48*'Standard Values'!$E$17</f>
        <v>3.1906196040644916</v>
      </c>
      <c r="BI40" s="25">
        <f>BI48*'Standard Values'!$E$17</f>
        <v>0.15953098020322459</v>
      </c>
      <c r="BJ40" s="25">
        <f>BJ48*'Standard Values'!$E$17</f>
        <v>3.4754963544273925</v>
      </c>
      <c r="BK40" s="25">
        <f>BK48*'Standard Values'!$E$17</f>
        <v>0.17377481772136966</v>
      </c>
      <c r="BL40" s="25">
        <f>BL48*'Standard Values'!$E$17</f>
        <v>3.7033977547177135</v>
      </c>
      <c r="BM40" s="25">
        <f>BM48*'Standard Values'!$E$17</f>
        <v>0.18516988773588566</v>
      </c>
      <c r="BN40" s="25">
        <f>BN48*'Standard Values'!$E$17</f>
        <v>4.7289540560241576</v>
      </c>
      <c r="BO40" s="25">
        <f>BO48*'Standard Values'!$E$17</f>
        <v>0.23644770280120789</v>
      </c>
      <c r="BP40" s="25">
        <f>BP48*'Standard Values'!$E$17</f>
        <v>2.3188967479540143</v>
      </c>
      <c r="BQ40" s="25">
        <f>BQ48*'Standard Values'!$E$17</f>
        <v>0.11594483739770073</v>
      </c>
      <c r="BR40" s="25">
        <f>BR48*'Standard Values'!$E$17</f>
        <v>3.6008421245870692</v>
      </c>
      <c r="BS40" s="25">
        <f>BS48*'Standard Values'!$E$17</f>
        <v>0.18004210622935346</v>
      </c>
      <c r="BT40" s="25">
        <f>BT48*'Standard Values'!$E$17</f>
        <v>4.6207008908862548</v>
      </c>
      <c r="BU40" s="25">
        <f>BU48*'Standard Values'!$E$17</f>
        <v>0.2310350445443127</v>
      </c>
      <c r="BV40" s="25">
        <f>BV48*'Standard Values'!$E$17</f>
        <v>6.8199494036878514</v>
      </c>
      <c r="BW40" s="25">
        <f>BW48*'Standard Values'!$E$17</f>
        <v>0.34099747018439258</v>
      </c>
      <c r="BX40" s="25">
        <f>BX48*'Standard Values'!$E$17</f>
        <v>3.8680739048007329</v>
      </c>
      <c r="BY40" s="25">
        <f>BY48*'Standard Values'!$E$17</f>
        <v>0.38264817122759937</v>
      </c>
      <c r="BZ40" s="25">
        <f>BZ48*'Standard Values'!$E$17</f>
        <v>4.2590405145332806</v>
      </c>
      <c r="CA40" s="25">
        <f>CA48*'Standard Values'!$E$17</f>
        <v>0.20796096262369529</v>
      </c>
    </row>
    <row r="41" spans="1:79" x14ac:dyDescent="0.25">
      <c r="A41" s="18" t="s">
        <v>139</v>
      </c>
    </row>
    <row r="42" spans="1:79" x14ac:dyDescent="0.25">
      <c r="A42" t="s">
        <v>140</v>
      </c>
      <c r="B42" s="23">
        <f>B34/'Standard Values'!$E$14</f>
        <v>12.921124383322713</v>
      </c>
      <c r="C42" s="23">
        <f>C34/'Standard Values'!$E$14</f>
        <v>0.76006614019545371</v>
      </c>
      <c r="D42" s="23">
        <f>D34/'Standard Values'!$E$14</f>
        <v>6.8405952617590824</v>
      </c>
      <c r="E42" s="23">
        <f>E34/'Standard Values'!$E$14</f>
        <v>0.76006614019545371</v>
      </c>
      <c r="F42" s="23">
        <f>F34/'Standard Values'!$E$14</f>
        <v>20.521785785277249</v>
      </c>
      <c r="G42" s="23">
        <f>G34/'Standard Values'!$E$14</f>
        <v>0.38003307009772685</v>
      </c>
      <c r="H42" s="23">
        <f>H34/'Standard Values'!$E$14</f>
        <v>17.861554294593159</v>
      </c>
      <c r="I42" s="23">
        <f>I34/'Standard Values'!$E$14</f>
        <v>0.76006614019545371</v>
      </c>
      <c r="J42" s="23">
        <f>J34/'Standard Values'!$E$14</f>
        <v>54.344729023974935</v>
      </c>
      <c r="K42" s="23">
        <f>K34/'Standard Values'!$E$14</f>
        <v>3.0402645607818148</v>
      </c>
      <c r="L42" s="23">
        <f>L34/'Standard Values'!$E$14</f>
        <v>17.481521224495435</v>
      </c>
      <c r="M42" s="23">
        <f>M34/'Standard Values'!$E$14</f>
        <v>1.5201322803909074</v>
      </c>
      <c r="N42" s="23">
        <f>N34/'Standard Values'!$E$14</f>
        <v>55.10479516417039</v>
      </c>
      <c r="O42" s="25">
        <f>O34/'Standard Values'!$E$14</f>
        <v>1.5201322803909074</v>
      </c>
      <c r="P42" s="25">
        <f>P34/'Standard Values'!$E$14</f>
        <v>17.101488154397707</v>
      </c>
      <c r="Q42" s="32">
        <f>('Standard Values'!$B$40/100)*P42</f>
        <v>0.85507440771988541</v>
      </c>
      <c r="R42" s="25">
        <f>R34/'Standard Values'!$E$14</f>
        <v>19.381686574984069</v>
      </c>
      <c r="S42" s="32">
        <f>('Standard Values'!$B$40/100)*R42</f>
        <v>0.96908432874920347</v>
      </c>
      <c r="T42" s="25">
        <f>T34/'Standard Values'!$E$14</f>
        <v>41.803637710749953</v>
      </c>
      <c r="U42" s="32">
        <f>('Standard Values'!$B$40/100)*T42</f>
        <v>2.0901818855374978</v>
      </c>
      <c r="V42" s="25">
        <f>V34/'Standard Values'!$E$14</f>
        <v>50.164365252899941</v>
      </c>
      <c r="W42" s="32">
        <f>('Standard Values'!$B$40/100)*V42</f>
        <v>2.5082182626449971</v>
      </c>
      <c r="X42" s="25">
        <f>X34/'Standard Values'!$E$14</f>
        <v>53.204629813681755</v>
      </c>
      <c r="Y42" s="32">
        <f>('Standard Values'!$B$40/100)*X42</f>
        <v>2.660231490684088</v>
      </c>
      <c r="Z42" s="25">
        <f>Z34/'Standard Values'!$E$14</f>
        <v>60.04522507544084</v>
      </c>
      <c r="AA42" s="25">
        <f>AA34/'Standard Values'!$E$14</f>
        <v>2.2801984205863608</v>
      </c>
      <c r="AB42" s="25">
        <f>AB34/'Standard Values'!$E$14</f>
        <v>62.705456566124923</v>
      </c>
      <c r="AC42" s="25">
        <f>AC34/'Standard Values'!$E$14</f>
        <v>0.38003307009772685</v>
      </c>
      <c r="AD42" s="25">
        <f>AD34/'Standard Values'!$E$14</f>
        <v>62.705456566124923</v>
      </c>
      <c r="AE42" s="25">
        <f>AE34/'Standard Values'!$E$14</f>
        <v>0.76006614019545371</v>
      </c>
      <c r="AF42" s="25">
        <f>AF34/'Standard Values'!$E$14</f>
        <v>60.425258145538571</v>
      </c>
      <c r="AG42" s="25">
        <f>AG34/'Standard Values'!$E$14</f>
        <v>1.1400992102931804</v>
      </c>
      <c r="AH42" s="25">
        <f>AH34/'Standard Values'!$E$14</f>
        <v>59.665192005343116</v>
      </c>
      <c r="AI42" s="25">
        <f>AI34/'Standard Values'!$E$14</f>
        <v>3.0402645607818148</v>
      </c>
      <c r="AJ42" s="25">
        <f>AJ34/'Standard Values'!$E$14</f>
        <v>54.344729023974935</v>
      </c>
      <c r="AK42" s="25">
        <f>AK34/'Standard Values'!$E$14</f>
        <v>1.1400992102931804</v>
      </c>
      <c r="AL42" s="25">
        <f>AL34/'Standard Values'!$E$14</f>
        <v>20.559789092287023</v>
      </c>
      <c r="AM42" s="25">
        <f>AM34/'Standard Values'!$E$14</f>
        <v>0.45603968411727219</v>
      </c>
      <c r="AN42" s="25">
        <f>AN34/'Standard Values'!$E$14</f>
        <v>18.241587364690886</v>
      </c>
      <c r="AO42" s="25">
        <f>AO34/'Standard Values'!$E$14</f>
        <v>0.76006614019545371</v>
      </c>
      <c r="AP42" s="25">
        <f>AP34/'Standard Values'!$E$14</f>
        <v>13.757197137537711</v>
      </c>
      <c r="AQ42" s="25">
        <f>AQ34/'Standard Values'!$E$14</f>
        <v>0.38003307009772685</v>
      </c>
      <c r="AR42" s="25">
        <f>AR34/'Standard Values'!$E$14</f>
        <v>10.032873050579989</v>
      </c>
      <c r="AS42" s="25">
        <f>AS34/'Standard Values'!$E$14</f>
        <v>0.38003307009772685</v>
      </c>
      <c r="AT42" s="25">
        <f>AT34/'Standard Values'!$E$14</f>
        <v>19.761719645081797</v>
      </c>
      <c r="AU42" s="25">
        <f>AU34/'Standard Values'!$E$14</f>
        <v>0.76006614019545371</v>
      </c>
      <c r="AV42" s="25">
        <f>AV34/'Standard Values'!$E$14</f>
        <v>22.42195113576588</v>
      </c>
      <c r="AW42" s="25">
        <f>AW34/'Standard Values'!$E$14</f>
        <v>1.1400992102931804</v>
      </c>
      <c r="AX42" s="25">
        <f>AX34/'Standard Values'!$E$14</f>
        <v>133.3916076043021</v>
      </c>
      <c r="AY42" s="25">
        <f>AY34/'Standard Values'!$E$14</f>
        <v>6.6695803802151055</v>
      </c>
      <c r="AZ42" s="25">
        <f>AZ34/'Standard Values'!$E$14</f>
        <v>148.21289733811346</v>
      </c>
      <c r="BA42" s="25">
        <f>BA34/'Standard Values'!$E$14</f>
        <v>7.410644866905673</v>
      </c>
      <c r="BB42" s="25">
        <f>BB34/'Standard Values'!$E$14</f>
        <v>167.21455084299981</v>
      </c>
      <c r="BC42" s="25">
        <f>BC34/'Standard Values'!$E$14</f>
        <v>8.3607275421499914</v>
      </c>
      <c r="BD42" s="21">
        <f>BD34/'Standard Values'!$E14</f>
        <v>22.801984205863608</v>
      </c>
      <c r="BE42" s="21">
        <f>BE34/'Standard Values'!$E14</f>
        <v>1.1400992102931804</v>
      </c>
      <c r="BF42" s="21">
        <f>BF34/'Standard Values'!$E14</f>
        <v>24.512133021303381</v>
      </c>
      <c r="BG42" s="21">
        <f>BG34/'Standard Values'!$E14</f>
        <v>1.2256066510651691</v>
      </c>
      <c r="BH42" s="21">
        <f>BH34/'Standard Values'!$E14</f>
        <v>10.640925962736352</v>
      </c>
      <c r="BI42" s="21">
        <f>BI34/'Standard Values'!$E14</f>
        <v>0.53204629813681759</v>
      </c>
      <c r="BJ42" s="21">
        <f>BJ34/'Standard Values'!$E14</f>
        <v>8.3607275421499896</v>
      </c>
      <c r="BK42" s="21">
        <f>BK34/'Standard Values'!$E14</f>
        <v>0.41803637710749958</v>
      </c>
      <c r="BL42" s="21">
        <f>BL34/'Standard Values'!$E14</f>
        <v>9.1207936823454432</v>
      </c>
      <c r="BM42" s="21">
        <f>BM34/'Standard Values'!$E14</f>
        <v>0.45603968411727219</v>
      </c>
      <c r="BN42" s="21">
        <f>BN34/'Standard Values'!$E14</f>
        <v>11.400992102931804</v>
      </c>
      <c r="BO42" s="21">
        <f>BO34/'Standard Values'!$E14</f>
        <v>0.5700496051465902</v>
      </c>
      <c r="BP42" s="21">
        <f>BP34/'Standard Values'!$E14</f>
        <v>5.700496051465902</v>
      </c>
      <c r="BQ42" s="21">
        <f>BQ34/'Standard Values'!$E14</f>
        <v>0.2850248025732951</v>
      </c>
      <c r="BR42" s="21">
        <f>BR34/'Standard Values'!$E14</f>
        <v>5.3204629813681761</v>
      </c>
      <c r="BS42" s="21">
        <f>BS34/'Standard Values'!$E14</f>
        <v>0.26602314906840879</v>
      </c>
      <c r="BT42" s="21">
        <f>BT34/'Standard Values'!$E14</f>
        <v>3.4202976308795412</v>
      </c>
      <c r="BU42" s="21">
        <f>BU34/'Standard Values'!$E14</f>
        <v>0.17101488154397707</v>
      </c>
      <c r="BV42" s="21">
        <f>BV34/'Standard Values'!$E14</f>
        <v>3.0402645607818148</v>
      </c>
      <c r="BW42" s="21">
        <f>BW34/'Standard Values'!$E14</f>
        <v>0.15201322803909073</v>
      </c>
      <c r="BX42" s="25">
        <f>BX34/'Standard Values'!$E$14</f>
        <v>14.821289733811346</v>
      </c>
      <c r="BY42" s="25">
        <f>BY34/'Standard Values'!$E$14</f>
        <v>0.38003307009772685</v>
      </c>
      <c r="BZ42" s="25">
        <f>BZ34/'Standard Values'!$E$14</f>
        <v>15.5813558740068</v>
      </c>
      <c r="CA42" s="25">
        <f>CA34/'Standard Values'!$E$14</f>
        <v>0.76006614019545371</v>
      </c>
    </row>
    <row r="43" spans="1:79" x14ac:dyDescent="0.25">
      <c r="A43" t="s">
        <v>141</v>
      </c>
      <c r="B43" s="23">
        <f>B35/'Standard Values'!$E$16</f>
        <v>83.760740691400784</v>
      </c>
      <c r="C43" s="23">
        <f>C35/'Standard Values'!$E$16</f>
        <v>5.6617598081662566</v>
      </c>
      <c r="D43" s="23">
        <f>D35/'Standard Values'!$E$16</f>
        <v>41.797109172050888</v>
      </c>
      <c r="E43" s="23">
        <f>E35/'Standard Values'!$E$16</f>
        <v>6.9939385865583157</v>
      </c>
      <c r="F43" s="23">
        <f>F35/'Standard Values'!$E$16</f>
        <v>99.413841337507492</v>
      </c>
      <c r="G43" s="23">
        <f>G35/'Standard Values'!$E$16</f>
        <v>16.319190035302736</v>
      </c>
      <c r="H43" s="23">
        <f>H35/'Standard Values'!$E$16</f>
        <v>35.302737627389597</v>
      </c>
      <c r="I43" s="23">
        <f>I35/'Standard Values'!$E$16</f>
        <v>2.9974022513821352</v>
      </c>
      <c r="J43" s="23">
        <f>J35/'Standard Values'!$E$16</f>
        <v>104.57603410377673</v>
      </c>
      <c r="K43" s="23">
        <f>K35/'Standard Values'!$E$16</f>
        <v>7.1604609338573235</v>
      </c>
      <c r="L43" s="23">
        <f>L35/'Standard Values'!$E$16</f>
        <v>11.490041963631517</v>
      </c>
      <c r="M43" s="23">
        <f>M35/'Standard Values'!$E$16</f>
        <v>1.1656564310930528</v>
      </c>
      <c r="N43" s="23">
        <f>N35/'Standard Values'!$E$16</f>
        <v>63.944581362818887</v>
      </c>
      <c r="O43" s="25">
        <f>O35/'Standard Values'!$E$16</f>
        <v>5.4952374608672487</v>
      </c>
      <c r="P43" s="25">
        <f>P35/'Standard Values'!$E$16</f>
        <v>71.081729168054352</v>
      </c>
      <c r="Q43" s="32">
        <f>('Standard Values'!$B$40/100)*P43</f>
        <v>3.5540864584027179</v>
      </c>
      <c r="R43" s="25">
        <f>R35/'Standard Values'!$E$16</f>
        <v>74.174049157396922</v>
      </c>
      <c r="S43" s="32">
        <f>('Standard Values'!$B$40/100)*R43</f>
        <v>3.7087024578698462</v>
      </c>
      <c r="T43" s="25">
        <f>T35/'Standard Values'!$E$16</f>
        <v>133.69579697595418</v>
      </c>
      <c r="U43" s="32">
        <f>('Standard Values'!$B$40/100)*T43</f>
        <v>6.6847898487977098</v>
      </c>
      <c r="V43" s="25">
        <f>V35/'Standard Values'!$E$16</f>
        <v>132.66835409311929</v>
      </c>
      <c r="W43" s="32">
        <f>('Standard Values'!$B$40/100)*V43</f>
        <v>6.6334177046559653</v>
      </c>
      <c r="X43" s="25">
        <f>X35/'Standard Values'!$E$16</f>
        <v>129.46163325118229</v>
      </c>
      <c r="Y43" s="32">
        <f>('Standard Values'!$B$40/100)*X43</f>
        <v>6.4730816625591148</v>
      </c>
      <c r="Z43" s="25">
        <f>Z35/'Standard Values'!$E$16</f>
        <v>135.1328848331446</v>
      </c>
      <c r="AA43" s="25">
        <f>AA35/'Standard Values'!$E$16</f>
        <v>13.138613201891689</v>
      </c>
      <c r="AB43" s="25">
        <f>AB35/'Standard Values'!$E$16</f>
        <v>66.908679144741214</v>
      </c>
      <c r="AC43" s="25">
        <f>AC35/'Standard Values'!$E$16</f>
        <v>2.1314860454272981</v>
      </c>
      <c r="AD43" s="25">
        <f>AD35/'Standard Values'!$E$16</f>
        <v>72.487177779257976</v>
      </c>
      <c r="AE43" s="25">
        <f>AE35/'Standard Values'!$E$16</f>
        <v>6.2612402584426885</v>
      </c>
      <c r="AF43" s="25">
        <f>AF35/'Standard Values'!$E$16</f>
        <v>170.68540598148272</v>
      </c>
      <c r="AG43" s="25">
        <f>AG35/'Standard Values'!$E$16</f>
        <v>11.323519616332506</v>
      </c>
      <c r="AH43" s="25">
        <f>AH35/'Standard Values'!$E$16</f>
        <v>89.955372010923867</v>
      </c>
      <c r="AI43" s="25">
        <f>AI35/'Standard Values'!$E$16</f>
        <v>6.09471791114367</v>
      </c>
      <c r="AJ43" s="25">
        <f>AJ35/'Standard Values'!$E$16</f>
        <v>56.967295010990469</v>
      </c>
      <c r="AK43" s="25">
        <f>AK35/'Standard Values'!$E$16</f>
        <v>4.5960167854526119</v>
      </c>
      <c r="AL43" s="25">
        <f>AL35/'Standard Values'!$E$16</f>
        <v>179.5110903883301</v>
      </c>
      <c r="AM43" s="25">
        <f>AM35/'Standard Values'!$E$16</f>
        <v>1.4987011256910676</v>
      </c>
      <c r="AN43" s="25">
        <f>AN35/'Standard Values'!$E$16</f>
        <v>92.919469792846201</v>
      </c>
      <c r="AO43" s="25">
        <f>AO35/'Standard Values'!$E$16</f>
        <v>0.99913408379404511</v>
      </c>
      <c r="AP43" s="25">
        <f>AP35/'Standard Values'!$E$16</f>
        <v>52.121494704589352</v>
      </c>
      <c r="AQ43" s="25">
        <f>AQ35/'Standard Values'!$E$16</f>
        <v>2.8308799040831283</v>
      </c>
      <c r="AR43" s="25">
        <f>AR35/'Standard Values'!$E$16</f>
        <v>189.50243122627057</v>
      </c>
      <c r="AS43" s="25">
        <f>AS35/'Standard Values'!$E$16</f>
        <v>1.8317458202890828</v>
      </c>
      <c r="AT43" s="25">
        <f>AT35/'Standard Values'!$E$16</f>
        <v>99.080796642909476</v>
      </c>
      <c r="AU43" s="25">
        <f>AU35/'Standard Values'!$E$16</f>
        <v>15.4865782988077</v>
      </c>
      <c r="AV43" s="25">
        <f>AV35/'Standard Values'!$E$16</f>
        <v>109.74</v>
      </c>
      <c r="AW43" s="25">
        <f>AW35/'Standard Values'!$E$16</f>
        <v>5.487000000000001</v>
      </c>
      <c r="AX43" s="25">
        <f>AX35/'Standard Values'!$E$16</f>
        <v>153.20055951508692</v>
      </c>
      <c r="AY43" s="25">
        <f>AY35/'Standard Values'!$E$16</f>
        <v>7.6600279757543452</v>
      </c>
      <c r="AZ43" s="25">
        <f>AZ35/'Standard Values'!$E$16</f>
        <v>137.71398121627922</v>
      </c>
      <c r="BA43" s="25">
        <f>BA35/'Standard Values'!$E$16</f>
        <v>6.8856990608139608</v>
      </c>
      <c r="BB43" s="25">
        <f>BB35/'Standard Values'!$E$16</f>
        <v>113.06867381602611</v>
      </c>
      <c r="BC43" s="25">
        <f>BC35/'Standard Values'!$E$16</f>
        <v>5.6534336908013056</v>
      </c>
      <c r="BD43">
        <v>54.7</v>
      </c>
      <c r="BE43">
        <v>0.9</v>
      </c>
      <c r="BF43" s="21">
        <f>36.3*1.5</f>
        <v>54.449999999999996</v>
      </c>
      <c r="BG43" s="21">
        <f>0.89*1.5</f>
        <v>1.335</v>
      </c>
      <c r="BH43">
        <v>56</v>
      </c>
      <c r="BI43" s="32">
        <f>('Standard Values'!$B$40/100)*Data!BH43</f>
        <v>2.8000000000000003</v>
      </c>
      <c r="BJ43">
        <v>61</v>
      </c>
      <c r="BK43" s="32">
        <f>('Standard Values'!$B$40/100)*Data!BJ43</f>
        <v>3.0500000000000003</v>
      </c>
      <c r="BL43">
        <v>65</v>
      </c>
      <c r="BM43" s="32">
        <f>('Standard Values'!$B$40/100)*Data!BL43</f>
        <v>3.25</v>
      </c>
      <c r="BN43">
        <v>83</v>
      </c>
      <c r="BO43" s="32">
        <f>('Standard Values'!$B$40/100)*Data!BN43</f>
        <v>4.1500000000000004</v>
      </c>
      <c r="BP43">
        <v>40.700000000000003</v>
      </c>
      <c r="BQ43" s="32">
        <f>('Standard Values'!$B$40/100)*Data!BP43</f>
        <v>2.0350000000000001</v>
      </c>
      <c r="BR43">
        <v>63.2</v>
      </c>
      <c r="BS43" s="32">
        <f>('Standard Values'!$B$40/100)*Data!BR43</f>
        <v>3.16</v>
      </c>
      <c r="BT43">
        <v>81.099999999999994</v>
      </c>
      <c r="BU43" s="32">
        <f>('Standard Values'!$B$40/100)*Data!BT43</f>
        <v>4.0549999999999997</v>
      </c>
      <c r="BV43">
        <v>119.7</v>
      </c>
      <c r="BW43" s="32">
        <f>('Standard Values'!$B$40/100)*Data!BV43</f>
        <v>5.9850000000000003</v>
      </c>
      <c r="BX43" s="25">
        <f>BX35/'Standard Values'!$E$16</f>
        <v>77.4328914940385</v>
      </c>
      <c r="BY43" s="25">
        <f>BY35/'Standard Values'!$E$16</f>
        <v>7.6600279757543461</v>
      </c>
      <c r="BZ43" s="25">
        <f>BZ35/'Standard Values'!$E$16</f>
        <v>85.259441817091854</v>
      </c>
      <c r="CA43" s="25">
        <f>CA35/'Standard Values'!$E$16</f>
        <v>4.1630586824751878</v>
      </c>
    </row>
    <row r="44" spans="1:79" x14ac:dyDescent="0.25">
      <c r="A44" t="s">
        <v>142</v>
      </c>
      <c r="B44" s="23">
        <f>B36/'Standard Values'!$E$15</f>
        <v>103.97673005122863</v>
      </c>
      <c r="C44" s="23">
        <f>C36/'Standard Values'!$E$15</f>
        <v>9.3340279586697932</v>
      </c>
      <c r="D44" s="23">
        <f>D36/'Standard Values'!$E$15</f>
        <v>51.228618563862113</v>
      </c>
      <c r="E44" s="23">
        <f>E36/'Standard Values'!$E$15</f>
        <v>5.4267604410870893</v>
      </c>
      <c r="F44" s="23">
        <f>F36/'Standard Values'!$E$15</f>
        <v>210.34123469653557</v>
      </c>
      <c r="G44" s="23">
        <f>G36/'Standard Values'!$E$15</f>
        <v>8.4657462880958594</v>
      </c>
      <c r="H44" s="23">
        <f>H36/'Standard Values'!$E$15</f>
        <v>13.675436311539464</v>
      </c>
      <c r="I44" s="23">
        <f>I36/'Standard Values'!$E$15</f>
        <v>1.0853520882174179</v>
      </c>
      <c r="J44" s="23">
        <f>J36/'Standard Values'!$E$15</f>
        <v>84.223322045671623</v>
      </c>
      <c r="K44" s="23">
        <f>K36/'Standard Values'!$E$15</f>
        <v>3.2560562646522531</v>
      </c>
      <c r="L44" s="23">
        <f>L36/'Standard Values'!$E$15</f>
        <v>96.81340626899366</v>
      </c>
      <c r="M44" s="23">
        <f>M36/'Standard Values'!$E$15</f>
        <v>8.8998871233828254</v>
      </c>
      <c r="N44" s="23">
        <f>N36/'Standard Values'!$E$15</f>
        <v>250.71633237822351</v>
      </c>
      <c r="O44" s="25">
        <f>O36/'Standard Values'!$E$15</f>
        <v>8.8998871233828254</v>
      </c>
      <c r="P44" s="25">
        <f>P36/'Standard Values'!$E$15</f>
        <v>12.485890422853176</v>
      </c>
      <c r="Q44" s="32">
        <f>('Standard Values'!$B$40/100)*P44</f>
        <v>0.62429452114265882</v>
      </c>
      <c r="R44" s="25">
        <f>R36/'Standard Values'!$E$15</f>
        <v>14.270209255882609</v>
      </c>
      <c r="S44" s="32">
        <f>('Standard Values'!$B$40/100)*R44</f>
        <v>0.71351046279413044</v>
      </c>
      <c r="T44" s="25">
        <f>T36/'Standard Values'!$E$15</f>
        <v>63.291221672310506</v>
      </c>
      <c r="U44" s="32">
        <f>('Standard Values'!$B$40/100)*T44</f>
        <v>3.1645610836155256</v>
      </c>
      <c r="V44" s="25">
        <f>V36/'Standard Values'!$E$15</f>
        <v>113.14795519666581</v>
      </c>
      <c r="W44" s="32">
        <f>('Standard Values'!$B$40/100)*V44</f>
        <v>5.657397759833291</v>
      </c>
      <c r="X44" s="25">
        <f>X36/'Standard Values'!$E$15</f>
        <v>123.35460623426239</v>
      </c>
      <c r="Y44" s="32">
        <f>('Standard Values'!$B$40/100)*X44</f>
        <v>6.1677303117131199</v>
      </c>
      <c r="Z44" s="25">
        <f>Z36/'Standard Values'!$E$15</f>
        <v>92.580533124945731</v>
      </c>
      <c r="AA44" s="25">
        <f>AA36/'Standard Values'!$E$15</f>
        <v>8.3572110792741316</v>
      </c>
      <c r="AB44" s="25">
        <f>AB36/'Standard Values'!$E$15</f>
        <v>82.291395328644612</v>
      </c>
      <c r="AC44" s="25">
        <f>AC36/'Standard Values'!$E$15</f>
        <v>6.4252843622471092</v>
      </c>
      <c r="AD44" s="25">
        <f>AD36/'Standard Values'!$E$15</f>
        <v>82.703829122167235</v>
      </c>
      <c r="AE44" s="25">
        <f>AE36/'Standard Values'!$E$15</f>
        <v>5.1445688981505526</v>
      </c>
      <c r="AF44" s="25">
        <f>AF36/'Standard Values'!$E$15</f>
        <v>106.69011027177217</v>
      </c>
      <c r="AG44" s="25">
        <f>AG36/'Standard Values'!$E$15</f>
        <v>13.458365893895984</v>
      </c>
      <c r="AH44" s="25">
        <f>AH36/'Standard Values'!$E$15</f>
        <v>115.589997395155</v>
      </c>
      <c r="AI44" s="25">
        <f>AI36/'Standard Values'!$E$15</f>
        <v>12.242771555092475</v>
      </c>
      <c r="AJ44" s="25">
        <f>AJ36/'Standard Values'!$E$15</f>
        <v>96.835113310758018</v>
      </c>
      <c r="AK44" s="25">
        <f>AK36/'Standard Values'!$E$15</f>
        <v>4.0809238516974853</v>
      </c>
      <c r="AL44" s="25">
        <f>AL36/'Standard Values'!$E$15</f>
        <v>21.924112181991838</v>
      </c>
      <c r="AM44" s="25">
        <f>AM36/'Standard Values'!$E$15</f>
        <v>0.43414083528696712</v>
      </c>
      <c r="AN44" s="25">
        <f>AN36/'Standard Values'!$E$15</f>
        <v>1.3675436311539464</v>
      </c>
      <c r="AO44" s="25">
        <f>AO36/'Standard Values'!$E$15</f>
        <v>8.6828167057393421E-2</v>
      </c>
      <c r="AP44" s="25">
        <f>AP36/'Standard Values'!$E$15</f>
        <v>0.97681687939567596</v>
      </c>
      <c r="AQ44" s="25">
        <f>AQ36/'Standard Values'!$E$15</f>
        <v>0.19536337587913519</v>
      </c>
      <c r="AR44" s="25">
        <f>AR36/'Standard Values'!$E$15</f>
        <v>6.9028392810627768</v>
      </c>
      <c r="AS44" s="25">
        <f>AS36/'Standard Values'!$E$15</f>
        <v>0.13024225058609012</v>
      </c>
      <c r="AT44" s="25">
        <f>AT36/'Standard Values'!$E$15</f>
        <v>11.070591299817661</v>
      </c>
      <c r="AU44" s="25">
        <f>AU36/'Standard Values'!$E$15</f>
        <v>1.9536337587913519</v>
      </c>
      <c r="AV44" s="25">
        <f>AV36/'Standard Values'!$E$15</f>
        <v>9.44</v>
      </c>
      <c r="AW44" s="25">
        <f>AW37/'Standard Values'!$E$15</f>
        <v>0</v>
      </c>
      <c r="AX44" s="25">
        <f>AX36/'Standard Values'!$E$15</f>
        <v>174.0904749500738</v>
      </c>
      <c r="AY44" s="25">
        <f>AY36/'Standard Values'!$E$15</f>
        <v>8.704523747503691</v>
      </c>
      <c r="AZ44" s="25">
        <f>AZ36/'Standard Values'!$E$15</f>
        <v>230.96292437266652</v>
      </c>
      <c r="BA44" s="25">
        <f>BA36/'Standard Values'!$E$15</f>
        <v>11.548146218633326</v>
      </c>
      <c r="BB44" s="25">
        <f>BB36/'Standard Values'!$E$15</f>
        <v>270.68681080142403</v>
      </c>
      <c r="BC44" s="25">
        <f>BC36/'Standard Values'!$E$15</f>
        <v>13.5343405400712</v>
      </c>
      <c r="BD44">
        <v>0.2</v>
      </c>
      <c r="BE44" s="32">
        <f>('Standard Values'!$B$40/100)*Data!BD44</f>
        <v>1.0000000000000002E-2</v>
      </c>
      <c r="BF44">
        <v>0</v>
      </c>
      <c r="BG44">
        <v>0</v>
      </c>
      <c r="BH44">
        <v>0.2</v>
      </c>
      <c r="BI44" s="32">
        <f>('Standard Values'!$B$40/100)*Data!BH44</f>
        <v>1.0000000000000002E-2</v>
      </c>
      <c r="BJ44">
        <v>0.2</v>
      </c>
      <c r="BK44" s="32">
        <f>('Standard Values'!$B$40/100)*Data!BJ44</f>
        <v>1.0000000000000002E-2</v>
      </c>
      <c r="BL44">
        <v>0.4</v>
      </c>
      <c r="BM44" s="32">
        <f>('Standard Values'!$B$40/100)*Data!BL44</f>
        <v>2.0000000000000004E-2</v>
      </c>
      <c r="BN44">
        <v>6</v>
      </c>
      <c r="BO44" s="32">
        <f>('Standard Values'!$B$40/100)*Data!BN44</f>
        <v>0.30000000000000004</v>
      </c>
      <c r="BP44">
        <v>0.2</v>
      </c>
      <c r="BQ44" s="32">
        <f>('Standard Values'!$B$40/100)*Data!BP44</f>
        <v>1.0000000000000002E-2</v>
      </c>
      <c r="BR44">
        <v>0.26</v>
      </c>
      <c r="BS44" s="32">
        <f>('Standard Values'!$B$40/100)*Data!BR44</f>
        <v>1.3000000000000001E-2</v>
      </c>
      <c r="BT44">
        <v>0.55000000000000004</v>
      </c>
      <c r="BU44" s="32">
        <f>('Standard Values'!$B$40/100)*Data!BT44</f>
        <v>2.7500000000000004E-2</v>
      </c>
      <c r="BV44">
        <v>1.1200000000000001</v>
      </c>
      <c r="BW44" s="32">
        <f>('Standard Values'!$B$40/100)*Data!BV44</f>
        <v>5.6000000000000008E-2</v>
      </c>
      <c r="BX44" s="25">
        <f>BX36/'Standard Values'!$E$15</f>
        <v>14.977858817400364</v>
      </c>
      <c r="BY44" s="25">
        <f>BY36/'Standard Values'!$E$15</f>
        <v>2.8219154293652862</v>
      </c>
      <c r="BZ44" s="25">
        <f>BZ36/'Standard Values'!$E$15</f>
        <v>8.8998871233828254</v>
      </c>
      <c r="CA44" s="25">
        <f>CA37/'Standard Values'!$E$15</f>
        <v>0</v>
      </c>
    </row>
    <row r="45" spans="1:79" x14ac:dyDescent="0.25">
      <c r="A45" t="s">
        <v>143</v>
      </c>
      <c r="B45" s="23">
        <f>B37/'Standard Values'!$E$18</f>
        <v>0</v>
      </c>
      <c r="C45" s="23">
        <f>C37/'Standard Values'!$E$18</f>
        <v>0</v>
      </c>
      <c r="D45" s="23">
        <f>D37/'Standard Values'!$E$18</f>
        <v>0</v>
      </c>
      <c r="E45" s="23">
        <f>E37/'Standard Values'!$E$18</f>
        <v>0</v>
      </c>
      <c r="F45" s="23">
        <f>F37/'Standard Values'!$E$18</f>
        <v>0</v>
      </c>
      <c r="G45" s="23">
        <f>G37/'Standard Values'!$E$18</f>
        <v>0</v>
      </c>
      <c r="H45" s="23">
        <f>H37/'Standard Values'!$E$18</f>
        <v>0</v>
      </c>
      <c r="I45" s="23">
        <f>I37/'Standard Values'!$E$18</f>
        <v>0</v>
      </c>
      <c r="J45" s="23">
        <f>J37/'Standard Values'!$E$18</f>
        <v>2.4078738584791561</v>
      </c>
      <c r="K45" s="23">
        <f>K37/'Standard Values'!$E$18</f>
        <v>0.11096192896217319</v>
      </c>
      <c r="L45" s="23">
        <f>L37/'Standard Values'!$E$18</f>
        <v>0</v>
      </c>
      <c r="M45" s="23">
        <f>M37/'Standard Values'!$E$18</f>
        <v>0</v>
      </c>
      <c r="N45" s="23">
        <f>N37/'Standard Values'!$E$18</f>
        <v>0</v>
      </c>
      <c r="O45" s="25">
        <f>O37/'Standard Values'!$E$18</f>
        <v>0</v>
      </c>
      <c r="P45" s="25">
        <f>P37/'Standard Values'!$E$18</f>
        <v>0</v>
      </c>
      <c r="Q45" s="32">
        <f>('Standard Values'!$B$40/100)*P45</f>
        <v>0</v>
      </c>
      <c r="R45" s="25">
        <f>R37/'Standard Values'!$E$18</f>
        <v>0</v>
      </c>
      <c r="S45" s="32">
        <f>('Standard Values'!$B$40/100)*R45</f>
        <v>0</v>
      </c>
      <c r="T45" s="25">
        <f>T37/'Standard Values'!$E$18</f>
        <v>0.33099943409416233</v>
      </c>
      <c r="U45" s="32">
        <f>('Standard Values'!$B$40/100)*T45</f>
        <v>1.6549971704708118E-2</v>
      </c>
      <c r="V45" s="25">
        <f>V37/'Standard Values'!$E$18</f>
        <v>3.0991666759134944</v>
      </c>
      <c r="W45" s="32">
        <f>('Standard Values'!$B$40/100)*V45</f>
        <v>0.15495833379567472</v>
      </c>
      <c r="X45" s="25">
        <f>X37/'Standard Values'!$E$18</f>
        <v>3.0037394170060256</v>
      </c>
      <c r="Y45" s="32">
        <f>('Standard Values'!$B$40/100)*X45</f>
        <v>0.1501869708503013</v>
      </c>
      <c r="Z45" s="25">
        <f>Z37/'Standard Values'!$E$18</f>
        <v>2.8483927164589828</v>
      </c>
      <c r="AA45" s="25">
        <f>AA37/'Standard Values'!$E$18</f>
        <v>0.54704230978351343</v>
      </c>
      <c r="AB45" s="25">
        <f>AB37/'Standard Values'!$E$18</f>
        <v>4.3818865747162148</v>
      </c>
      <c r="AC45" s="25">
        <f>AC37/'Standard Values'!$E$18</f>
        <v>0.65689461945606498</v>
      </c>
      <c r="AD45" s="25">
        <f>AD37/'Standard Values'!$E$18</f>
        <v>1.8619411679852644</v>
      </c>
      <c r="AE45" s="25">
        <f>AE37/'Standard Values'!$E$18</f>
        <v>0.32844730972803221</v>
      </c>
      <c r="AF45" s="25">
        <f>AF37/'Standard Values'!$E$18</f>
        <v>3.6850456608337683</v>
      </c>
      <c r="AG45" s="25">
        <f>AG37/'Standard Values'!$E$18</f>
        <v>0.85995494945684159</v>
      </c>
      <c r="AH45" s="25">
        <f>AH37/'Standard Values'!$E$18</f>
        <v>6.1417427680562806</v>
      </c>
      <c r="AI45" s="25">
        <f>AI37/'Standard Values'!$E$18</f>
        <v>1.5967421577656711</v>
      </c>
      <c r="AJ45" s="25">
        <f>AJ37/'Standard Values'!$E$18</f>
        <v>7.7384849258219512</v>
      </c>
      <c r="AK45" s="25">
        <f>AK37/'Standard Values'!$E$18</f>
        <v>0.73678720830882949</v>
      </c>
      <c r="AL45" s="25">
        <f>AL37/'Standard Values'!$E$18</f>
        <v>6.3803109153249524</v>
      </c>
      <c r="AM45" s="25">
        <f>AM37/'Standard Values'!$E$18</f>
        <v>0.12205812185839039</v>
      </c>
      <c r="AN45" s="25">
        <f>AN37/'Standard Values'!$E$18</f>
        <v>0.77673350273521169</v>
      </c>
      <c r="AO45" s="25">
        <f>AO37/'Standard Values'!$E$18</f>
        <v>0.33288578688651926</v>
      </c>
      <c r="AP45" s="25">
        <f>AP37/'Standard Values'!$E$18</f>
        <v>0</v>
      </c>
      <c r="AQ45" s="25">
        <f>AQ37/'Standard Values'!$E$18</f>
        <v>0</v>
      </c>
      <c r="AR45" s="25">
        <f>AR37/'Standard Values'!$E$18</f>
        <v>0</v>
      </c>
      <c r="AS45" s="25">
        <f>AS37/'Standard Values'!$E$18</f>
        <v>0</v>
      </c>
      <c r="AT45" s="25">
        <f>AT37/'Standard Values'!$E$18</f>
        <v>0</v>
      </c>
      <c r="AU45" s="25">
        <f>AU37/'Standard Values'!$E$18</f>
        <v>0</v>
      </c>
      <c r="AV45" s="25">
        <f>AV37/'Standard Values'!$E$18</f>
        <v>0</v>
      </c>
      <c r="AW45" s="25">
        <v>0</v>
      </c>
      <c r="AX45" s="25">
        <f>AX37/'Standard Values'!$E$18</f>
        <v>5.2152106612221347</v>
      </c>
      <c r="AY45" s="25">
        <f>AY37/'Standard Values'!$E$18</f>
        <v>0.26076053306110675</v>
      </c>
      <c r="AZ45" s="25">
        <f>AZ37/'Standard Values'!$E$18</f>
        <v>9.764649748671232</v>
      </c>
      <c r="BA45" s="25">
        <f>BA37/'Standard Values'!$E$18</f>
        <v>0.48823248743356162</v>
      </c>
      <c r="BB45" s="25">
        <f>BB37/'Standard Values'!$E$18</f>
        <v>10.319459393482097</v>
      </c>
      <c r="BC45" s="25">
        <f>BC37/'Standard Values'!$E$18</f>
        <v>0.51597296967410489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BX45" s="25">
        <f>BX37/'Standard Values'!$E$18</f>
        <v>0</v>
      </c>
      <c r="BY45" s="25">
        <f>BY37/'Standard Values'!$E$18</f>
        <v>0</v>
      </c>
      <c r="BZ45" s="25">
        <f>BZ37/'Standard Values'!$E$18</f>
        <v>0</v>
      </c>
      <c r="CA45" s="25">
        <v>0</v>
      </c>
    </row>
    <row r="46" spans="1:79" x14ac:dyDescent="0.25">
      <c r="A46" t="s">
        <v>144</v>
      </c>
      <c r="B46" s="23">
        <f>B38/'Standard Values'!$E$19</f>
        <v>0</v>
      </c>
      <c r="C46" s="23">
        <f>C38/'Standard Values'!$E$19</f>
        <v>0</v>
      </c>
      <c r="D46" s="23">
        <f>D38/'Standard Values'!$E$19</f>
        <v>0</v>
      </c>
      <c r="E46" s="23">
        <f>E38/'Standard Values'!$E$19</f>
        <v>0</v>
      </c>
      <c r="F46" s="23">
        <f>F38/'Standard Values'!$E$19</f>
        <v>0</v>
      </c>
      <c r="G46" s="23">
        <f>G38/'Standard Values'!$E$19</f>
        <v>0</v>
      </c>
      <c r="H46" s="23">
        <f>H38/'Standard Values'!$E$19</f>
        <v>0</v>
      </c>
      <c r="I46" s="23">
        <f>I38/'Standard Values'!$E$19</f>
        <v>0</v>
      </c>
      <c r="J46" s="23">
        <f>J38/'Standard Values'!$E$19</f>
        <v>0</v>
      </c>
      <c r="K46" s="23">
        <f>K38/'Standard Values'!$E$19</f>
        <v>0</v>
      </c>
      <c r="L46" s="23">
        <f>L38/'Standard Values'!$E$19</f>
        <v>0</v>
      </c>
      <c r="M46" s="23">
        <f>M38/'Standard Values'!$E$19</f>
        <v>0</v>
      </c>
      <c r="N46" s="23">
        <f>N38/'Standard Values'!$E$19</f>
        <v>0</v>
      </c>
      <c r="O46" s="25">
        <f>O38/'Standard Values'!$E$19</f>
        <v>0</v>
      </c>
      <c r="P46" s="25">
        <f>P38/'Standard Values'!$E$19</f>
        <v>0</v>
      </c>
      <c r="Q46" s="32">
        <f>('Standard Values'!$B$40/100)*P46</f>
        <v>0</v>
      </c>
      <c r="R46" s="25">
        <f>R38/'Standard Values'!$E$19</f>
        <v>0</v>
      </c>
      <c r="S46" s="32">
        <f>('Standard Values'!$B$40/100)*R46</f>
        <v>0</v>
      </c>
      <c r="T46" s="25">
        <f>T38/'Standard Values'!$E$19</f>
        <v>0</v>
      </c>
      <c r="U46" s="32">
        <f>('Standard Values'!$B$40/100)*T46</f>
        <v>0</v>
      </c>
      <c r="V46" s="25">
        <f>V38/'Standard Values'!$E$19</f>
        <v>0</v>
      </c>
      <c r="W46" s="32">
        <f>('Standard Values'!$B$40/100)*V46</f>
        <v>0</v>
      </c>
      <c r="X46" s="25">
        <f>X38/'Standard Values'!$E$19</f>
        <v>0</v>
      </c>
      <c r="Y46" s="32">
        <f>('Standard Values'!$B$40/100)*X46</f>
        <v>0</v>
      </c>
      <c r="Z46" s="25">
        <f>Z38/'Standard Values'!$E$19</f>
        <v>0</v>
      </c>
      <c r="AA46" s="25">
        <f>AA38/'Standard Values'!$E$19</f>
        <v>0</v>
      </c>
      <c r="AB46" s="25">
        <f>AB38/'Standard Values'!$E$19</f>
        <v>0</v>
      </c>
      <c r="AC46" s="25">
        <f>AC38/'Standard Values'!$E$19</f>
        <v>0</v>
      </c>
      <c r="AD46" s="25">
        <f>AD38/'Standard Values'!$E$19</f>
        <v>0</v>
      </c>
      <c r="AE46" s="25">
        <f>AE38/'Standard Values'!$E$19</f>
        <v>0</v>
      </c>
      <c r="AF46" s="25">
        <f>AF38/'Standard Values'!$E$19</f>
        <v>0</v>
      </c>
      <c r="AG46" s="25">
        <f>AG38/'Standard Values'!$E$19</f>
        <v>0</v>
      </c>
      <c r="AH46" s="25">
        <f>AH38/'Standard Values'!$E$19</f>
        <v>0</v>
      </c>
      <c r="AI46" s="25">
        <f>AI38/'Standard Values'!$E$19</f>
        <v>0</v>
      </c>
      <c r="AJ46" s="25">
        <f>AJ38/'Standard Values'!$E$19</f>
        <v>0</v>
      </c>
      <c r="AK46" s="25">
        <f>AK38/'Standard Values'!$E$19</f>
        <v>0</v>
      </c>
      <c r="AL46" s="25">
        <f>AL38/'Standard Values'!$E$19</f>
        <v>0</v>
      </c>
      <c r="AM46" s="25">
        <f>AM38/'Standard Values'!$E$19</f>
        <v>0</v>
      </c>
      <c r="AN46" s="25">
        <f>AN38/'Standard Values'!$E$19</f>
        <v>0</v>
      </c>
      <c r="AO46" s="25">
        <f>AO38/'Standard Values'!$E$19</f>
        <v>0</v>
      </c>
      <c r="AP46" s="25">
        <f>AP38/'Standard Values'!$E$19</f>
        <v>0</v>
      </c>
      <c r="AQ46" s="25">
        <f>AQ38/'Standard Values'!$E$19</f>
        <v>0</v>
      </c>
      <c r="AR46" s="25">
        <f>AR38/'Standard Values'!$E$19</f>
        <v>0</v>
      </c>
      <c r="AS46" s="25">
        <f>AS38/'Standard Values'!$E$19</f>
        <v>0</v>
      </c>
      <c r="AT46" s="25">
        <f>AT38/'Standard Values'!$E$19</f>
        <v>0</v>
      </c>
      <c r="AU46" s="25">
        <f>AU38/'Standard Values'!$E$19</f>
        <v>0</v>
      </c>
      <c r="AV46" s="25">
        <f>AV38/'Standard Values'!$E$19</f>
        <v>0</v>
      </c>
      <c r="AW46" s="25">
        <f>AW38/'Standard Values'!$E$19</f>
        <v>0</v>
      </c>
      <c r="AX46" s="25">
        <f>AX38/'Standard Values'!$E$19</f>
        <v>0</v>
      </c>
      <c r="AY46" s="25">
        <f>AY38/'Standard Values'!$E$19</f>
        <v>0</v>
      </c>
      <c r="AZ46" s="25">
        <f>AZ38/'Standard Values'!$E$19</f>
        <v>0</v>
      </c>
      <c r="BA46" s="25">
        <f>BA38/'Standard Values'!$E$19</f>
        <v>0</v>
      </c>
      <c r="BB46" s="25">
        <f>BB38/'Standard Values'!$E$19</f>
        <v>0</v>
      </c>
      <c r="BC46" s="25">
        <f>BC38/'Standard Values'!$E$19</f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BX46" s="25">
        <f>BX38/'Standard Values'!$E$19</f>
        <v>0</v>
      </c>
      <c r="BY46" s="25">
        <f>BY38/'Standard Values'!$E$19</f>
        <v>0</v>
      </c>
      <c r="BZ46" s="25">
        <f>BZ38/'Standard Values'!$E$19</f>
        <v>0</v>
      </c>
      <c r="CA46" s="25">
        <f>CA38/'Standard Values'!$E$19</f>
        <v>0</v>
      </c>
    </row>
    <row r="47" spans="1:79" x14ac:dyDescent="0.25">
      <c r="A47" t="s">
        <v>145</v>
      </c>
      <c r="B47" s="23">
        <f>1/($B$73+1) * B$43</f>
        <v>30.594168798488738</v>
      </c>
      <c r="C47" s="23">
        <f>1/($B$73+1) * C$43</f>
        <v>2.0679955052656407</v>
      </c>
      <c r="D47" s="23">
        <f>1/($D$73+1) * D$43</f>
        <v>15.266672700637521</v>
      </c>
      <c r="E47" s="23">
        <f>1/($D$73+1) * E$43</f>
        <v>2.5545826829752025</v>
      </c>
      <c r="F47" s="23">
        <f>1/($F$73+1) * F$43</f>
        <v>36.311568136576099</v>
      </c>
      <c r="G47" s="23">
        <f>1/($F$73+1) * G$43</f>
        <v>5.9606929269421389</v>
      </c>
      <c r="H47" s="23">
        <f>1/($H$73+1) * H$43</f>
        <v>12.894560209303405</v>
      </c>
      <c r="I47" s="23">
        <f>1/($H$73+1) * I$43</f>
        <v>1.0948211498465155</v>
      </c>
      <c r="J47" s="23">
        <f>1/($J$73+1) * J$43</f>
        <v>38.197093450200654</v>
      </c>
      <c r="K47" s="23">
        <f>1/($J$73+1) * K$43</f>
        <v>2.6154060801888983</v>
      </c>
      <c r="L47" s="23">
        <f>1/($L$73+1) * L$43</f>
        <v>4.1968144077449754</v>
      </c>
      <c r="M47" s="23">
        <f>1/($L$73+1) * M$43</f>
        <v>0.42576378049586722</v>
      </c>
      <c r="N47" s="23">
        <f>1/($N$73+1) * N$43</f>
        <v>23.356184530058997</v>
      </c>
      <c r="O47" s="25">
        <f>1/($N$73+1) * O$43</f>
        <v>2.0071721080519453</v>
      </c>
      <c r="P47" s="25">
        <f>1/($N$73+1) * P$43</f>
        <v>25.963075334637978</v>
      </c>
      <c r="Q47" s="32">
        <f>('Standard Values'!$B$40/100)*P47</f>
        <v>1.298153766731899</v>
      </c>
      <c r="R47" s="25">
        <f>1/($N$73+1) * R$43</f>
        <v>27.092565820896301</v>
      </c>
      <c r="S47" s="32">
        <f>('Standard Values'!$B$40/100)*R47</f>
        <v>1.3546282910448151</v>
      </c>
      <c r="T47" s="25">
        <f>1/($N$73+1) * T$43</f>
        <v>48.833280920959552</v>
      </c>
      <c r="U47" s="32">
        <f>('Standard Values'!$B$40/100)*T47</f>
        <v>2.4416640460479777</v>
      </c>
      <c r="V47" s="25">
        <f>1/($N$73+1) * V$43</f>
        <v>48.458000560151049</v>
      </c>
      <c r="W47" s="32">
        <f>('Standard Values'!$B$40/100)*V47</f>
        <v>2.4229000280075526</v>
      </c>
      <c r="X47" s="25">
        <f>1/($N$73+1) * X$43</f>
        <v>47.286724400006911</v>
      </c>
      <c r="Y47" s="32">
        <f>('Standard Values'!$B$40/100)*X47</f>
        <v>2.3643362200003457</v>
      </c>
      <c r="Z47" s="25">
        <f>1/($Z$73+1) * Z$43</f>
        <v>49.358186838913738</v>
      </c>
      <c r="AA47" s="25">
        <f>1/($Z$73+1) * AA$43</f>
        <v>4.7989660401605576</v>
      </c>
      <c r="AB47" s="25">
        <f>1/($AB$73+1) * AB$43</f>
        <v>24.438841000462769</v>
      </c>
      <c r="AC47" s="25">
        <f>1/($AB$73+1) * AC$43</f>
        <v>0.77853948433530062</v>
      </c>
      <c r="AD47" s="25">
        <f>1/($AD$73+1) * AD$43</f>
        <v>26.476424807121568</v>
      </c>
      <c r="AE47" s="25">
        <f>1/($AD$73+1) * AE$43</f>
        <v>2.2869597352349453</v>
      </c>
      <c r="AF47" s="25">
        <f>1/($AF$73+1) * AF$43</f>
        <v>62.343982144037689</v>
      </c>
      <c r="AG47" s="25">
        <f>1/($AF$73+1) * AG$43</f>
        <v>4.1359910105312787</v>
      </c>
      <c r="AH47" s="25">
        <f>1/($AH$73+1) * AH$43</f>
        <v>32.856799174838201</v>
      </c>
      <c r="AI47" s="25">
        <f>1/($AH$73+1) * AI$43</f>
        <v>2.226136338021246</v>
      </c>
      <c r="AJ47" s="25">
        <f>1/($AJ$73+1) * AJ$43</f>
        <v>20.807684186805162</v>
      </c>
      <c r="AK47" s="25">
        <f>1/($AJ$73+1) * AK$43</f>
        <v>1.6787257630979919</v>
      </c>
      <c r="AL47" s="25">
        <f>1/($AL$73+1) * AL$43</f>
        <v>12.125979360938691</v>
      </c>
      <c r="AM47" s="25">
        <f>1/($AL$73+1) * AM$43</f>
        <v>0.10123730449763285</v>
      </c>
      <c r="AN47" s="25">
        <f>1/($AN$73+1) * AN$43</f>
        <v>6.276712878853238</v>
      </c>
      <c r="AO47" s="25">
        <f>1/($AN$73+1) * AO$43</f>
        <v>6.7491536331755239E-2</v>
      </c>
      <c r="AP47" s="25">
        <f>1/($AP$73+1) * AP$43</f>
        <v>3.5208084786398981</v>
      </c>
      <c r="AQ47" s="25">
        <f>1/($AP$73+1) * AQ$43</f>
        <v>0.19122601960663987</v>
      </c>
      <c r="AR47" s="25">
        <f>1/($AR$73+1) * AR$43</f>
        <v>12.800894724256246</v>
      </c>
      <c r="AS47" s="25">
        <f>1/($AR$73+1) * AS$43</f>
        <v>0.12373448327488462</v>
      </c>
      <c r="AT47" s="25">
        <f>1/($AT$73+1) * AT$43</f>
        <v>15.253974096267163</v>
      </c>
      <c r="AU47" s="25">
        <f>1/($AT$73+1) * AU$43</f>
        <v>2.3842346066434388</v>
      </c>
      <c r="AV47" s="25">
        <f>1/($AT$73+1) * AV$43</f>
        <v>16.895010678581912</v>
      </c>
      <c r="AW47" s="25">
        <f>1/($AT$73+1) * AW$43</f>
        <v>0.84475053392909571</v>
      </c>
      <c r="AX47" s="25">
        <f>1/($AX$73+1) * AX$43</f>
        <v>55.957525436599681</v>
      </c>
      <c r="AY47" s="25">
        <f>1/($AX$73+1) * AY$43</f>
        <v>2.7978762718299839</v>
      </c>
      <c r="AZ47" s="25">
        <f>1/($AZ$73+1) * AZ$43</f>
        <v>50.300949495726016</v>
      </c>
      <c r="BA47" s="25">
        <f>1/($AZ$73+1) * BA$43</f>
        <v>2.5150474747863005</v>
      </c>
      <c r="BB47" s="25">
        <f>1/($BB$73+1) * BB$43</f>
        <v>41.299086708099111</v>
      </c>
      <c r="BC47" s="25">
        <f>1/($BB$73+1) * BC$43</f>
        <v>2.0649543354049555</v>
      </c>
      <c r="BD47" s="25">
        <f>1/($BD$73+1) * BD$43</f>
        <v>1.9164546953096464</v>
      </c>
      <c r="BE47" s="25">
        <f>1/($BD$73+1) * BE$43</f>
        <v>3.1532161348787599E-2</v>
      </c>
      <c r="BF47" s="25">
        <f>1/($BF$73+1) * BF$43</f>
        <v>1.9076957616016497</v>
      </c>
      <c r="BG47" s="25">
        <f>1/($BF$73+1) * BG$43</f>
        <v>4.6772706000701603E-2</v>
      </c>
      <c r="BH47" s="25">
        <f>1/($BH$73+1) * BH$43</f>
        <v>1.9620011505912285</v>
      </c>
      <c r="BI47" s="25">
        <f>1/($BH$73+1) * BI$43</f>
        <v>9.8100057529561427E-2</v>
      </c>
      <c r="BJ47" s="25">
        <f>1/($BJ$73+1) * BJ$43</f>
        <v>2.1371798247511595</v>
      </c>
      <c r="BK47" s="25">
        <f>1/($BJ$73+1) * BK$43</f>
        <v>0.10685899123755799</v>
      </c>
      <c r="BL47" s="25">
        <f>1/($BL$73+1) * BL$43</f>
        <v>2.2773227640791043</v>
      </c>
      <c r="BM47" s="25">
        <f>1/($BL$73+1) * BM$43</f>
        <v>0.11386613820395522</v>
      </c>
      <c r="BN47" s="25">
        <f>1/($BN$73+1) * BN$43</f>
        <v>2.9079659910548563</v>
      </c>
      <c r="BO47" s="25">
        <f>1/($BN$73+1) * BO$43</f>
        <v>0.14539829955274283</v>
      </c>
      <c r="BP47" s="25">
        <f>1/($BP$73+1) * BP$43</f>
        <v>1.4259544076618393</v>
      </c>
      <c r="BQ47" s="25">
        <f>1/($BP$73+1) * BQ$43</f>
        <v>7.129772038309197E-2</v>
      </c>
      <c r="BR47" s="25">
        <f>1/($BR$73+1) * BR$43</f>
        <v>2.2142584413815292</v>
      </c>
      <c r="BS47" s="25">
        <f>1/($BR$73+1) * BS$43</f>
        <v>0.11071292206907647</v>
      </c>
      <c r="BT47" s="25">
        <f>1/($BT$73+1) * BT$43</f>
        <v>2.8413980948740822</v>
      </c>
      <c r="BU47" s="25">
        <f>1/($BT$73+1) * BU$43</f>
        <v>0.14206990474370412</v>
      </c>
      <c r="BV47" s="25">
        <f>1/($BV$73+1) * BV$43</f>
        <v>4.1937774593887509</v>
      </c>
      <c r="BW47" s="25">
        <f>1/($BV$73+1) * BW$43</f>
        <v>0.20968887296943756</v>
      </c>
      <c r="BX47" s="25">
        <f>1/($AT$73+1) * BX$43</f>
        <v>11.921173033217194</v>
      </c>
      <c r="BY47" s="25">
        <f>1/($AT$73+1) * BY$43</f>
        <v>1.1792988376946041</v>
      </c>
      <c r="BZ47" s="25">
        <f>1/($AT$73+1) * BZ$43</f>
        <v>13.126108802166028</v>
      </c>
      <c r="CA47" s="25">
        <f>1/($AT$73+1) * CA$43</f>
        <v>0.64092328135576304</v>
      </c>
    </row>
    <row r="48" spans="1:79" x14ac:dyDescent="0.25">
      <c r="A48" t="s">
        <v>146</v>
      </c>
      <c r="B48" s="23">
        <f>$B$73/($B$73+1) *B$43</f>
        <v>53.166571892912039</v>
      </c>
      <c r="C48" s="23">
        <f>$B$73/($B$73+1) *C$43</f>
        <v>3.5937643029006154</v>
      </c>
      <c r="D48" s="23">
        <f>$D$73/($D$73+1) *D$43</f>
        <v>26.530436471413363</v>
      </c>
      <c r="E48" s="23">
        <f>$D$73/($D$73+1) *E$43</f>
        <v>4.4393559035831123</v>
      </c>
      <c r="F48" s="23">
        <f>$F$73/($F$73+1) *F$43</f>
        <v>63.102273200931386</v>
      </c>
      <c r="G48" s="23">
        <f>$F$73/($F$73+1) *G$43</f>
        <v>10.358497108360595</v>
      </c>
      <c r="H48" s="23">
        <f>$H$73/($H$73+1) *H$43</f>
        <v>22.408177418086186</v>
      </c>
      <c r="I48" s="23">
        <f>$H$73/($H$73+1) *I$43</f>
        <v>1.9025811015356195</v>
      </c>
      <c r="J48" s="23">
        <f>$J$73/($J$73+1) *J$43</f>
        <v>66.378940653576066</v>
      </c>
      <c r="K48" s="23">
        <f>$J$73/($J$73+1) *K$43</f>
        <v>4.5450548536684243</v>
      </c>
      <c r="L48" s="23">
        <f>$L$73/($L$73+1) *L$43</f>
        <v>7.2932275558865411</v>
      </c>
      <c r="M48" s="23">
        <f>$L$73/($L$73+1) *M$43</f>
        <v>0.73989265059718556</v>
      </c>
      <c r="N48" s="23">
        <f>$N$73/($N$73+1) *N$43</f>
        <v>40.588396832759884</v>
      </c>
      <c r="O48" s="25">
        <f>$N$73/($N$73+1) *O$43</f>
        <v>3.4880653528153029</v>
      </c>
      <c r="P48" s="25">
        <f>$N$73/($N$73+1) *P$43</f>
        <v>45.118653833416367</v>
      </c>
      <c r="Q48" s="32">
        <f>('Standard Values'!$B$40/100)*P48</f>
        <v>2.2559326916708184</v>
      </c>
      <c r="R48" s="25">
        <f>$N$73/($N$73+1) *R$43</f>
        <v>47.081483336500611</v>
      </c>
      <c r="S48" s="32">
        <f>('Standard Values'!$B$40/100)*R48</f>
        <v>2.3540741668250305</v>
      </c>
      <c r="T48" s="25">
        <f>$N$73/($N$73+1) *T$43</f>
        <v>84.862516054994614</v>
      </c>
      <c r="U48" s="32">
        <f>('Standard Values'!$B$40/100)*T48</f>
        <v>4.2431258027497307</v>
      </c>
      <c r="V48" s="25">
        <f>$N$73/($N$73+1) *V$43</f>
        <v>84.210353532968227</v>
      </c>
      <c r="W48" s="32">
        <f>('Standard Values'!$B$40/100)*V48</f>
        <v>4.2105176766484114</v>
      </c>
      <c r="X48" s="25">
        <f>$N$73/($N$73+1) *X$43</f>
        <v>82.17490885117536</v>
      </c>
      <c r="Y48" s="32">
        <f>('Standard Values'!$B$40/100)*X48</f>
        <v>4.1087454425587682</v>
      </c>
      <c r="Z48" s="25">
        <f>$Z$73/($Z$73+1) *Z$43</f>
        <v>85.774697994230849</v>
      </c>
      <c r="AA48" s="25">
        <f>$Z$73/($Z$73+1) *AA$43</f>
        <v>8.3396471617311292</v>
      </c>
      <c r="AB48" s="25">
        <f>$AB$73/($AB$73+1) *AB$43</f>
        <v>42.469838144278434</v>
      </c>
      <c r="AC48" s="25">
        <f>$AB$73/($AB$73+1) *AC$43</f>
        <v>1.3529465610919973</v>
      </c>
      <c r="AD48" s="25">
        <f>$AD$73/($AD$73+1) *AD$43</f>
        <v>46.010752972136402</v>
      </c>
      <c r="AE48" s="25">
        <f>$AD$73/($AD$73+1) *AE$43</f>
        <v>3.9742805232077423</v>
      </c>
      <c r="AF48" s="25">
        <f>$AF$73/($AF$73+1) *AF$43</f>
        <v>108.34142383744501</v>
      </c>
      <c r="AG48" s="25">
        <f>$AF$73/($AF$73+1) *AG$43</f>
        <v>7.1875286058012264</v>
      </c>
      <c r="AH48" s="25">
        <f>$AH$73/($AH$73+1) *AH$43</f>
        <v>57.098572836085651</v>
      </c>
      <c r="AI48" s="25">
        <f>$AH$73/($AH$73+1) *AI$43</f>
        <v>3.8685815731224231</v>
      </c>
      <c r="AJ48" s="25">
        <f>$AJ$73/($AJ$73+1) *AJ$43</f>
        <v>36.1596108241853</v>
      </c>
      <c r="AK48" s="25">
        <f>$AJ$73/($AJ$73+1) *AK$43</f>
        <v>2.9172910223546196</v>
      </c>
      <c r="AL48" s="25">
        <f>$AL$73/($AL$73+1) *AL$43</f>
        <v>167.38511102739142</v>
      </c>
      <c r="AM48" s="25">
        <f>$AL$73/($AL$73+1) *AM$43</f>
        <v>1.3974638211934347</v>
      </c>
      <c r="AN48" s="25">
        <f>$AN$73/($AN$73+1) *AN$43</f>
        <v>86.642756913992955</v>
      </c>
      <c r="AO48" s="25">
        <f>$AN$73/($AN$73+1) *AO$43</f>
        <v>0.93164254746228981</v>
      </c>
      <c r="AP48" s="25">
        <f>$AP$73/($AP$73+1) *AP$43</f>
        <v>48.600686225949453</v>
      </c>
      <c r="AQ48" s="25">
        <f>$AP$73/($AP$73+1) *AQ$43</f>
        <v>2.6396538844764881</v>
      </c>
      <c r="AR48" s="25">
        <f>$AR$73/($AR$73+1) *AR$43</f>
        <v>176.70153650201431</v>
      </c>
      <c r="AS48" s="25">
        <f>$AR$73/($AR$73+1) *AS$43</f>
        <v>1.708011337014198</v>
      </c>
      <c r="AT48" s="25">
        <f>AT$73/(AT$73+1) *AT$43</f>
        <v>83.826822546642305</v>
      </c>
      <c r="AU48" s="25">
        <f>AT$73/(AT$73+1) *AU$43</f>
        <v>13.102343692164261</v>
      </c>
      <c r="AV48" s="25">
        <f>AV$73/(AV$73+1) *AV$43</f>
        <v>92.844989321418083</v>
      </c>
      <c r="AW48" s="25">
        <f>AV$73/(AV$73+1) *AW$43</f>
        <v>4.6422494660709051</v>
      </c>
      <c r="AX48" s="25">
        <f>AX$73/(AX$73+1) *AX$43</f>
        <v>97.243034078487227</v>
      </c>
      <c r="AY48" s="25">
        <f>AX$73/(AX$73+1) *AY$43</f>
        <v>4.8621517039243605</v>
      </c>
      <c r="AZ48" s="25">
        <f>AZ$73/(AZ$73+1) *AZ$43</f>
        <v>87.413031720553192</v>
      </c>
      <c r="BA48" s="25">
        <f>AZ$73/(AZ$73+1) *BA$43</f>
        <v>4.3706515860276589</v>
      </c>
      <c r="BB48" s="25">
        <f>BB$73/(BA$73+1) *BB$43</f>
        <v>196.4908350630831</v>
      </c>
      <c r="BC48" s="25">
        <f>BB$73/(BB$73+1) *BC$43</f>
        <v>3.5884793553963492</v>
      </c>
      <c r="BD48" s="25">
        <f>BD$73/(BD$73+1) *BD$43</f>
        <v>52.783545304690357</v>
      </c>
      <c r="BE48" s="25">
        <f>BD$73/(BD$73+1) *BE$43</f>
        <v>0.86846783865121246</v>
      </c>
      <c r="BF48" s="25">
        <f>BF$73/(BF$73+1) *BF$43</f>
        <v>52.542304238398351</v>
      </c>
      <c r="BG48" s="25">
        <f>BF$73/(BF$73+1) *BG$43</f>
        <v>1.2882272939992985</v>
      </c>
      <c r="BH48" s="25">
        <f>BH$73/(BH$73+1) *BH$43</f>
        <v>54.037998849408773</v>
      </c>
      <c r="BI48" s="25">
        <f>BH$73/(BH$73+1) *BI$43</f>
        <v>2.7018999424704391</v>
      </c>
      <c r="BJ48" s="25">
        <f>BJ$73/(BJ$73+1) *BJ$43</f>
        <v>58.862820175248842</v>
      </c>
      <c r="BK48" s="25">
        <f>BJ$73/(BJ$73+1) *BK$43</f>
        <v>2.9431410087624426</v>
      </c>
      <c r="BL48" s="25">
        <f>BL$73/(BL$73+1) *BL$43</f>
        <v>62.722677235920898</v>
      </c>
      <c r="BM48" s="25">
        <f>BL$73/(BL$73+1) *BM$43</f>
        <v>3.1361338617960448</v>
      </c>
      <c r="BN48" s="25">
        <f>BN$73/(BN$73+1) *BN$43</f>
        <v>80.092034008945149</v>
      </c>
      <c r="BO48" s="25">
        <f>BN$73/(BN$73+1) *BO$43</f>
        <v>4.0046017004472576</v>
      </c>
      <c r="BP48" s="25">
        <f>BP$73/(BP$73+1) *BP$43</f>
        <v>39.274045592338162</v>
      </c>
      <c r="BQ48" s="25">
        <f>BP$73/(BP$73+1) *BQ$43</f>
        <v>1.9637022796169084</v>
      </c>
      <c r="BR48" s="25">
        <f>BR$73/(BR$73+1) *BR$43</f>
        <v>60.985741558618479</v>
      </c>
      <c r="BS48" s="25">
        <f>BR$73/(BR$73+1) *BS$43</f>
        <v>3.0492870779309236</v>
      </c>
      <c r="BT48" s="25">
        <f>BT$73/(BT$73+1) *BT$43</f>
        <v>78.258601905125914</v>
      </c>
      <c r="BU48" s="25">
        <f>BT$73/(BT$73+1) *BU$43</f>
        <v>3.9129300952562955</v>
      </c>
      <c r="BV48" s="25">
        <f>BV$73/(BV$73+1) *BV$43</f>
        <v>115.50622254061126</v>
      </c>
      <c r="BW48" s="25">
        <f>BV$73/(BV$73+1) *BW$43</f>
        <v>5.7753111270305633</v>
      </c>
      <c r="BX48" s="25">
        <f>BX$73/(BX$73+1) *BX$43</f>
        <v>65.511718460821299</v>
      </c>
      <c r="BY48" s="25">
        <f>BX$73/(BX$73+1) *BY$43</f>
        <v>6.4807291380597416</v>
      </c>
      <c r="BZ48" s="25">
        <f>BZ$73/(BZ$73+1) *BZ$43</f>
        <v>72.133333014925825</v>
      </c>
      <c r="CA48" s="25">
        <f>BZ$73/(BZ$73+1) *CA$43</f>
        <v>3.5221354011194244</v>
      </c>
    </row>
    <row r="49" spans="1:79" x14ac:dyDescent="0.25">
      <c r="A49" t="s">
        <v>147</v>
      </c>
      <c r="B49">
        <v>5000</v>
      </c>
      <c r="D49">
        <v>5000</v>
      </c>
      <c r="F49">
        <v>5000</v>
      </c>
      <c r="H49">
        <v>5000</v>
      </c>
      <c r="J49">
        <v>5000</v>
      </c>
      <c r="L49">
        <v>5000</v>
      </c>
      <c r="N49">
        <v>5000</v>
      </c>
      <c r="P49">
        <v>5000</v>
      </c>
      <c r="R49">
        <v>5000</v>
      </c>
      <c r="T49">
        <v>5000</v>
      </c>
      <c r="V49">
        <v>5000</v>
      </c>
      <c r="X49">
        <v>5000</v>
      </c>
      <c r="Z49">
        <v>5000</v>
      </c>
      <c r="AB49">
        <v>5000</v>
      </c>
      <c r="AD49">
        <v>5000</v>
      </c>
      <c r="AF49">
        <v>5000</v>
      </c>
      <c r="AH49">
        <v>5000</v>
      </c>
      <c r="AJ49">
        <v>5000</v>
      </c>
      <c r="AL49">
        <v>2000</v>
      </c>
      <c r="AN49">
        <v>2000</v>
      </c>
      <c r="AP49">
        <v>2000</v>
      </c>
      <c r="AR49">
        <v>2000</v>
      </c>
      <c r="AT49">
        <v>2000</v>
      </c>
      <c r="AV49">
        <v>2000</v>
      </c>
      <c r="BD49">
        <v>3000</v>
      </c>
      <c r="BF49">
        <v>3000</v>
      </c>
      <c r="BH49">
        <v>3000</v>
      </c>
      <c r="BJ49">
        <v>3000</v>
      </c>
      <c r="BL49">
        <v>3000</v>
      </c>
      <c r="BN49">
        <v>3000</v>
      </c>
      <c r="BP49">
        <v>3000</v>
      </c>
      <c r="BR49">
        <v>3000</v>
      </c>
      <c r="BT49">
        <v>3000</v>
      </c>
      <c r="BV49">
        <v>3000</v>
      </c>
      <c r="BX49">
        <v>2000</v>
      </c>
      <c r="BZ49">
        <v>2000</v>
      </c>
    </row>
    <row r="50" spans="1:79" x14ac:dyDescent="0.25">
      <c r="A50" s="1" t="s">
        <v>148</v>
      </c>
    </row>
    <row r="51" spans="1:79" x14ac:dyDescent="0.25">
      <c r="A51" t="s">
        <v>149</v>
      </c>
      <c r="B51" s="6">
        <f>-89/24</f>
        <v>-3.7083333333333335</v>
      </c>
      <c r="C51" s="6">
        <f>2/24</f>
        <v>8.3333333333333329E-2</v>
      </c>
      <c r="D51">
        <v>0</v>
      </c>
      <c r="E51" s="6">
        <v>0</v>
      </c>
      <c r="F51" s="6">
        <f>-36/24</f>
        <v>-1.5</v>
      </c>
      <c r="G51" s="6">
        <f>4/24</f>
        <v>0.16666666666666666</v>
      </c>
      <c r="H51" s="6">
        <f>-523/24</f>
        <v>-21.791666666666668</v>
      </c>
      <c r="I51" s="5">
        <f>12/24</f>
        <v>0.5</v>
      </c>
      <c r="J51" s="5">
        <v>-30.84</v>
      </c>
      <c r="K51" s="5">
        <f>31.7-30.84</f>
        <v>0.85999999999999943</v>
      </c>
      <c r="L51" s="5">
        <f>-481/24</f>
        <v>-20.041666666666668</v>
      </c>
      <c r="M51" s="5">
        <f>30/24</f>
        <v>1.25</v>
      </c>
      <c r="N51" s="5">
        <v>-20.59</v>
      </c>
      <c r="O51" s="5">
        <f>21.39-20.59</f>
        <v>0.80000000000000071</v>
      </c>
      <c r="P51">
        <v>-19.3</v>
      </c>
      <c r="Q51" s="31">
        <f>('Standard Values'!$B$39/100)*-Data!P51</f>
        <v>0.96500000000000008</v>
      </c>
      <c r="R51">
        <f>-18.3</f>
        <v>-18.3</v>
      </c>
      <c r="S51" s="31">
        <f>('Standard Values'!$B$39/100)*-Data!R51</f>
        <v>0.91500000000000004</v>
      </c>
      <c r="T51">
        <v>-24.6</v>
      </c>
      <c r="U51" s="31">
        <f>('Standard Values'!$B$39/100)*-Data!T51</f>
        <v>1.2300000000000002</v>
      </c>
      <c r="V51">
        <v>-31.6</v>
      </c>
      <c r="W51" s="31">
        <f>('Standard Values'!$B$39/100)*-Data!V51</f>
        <v>1.58</v>
      </c>
      <c r="X51">
        <v>-29.6</v>
      </c>
      <c r="Y51" s="31">
        <f>('Standard Values'!$B$39/100)*-Data!X51</f>
        <v>1.4800000000000002</v>
      </c>
      <c r="Z51">
        <v>-31.61</v>
      </c>
      <c r="AA51">
        <f>32.95-31.61</f>
        <v>1.3400000000000034</v>
      </c>
      <c r="AB51">
        <v>-56.11</v>
      </c>
      <c r="AC51">
        <f>57.17-56.11</f>
        <v>1.0600000000000023</v>
      </c>
      <c r="AD51">
        <v>-69.53</v>
      </c>
      <c r="AE51">
        <f>70.6-69.53</f>
        <v>1.0699999999999932</v>
      </c>
      <c r="AF51">
        <v>-24.67</v>
      </c>
      <c r="AG51">
        <f>25.04-24.67</f>
        <v>0.36999999999999744</v>
      </c>
      <c r="AH51">
        <v>-54.53</v>
      </c>
      <c r="AI51">
        <f>56.86-54.53</f>
        <v>2.3299999999999983</v>
      </c>
      <c r="AJ51">
        <v>-72.48</v>
      </c>
      <c r="AK51">
        <f>74.01-72.48</f>
        <v>1.5300000000000011</v>
      </c>
      <c r="AL51">
        <v>-16.8</v>
      </c>
      <c r="AM51" s="7">
        <v>1</v>
      </c>
      <c r="AN51">
        <v>-21.6</v>
      </c>
      <c r="AO51">
        <v>1.4</v>
      </c>
      <c r="AP51">
        <v>-27.3</v>
      </c>
      <c r="AQ51">
        <v>1.6</v>
      </c>
      <c r="AR51">
        <v>-31</v>
      </c>
      <c r="AS51">
        <v>2</v>
      </c>
      <c r="AT51">
        <v>-10.8</v>
      </c>
      <c r="AU51">
        <v>0.54</v>
      </c>
      <c r="AV51">
        <v>-9.85</v>
      </c>
      <c r="AW51">
        <v>0.46</v>
      </c>
      <c r="AX51">
        <v>-40.700000000000003</v>
      </c>
      <c r="AY51" s="31">
        <f>'Standard Values'!$B$39/100*Data!AX51*-1</f>
        <v>2.0350000000000001</v>
      </c>
      <c r="AZ51">
        <v>-42.6</v>
      </c>
      <c r="BA51" s="31">
        <f>'Standard Values'!$B$39/100*Data!AZ51*-1</f>
        <v>2.1300000000000003</v>
      </c>
      <c r="BB51">
        <v>-42.9</v>
      </c>
      <c r="BC51" s="31">
        <f>'Standard Values'!$B$39/100*Data!BB51*-1</f>
        <v>2.145</v>
      </c>
      <c r="BD51">
        <f>-147/BD34/24</f>
        <v>-10.208333333333334</v>
      </c>
      <c r="BE51">
        <f>SQRT(0.3^2 * (1/(24*BD$34))^2   + BD51^2 * (1/(24*BD$34^2))^2 *BE$34^2 )</f>
        <v>4.111469893380932E-2</v>
      </c>
      <c r="BF51">
        <f>-113/BF34/24</f>
        <v>-7.2997416020671828</v>
      </c>
      <c r="BG51">
        <f>SQRT(0.9^2 * (1/(24*BF$34))^2   + BF51^2 * (1/(24*BF$34^2))^2 *BG$34^2 )</f>
        <v>6.2738556758660288E-2</v>
      </c>
      <c r="BH51">
        <f>-114/BH34/24</f>
        <v>-16.964285714285712</v>
      </c>
      <c r="BI51">
        <f>SQRT(7.79^2 * (1/(24*BH$34))^2   + BH51^2 * (1/(24*BH$34^2))^2 *BI$34^2 )</f>
        <v>1.1660778043706823</v>
      </c>
      <c r="BJ51">
        <f>-105.95/BJ34/24</f>
        <v>-20.066287878787879</v>
      </c>
      <c r="BK51">
        <f>SQRT(5.18^2 * (1/(24*BJ$34))^2   + BJ51^2 * (1/(24*BJ$34^2))^2 *BK$34^2 )</f>
        <v>0.99929382372280851</v>
      </c>
      <c r="BL51">
        <f>-106.39/BL34/24</f>
        <v>-18.470486111111111</v>
      </c>
      <c r="BM51">
        <f>SQRT(6.61^2 * (1/(24*BL$34))^2   + BL51^2 * (1/(24*BL$34^2))^2 *BM$34^2 )</f>
        <v>1.1587159476320013</v>
      </c>
      <c r="BN51">
        <f>-106.49/BN34/24</f>
        <v>-14.790277777777776</v>
      </c>
      <c r="BO51">
        <f>SQRT(5.84^2 * (1/(24*BN$34))^2   + BN51^2 * (1/(24*BN$34^2))^2 *BO$34^2 )</f>
        <v>0.81758830260652549</v>
      </c>
      <c r="BP51">
        <f>-118.57/BP$34/24</f>
        <v>-32.93611111111111</v>
      </c>
      <c r="BQ51">
        <f>SQRT(11^2 * (1/(24*BP$34))^2   + BP51^2 * (1/(24*BP$34^2))^2 *BQ$34^2 )</f>
        <v>3.0896078367177053</v>
      </c>
      <c r="BR51">
        <f>-109.4/BR$34/24</f>
        <v>-32.55952380952381</v>
      </c>
      <c r="BS51">
        <f>SQRT(2.35^2 * (1/(24*BR$34))^2   + BR51^2 * (1/(24*BR$34^2))^2 *BS$34^2 )</f>
        <v>0.85083692690591439</v>
      </c>
      <c r="BT51">
        <f>-104.63/BT$34/24</f>
        <v>-48.439814814814817</v>
      </c>
      <c r="BU51">
        <f>SQRT(3.18^2 * (1/(24*BT$34))^2   + BT51^2 * (1/(24*BT$34^2))^2 *BU$34^2 )</f>
        <v>1.8506036967440291</v>
      </c>
      <c r="BV51">
        <f>-104.99/BV$34/24</f>
        <v>-54.682291666666664</v>
      </c>
      <c r="BW51">
        <f>SQRT(2.84^2 * (1/(24*BV$34))^2   + BV51^2 * (1/(24*BV$34^2))^2 *BW$34^2 )</f>
        <v>2.0532319222906419</v>
      </c>
      <c r="BX51">
        <v>-8.61</v>
      </c>
      <c r="BY51">
        <v>0.68</v>
      </c>
      <c r="BZ51">
        <v>-15.9</v>
      </c>
      <c r="CA51">
        <v>0.6</v>
      </c>
    </row>
    <row r="52" spans="1:79" x14ac:dyDescent="0.25">
      <c r="A52" t="s">
        <v>150</v>
      </c>
      <c r="B52" s="6">
        <f>-944/24</f>
        <v>-39.333333333333336</v>
      </c>
      <c r="C52" s="6">
        <f>23/24</f>
        <v>0.95833333333333337</v>
      </c>
      <c r="D52" s="6">
        <f>-459/24</f>
        <v>-19.125</v>
      </c>
      <c r="E52" s="6">
        <f>77/24</f>
        <v>3.2083333333333335</v>
      </c>
      <c r="F52" s="6">
        <f>-538/24</f>
        <v>-22.416666666666668</v>
      </c>
      <c r="G52" s="6">
        <f>20/24</f>
        <v>0.83333333333333337</v>
      </c>
      <c r="H52" s="6">
        <f>394/24</f>
        <v>16.416666666666668</v>
      </c>
      <c r="I52" s="5">
        <f>6/24</f>
        <v>0.25</v>
      </c>
      <c r="J52" s="5">
        <v>21.12</v>
      </c>
      <c r="K52" s="5">
        <f>21.59-21.12</f>
        <v>0.46999999999999886</v>
      </c>
      <c r="L52" s="5">
        <f>51/24</f>
        <v>2.125</v>
      </c>
      <c r="M52" s="5">
        <f>4/24</f>
        <v>0.16666666666666666</v>
      </c>
      <c r="N52" s="5">
        <v>4.4240000000000004</v>
      </c>
      <c r="O52" s="5">
        <f>4.491-4.424</f>
        <v>6.6999999999999282E-2</v>
      </c>
      <c r="P52">
        <v>5.7</v>
      </c>
      <c r="Q52" s="31">
        <f>('Standard Values'!$B$39/100)*Data!P52</f>
        <v>0.28500000000000003</v>
      </c>
      <c r="R52">
        <v>5.6</v>
      </c>
      <c r="S52" s="31">
        <f>('Standard Values'!$B$39/100)*Data!R52</f>
        <v>0.27999999999999997</v>
      </c>
      <c r="T52">
        <v>8.6999999999999993</v>
      </c>
      <c r="U52" s="31">
        <f>('Standard Values'!$B$39/100)*Data!T52</f>
        <v>0.435</v>
      </c>
      <c r="V52">
        <v>12.9</v>
      </c>
      <c r="W52" s="31">
        <f>('Standard Values'!$B$39/100)*Data!V52</f>
        <v>0.64500000000000002</v>
      </c>
      <c r="X52">
        <v>12.2</v>
      </c>
      <c r="Y52" s="31">
        <f>('Standard Values'!$B$39/100)*Data!X52</f>
        <v>0.61</v>
      </c>
      <c r="Z52">
        <v>23.72</v>
      </c>
      <c r="AA52">
        <f>25.14-23.72</f>
        <v>1.4200000000000017</v>
      </c>
      <c r="AB52">
        <v>40.409999999999997</v>
      </c>
      <c r="AC52">
        <f>41.41-40.41</f>
        <v>1</v>
      </c>
      <c r="AD52">
        <v>43.18</v>
      </c>
      <c r="AE52">
        <f>44.03-43.18</f>
        <v>0.85000000000000142</v>
      </c>
      <c r="AF52">
        <v>9.7810000000000006</v>
      </c>
      <c r="AG52">
        <f>12.19-9.781</f>
        <v>2.4089999999999989</v>
      </c>
      <c r="AH52">
        <v>28.39</v>
      </c>
      <c r="AI52">
        <f>30.22-28.39</f>
        <v>1.8299999999999983</v>
      </c>
      <c r="AJ52">
        <v>34.380000000000003</v>
      </c>
      <c r="AK52">
        <f>35.18-34.38</f>
        <v>0.79999999999999716</v>
      </c>
      <c r="AL52">
        <v>8.5</v>
      </c>
      <c r="AM52">
        <v>0.6</v>
      </c>
      <c r="AN52">
        <v>9.9</v>
      </c>
      <c r="AO52">
        <v>0.7</v>
      </c>
      <c r="AP52">
        <v>13.4</v>
      </c>
      <c r="AQ52">
        <v>0.8</v>
      </c>
      <c r="AR52">
        <v>16.399999999999999</v>
      </c>
      <c r="AS52">
        <v>1.6</v>
      </c>
      <c r="AT52">
        <v>6.26</v>
      </c>
      <c r="AU52">
        <v>0.35</v>
      </c>
      <c r="AV52">
        <v>6.16</v>
      </c>
      <c r="AW52">
        <v>0.76</v>
      </c>
      <c r="AX52">
        <f>92.9/AX34</f>
        <v>26.467236467236471</v>
      </c>
      <c r="AY52" s="31">
        <f>'Standard Values'!$B$39/100*Data!AX52</f>
        <v>1.3233618233618236</v>
      </c>
      <c r="AZ52">
        <f>111.4/AZ34</f>
        <v>28.564102564102566</v>
      </c>
      <c r="BA52" s="31">
        <f>'Standard Values'!$B$39/100*Data!AZ52</f>
        <v>1.4282051282051285</v>
      </c>
      <c r="BB52">
        <f>128.9/BB34</f>
        <v>29.295454545454543</v>
      </c>
      <c r="BC52" s="31">
        <f>'Standard Values'!$B$39/100*Data!BB52</f>
        <v>1.4647727272727273</v>
      </c>
      <c r="BD52" s="21">
        <f>2*BD54+4*BD55</f>
        <v>5.1111111111111107</v>
      </c>
      <c r="BE52" s="21">
        <f>SQRT(BE51^2 +BE54^2+(BE58/'Standard Values'!E14)^2)</f>
        <v>0.21930038677701094</v>
      </c>
      <c r="BF52" s="21">
        <f>2*BF54+4*BF55</f>
        <v>4.6899224806201545</v>
      </c>
      <c r="BG52" s="21">
        <f>SQRT(BG51^2 +BG54^2+(BG58/'Standard Values'!$E14)^2)</f>
        <v>0.23691621167660087</v>
      </c>
      <c r="BH52" s="21">
        <f>0.5*BH51*-1</f>
        <v>8.4821428571428559</v>
      </c>
      <c r="BI52" s="32">
        <f>BH52*('Standard Values'!$B$39/100)</f>
        <v>0.42410714285714279</v>
      </c>
      <c r="BJ52" s="21">
        <f>0.42*BJ51*-1</f>
        <v>8.427840909090909</v>
      </c>
      <c r="BK52" s="32">
        <f>BJ52*('Standard Values'!$B$39/100)</f>
        <v>0.42139204545454545</v>
      </c>
      <c r="BL52" s="21">
        <f>0.32*BL51*-1</f>
        <v>5.9105555555555558</v>
      </c>
      <c r="BM52" s="32">
        <f>BL52*('Standard Values'!$B$39/100)</f>
        <v>0.29552777777777778</v>
      </c>
      <c r="BN52" s="21">
        <f>0.16*BN51*-1</f>
        <v>2.3664444444444444</v>
      </c>
      <c r="BO52" s="32">
        <f>BN52*('Standard Values'!$B$39/100)</f>
        <v>0.11832222222222222</v>
      </c>
      <c r="BP52" s="21">
        <f>0.49*BP51*-1</f>
        <v>16.138694444444443</v>
      </c>
      <c r="BQ52" s="32">
        <f>BP52*('Standard Values'!$B$39/100)</f>
        <v>0.80693472222222218</v>
      </c>
      <c r="BR52" s="21">
        <f>0.5*BR51*-1</f>
        <v>16.279761904761905</v>
      </c>
      <c r="BS52" s="32">
        <f>BR52*('Standard Values'!$B$39/100)</f>
        <v>0.81398809523809534</v>
      </c>
      <c r="BT52" s="21">
        <f>0.55*BT51*-1</f>
        <v>26.641898148148151</v>
      </c>
      <c r="BU52" s="32">
        <f>BT52*('Standard Values'!$B$39/100)</f>
        <v>1.3320949074074075</v>
      </c>
      <c r="BV52" s="21">
        <f>0.54*BV51*-1</f>
        <v>29.528437499999999</v>
      </c>
      <c r="BW52" s="32">
        <f>BV52*('Standard Values'!$B$39/100)</f>
        <v>1.476421875</v>
      </c>
      <c r="BX52">
        <v>6.12</v>
      </c>
      <c r="BY52">
        <v>0.48</v>
      </c>
      <c r="BZ52">
        <v>4.9000000000000004</v>
      </c>
      <c r="CA52">
        <v>0.18</v>
      </c>
    </row>
    <row r="53" spans="1:79" x14ac:dyDescent="0.25">
      <c r="A53" t="s">
        <v>151</v>
      </c>
      <c r="B53" s="6">
        <f>-2611/24</f>
        <v>-108.79166666666667</v>
      </c>
      <c r="C53" s="6">
        <f>57/24</f>
        <v>2.375</v>
      </c>
      <c r="D53" s="6">
        <f>-1130/24</f>
        <v>-47.083333333333336</v>
      </c>
      <c r="E53" s="6">
        <f>158/24</f>
        <v>6.583333333333333</v>
      </c>
      <c r="F53" s="6">
        <f>-1562/24</f>
        <v>-65.083333333333329</v>
      </c>
      <c r="G53" s="6">
        <f>24/24</f>
        <v>1</v>
      </c>
      <c r="H53" s="6">
        <f>14/24</f>
        <v>0.58333333333333337</v>
      </c>
      <c r="I53" s="5">
        <f>1/24</f>
        <v>4.1666666666666664E-2</v>
      </c>
      <c r="J53" s="5">
        <v>0.432</v>
      </c>
      <c r="K53" s="5">
        <f>0.532-0.433</f>
        <v>9.9000000000000032E-2</v>
      </c>
      <c r="L53" s="5">
        <f>-793/24</f>
        <v>-33.041666666666664</v>
      </c>
      <c r="M53" s="5">
        <f>72/24</f>
        <v>3</v>
      </c>
      <c r="N53" s="5">
        <v>-29.61</v>
      </c>
      <c r="O53" s="5">
        <f>31.3-29.61</f>
        <v>1.6900000000000013</v>
      </c>
      <c r="P53">
        <v>-13</v>
      </c>
      <c r="Q53" s="31">
        <f>('Standard Values'!$B$39/100)*-Data!P53</f>
        <v>0.65</v>
      </c>
      <c r="R53">
        <v>-12.2</v>
      </c>
      <c r="S53" s="31">
        <f>('Standard Values'!$B$39/100)*-Data!R53</f>
        <v>0.61</v>
      </c>
      <c r="T53">
        <v>-12.5</v>
      </c>
      <c r="U53" s="31">
        <f>('Standard Values'!$B$39/100)*-Data!T53</f>
        <v>0.625</v>
      </c>
      <c r="V53">
        <v>-12.3</v>
      </c>
      <c r="W53" s="31">
        <f>('Standard Values'!$B$39/100)*-Data!V53</f>
        <v>0.6150000000000001</v>
      </c>
      <c r="X53">
        <v>-11.5</v>
      </c>
      <c r="Y53" s="31">
        <f>('Standard Values'!$B$39/100)*-Data!X53</f>
        <v>0.57500000000000007</v>
      </c>
      <c r="Z53">
        <v>0.28000000000000003</v>
      </c>
      <c r="AA53">
        <f>0.35-0.28</f>
        <v>6.9999999999999951E-2</v>
      </c>
      <c r="AB53">
        <v>0.21</v>
      </c>
      <c r="AC53">
        <f>0.39-0.21</f>
        <v>0.18000000000000002</v>
      </c>
      <c r="AD53">
        <v>0.27</v>
      </c>
      <c r="AE53">
        <f>0.42-0.27</f>
        <v>0.14999999999999997</v>
      </c>
      <c r="AF53">
        <v>-7.226</v>
      </c>
      <c r="AG53">
        <f>8.029-7.226</f>
        <v>0.80299999999999994</v>
      </c>
      <c r="AH53">
        <f>-20.66</f>
        <v>-20.66</v>
      </c>
      <c r="AI53">
        <f>21.9-20.66</f>
        <v>1.2399999999999984</v>
      </c>
      <c r="AJ53">
        <v>-19.71</v>
      </c>
      <c r="AK53">
        <f>21.02-19.71</f>
        <v>1.3099999999999987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0.35</v>
      </c>
      <c r="AU53">
        <v>0.08</v>
      </c>
      <c r="AV53">
        <v>0</v>
      </c>
      <c r="AW53">
        <v>0</v>
      </c>
      <c r="AX53">
        <v>0</v>
      </c>
      <c r="AY53" s="31">
        <f>'Standard Values'!$B$39/100*Data!AX53</f>
        <v>0</v>
      </c>
      <c r="AZ53">
        <v>0</v>
      </c>
      <c r="BA53" s="31">
        <f>'Standard Values'!$B$39/100*Data!AZ53</f>
        <v>0</v>
      </c>
      <c r="BB53">
        <v>0</v>
      </c>
      <c r="BC53" s="31">
        <f>'Standard Values'!$B$39/100*Data!BB53</f>
        <v>0</v>
      </c>
      <c r="BD53">
        <v>0</v>
      </c>
      <c r="BE53">
        <v>0</v>
      </c>
      <c r="BF53">
        <v>0</v>
      </c>
      <c r="BG53">
        <v>0</v>
      </c>
      <c r="BH53">
        <f>0/BH$34/24</f>
        <v>0</v>
      </c>
      <c r="BI53">
        <v>0</v>
      </c>
      <c r="BJ53">
        <f>-21.76/BJ$34/24</f>
        <v>-4.121212121212122</v>
      </c>
      <c r="BK53">
        <f>SQRT(1.11^2 * (1/(24*BJ$34))^2   + BJ53^2 * (1/(24*BJ$34^2))^2 *BK$34^2 )</f>
        <v>0.21381904508833355</v>
      </c>
      <c r="BL53">
        <f>-43.52/BL$34/24</f>
        <v>-7.5555555555555562</v>
      </c>
      <c r="BM53">
        <f>SQRT(2.79^2 * (1/(24*BL$34))^2   + BL53^2 * (1/(24*BL$34^2))^2 *BM$34^2 )</f>
        <v>0.48879517088554386</v>
      </c>
      <c r="BN53">
        <f>-85.93/BN$34/24</f>
        <v>-11.934722222222225</v>
      </c>
      <c r="BO53">
        <f>SQRT(4.81^2 * (1/(24*BN$34))^2   + BN53^2 * (1/(24*BN$34^2))^2 *BO$34^2 )</f>
        <v>0.67317703634828996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BX53">
        <v>0.66</v>
      </c>
      <c r="BY53">
        <v>0.05</v>
      </c>
      <c r="BZ53">
        <v>0</v>
      </c>
      <c r="CA53">
        <v>0</v>
      </c>
    </row>
    <row r="54" spans="1:79" x14ac:dyDescent="0.25">
      <c r="A54" t="s">
        <v>152</v>
      </c>
      <c r="B54" s="6">
        <f>243/24</f>
        <v>10.125</v>
      </c>
      <c r="C54" s="6">
        <f>16/24</f>
        <v>0.66666666666666663</v>
      </c>
      <c r="D54" s="6">
        <f>113/24</f>
        <v>4.708333333333333</v>
      </c>
      <c r="E54" s="6">
        <f>9/24</f>
        <v>0.375</v>
      </c>
      <c r="F54" s="6">
        <f>91/24</f>
        <v>3.7916666666666665</v>
      </c>
      <c r="G54" s="6">
        <f>15/24</f>
        <v>0.625</v>
      </c>
      <c r="H54" s="6">
        <f>76/24</f>
        <v>3.1666666666666665</v>
      </c>
      <c r="I54" s="5">
        <f>5/24</f>
        <v>0.20833333333333334</v>
      </c>
      <c r="J54" s="5">
        <v>3.097</v>
      </c>
      <c r="K54" s="5">
        <f>3.188-3.097</f>
        <v>9.1000000000000192E-2</v>
      </c>
      <c r="L54" s="5">
        <f>26/24</f>
        <v>1.0833333333333333</v>
      </c>
      <c r="M54" s="5">
        <f>3/24</f>
        <v>0.125</v>
      </c>
      <c r="N54" s="5">
        <v>1.903</v>
      </c>
      <c r="O54" s="5">
        <f>2.065-1.903</f>
        <v>0.16199999999999992</v>
      </c>
      <c r="P54">
        <v>6.6</v>
      </c>
      <c r="Q54" s="31">
        <f>('Standard Values'!$B$39/100)*Data!P54</f>
        <v>0.33</v>
      </c>
      <c r="R54">
        <v>6.1</v>
      </c>
      <c r="S54" s="31">
        <f>('Standard Values'!$B$39/100)*Data!R54</f>
        <v>0.30499999999999999</v>
      </c>
      <c r="T54">
        <v>5.2</v>
      </c>
      <c r="U54" s="31">
        <f>('Standard Values'!$B$39/100)*Data!T54</f>
        <v>0.26</v>
      </c>
      <c r="V54">
        <v>4.2</v>
      </c>
      <c r="W54" s="31">
        <f>('Standard Values'!$B$39/100)*Data!V54</f>
        <v>0.21000000000000002</v>
      </c>
      <c r="X54">
        <v>3.9</v>
      </c>
      <c r="Y54" s="31">
        <f>('Standard Values'!$B$39/100)*Data!X54</f>
        <v>0.19500000000000001</v>
      </c>
      <c r="Z54">
        <v>3.6960000000000002</v>
      </c>
      <c r="AA54">
        <f>3.985-3.696</f>
        <v>0.2889999999999997</v>
      </c>
      <c r="AB54">
        <v>3.4670000000000001</v>
      </c>
      <c r="AC54">
        <f>3.622-3.467</f>
        <v>0.1549999999999998</v>
      </c>
      <c r="AD54">
        <v>5.1849999999999996</v>
      </c>
      <c r="AE54">
        <f>5.644-5.185</f>
        <v>0.45900000000000052</v>
      </c>
      <c r="AF54">
        <v>4.6040000000000001</v>
      </c>
      <c r="AG54">
        <f>5.09-4.604</f>
        <v>0.48599999999999977</v>
      </c>
      <c r="AH54">
        <v>4.8739999999999997</v>
      </c>
      <c r="AI54">
        <f>5.09-4.874</f>
        <v>0.21600000000000019</v>
      </c>
      <c r="AJ54">
        <v>4.694</v>
      </c>
      <c r="AK54">
        <f>5.072-4.694</f>
        <v>0.37800000000000011</v>
      </c>
      <c r="AL54">
        <v>3</v>
      </c>
      <c r="AM54">
        <v>0.2</v>
      </c>
      <c r="AN54">
        <v>4.5999999999999996</v>
      </c>
      <c r="AO54">
        <v>0.3</v>
      </c>
      <c r="AP54">
        <v>5.7</v>
      </c>
      <c r="AQ54">
        <v>0.5</v>
      </c>
      <c r="AR54">
        <v>3.2</v>
      </c>
      <c r="AS54">
        <v>0.3</v>
      </c>
      <c r="AT54">
        <v>1.86</v>
      </c>
      <c r="AU54">
        <v>0.28999999999999998</v>
      </c>
      <c r="AV54">
        <v>1.86</v>
      </c>
      <c r="AW54">
        <v>0.09</v>
      </c>
      <c r="AX54" s="21">
        <f>(AX9*AX43)/AX34</f>
        <v>2.7279301907957074</v>
      </c>
      <c r="AY54" s="31">
        <f>'Standard Values'!$B$39/100*Data!AX54</f>
        <v>0.13639650953978538</v>
      </c>
      <c r="AZ54" s="21">
        <f>(AZ9*AZ43)/AZ34</f>
        <v>2.2069548271839619</v>
      </c>
      <c r="BA54" s="31">
        <f>'Standard Values'!$B$39/100*Data!AZ54</f>
        <v>0.1103477413591981</v>
      </c>
      <c r="BB54" s="21">
        <f>(BB9*BB43)/BB34</f>
        <v>1.6060891167049161</v>
      </c>
      <c r="BC54" s="31">
        <f>'Standard Values'!$B$39/100*Data!BB54</f>
        <v>8.0304455835245814E-2</v>
      </c>
      <c r="BD54">
        <f>36.4/BD34/24</f>
        <v>2.5277777777777777</v>
      </c>
      <c r="BE54">
        <f>SQRT(0.6^2 * (1/(24*BD$34))^2   + BD54^2 * (1/(24*BD$34^2))^2 *BE$34^2 )</f>
        <v>4.2581063261374459E-2</v>
      </c>
      <c r="BF54">
        <f>36.3/BF34/24</f>
        <v>2.3449612403100772</v>
      </c>
      <c r="BG54">
        <f>SQRT(0.89^2 * (1/(24*BF$34))^2   + BF54^2 * (1/(24*BF$34^2))^2 *BG$34^2 )</f>
        <v>5.7990301871932652E-2</v>
      </c>
      <c r="BH54">
        <f>28/BH$34/24</f>
        <v>4.1666666666666661</v>
      </c>
      <c r="BI54">
        <f>SQRT(0.9^2 * (1/(24*BH$34))^2   + BH54^2 * (1/(24*BH$34^2))^2 *BI$34^2 )</f>
        <v>0.13746994313197244</v>
      </c>
      <c r="BJ54">
        <f>30.5/BJ$34/24</f>
        <v>5.7765151515151514</v>
      </c>
      <c r="BK54">
        <f>SQRT(0.61^2 * (1/(24*BJ$34))^2   + BJ54^2 * (1/(24*BJ$34^2))^2 *BK$34^2 )</f>
        <v>0.1278262222538932</v>
      </c>
      <c r="BL54">
        <f>32.5/BL$34/24</f>
        <v>5.6423611111111116</v>
      </c>
      <c r="BM54">
        <f>SQRT(1.91^2 * (1/(24*BL$34))^2   + BL54^2 * (1/(24*BL$34^2))^2 *BM$34^2 )</f>
        <v>0.33519493356026858</v>
      </c>
      <c r="BN54">
        <f>41.5/BN$34/24</f>
        <v>5.7638888888888893</v>
      </c>
      <c r="BO54">
        <f>SQRT(0.24^2 * (1/(24*BN$34))^2   + BN54^2 * (1/(24*BN$34^2))^2 *BO$34^2 )</f>
        <v>5.2089080758558629E-2</v>
      </c>
      <c r="BP54">
        <f>27.13/BP34/24</f>
        <v>7.5361111111111114</v>
      </c>
      <c r="BQ54">
        <f>SQRT(0.73^2 * (1/(24*BP$34))^2   + BP54^2 * (1/(24*BP$34^2))^2 *BQ$34^2 )</f>
        <v>0.22819785564122622</v>
      </c>
      <c r="BR54">
        <f>25.44/BR$34/24</f>
        <v>7.5714285714285703</v>
      </c>
      <c r="BS54">
        <f>SQRT(0.26^2 * (1/(24*BR$34))^2   + BR54^2 * (1/(24*BR$34^2))^2 *BS$34^2 )</f>
        <v>0.13668341530939132</v>
      </c>
      <c r="BT54">
        <f>20.71/BT$34/24</f>
        <v>9.5879629629629637</v>
      </c>
      <c r="BU54">
        <f>SQRT(1.13^2 * (1/(24*BT$34))^2   + BT54^2 * (1/(24*BT$34^2))^2 *BU$34^2 )</f>
        <v>0.56828068836460421</v>
      </c>
      <c r="BV54">
        <f>19.81/BV34/24</f>
        <v>10.317708333333332</v>
      </c>
      <c r="BW54">
        <f>SQRT(3.3^2 * (1/(24*BV$34))^2   + BV54^2 * (1/(24*BV$34^2))^2 *BW$34^2 )</f>
        <v>1.7396252617147492</v>
      </c>
      <c r="BX54">
        <v>1.67</v>
      </c>
      <c r="BY54">
        <v>0.19</v>
      </c>
      <c r="BZ54">
        <v>1.68</v>
      </c>
      <c r="CA54">
        <v>0.12</v>
      </c>
    </row>
    <row r="55" spans="1:79" x14ac:dyDescent="0.25">
      <c r="A55" t="s">
        <v>153</v>
      </c>
      <c r="B55" s="6">
        <f>306/24</f>
        <v>12.75</v>
      </c>
      <c r="C55" s="6">
        <f>27/24</f>
        <v>1.125</v>
      </c>
      <c r="D55" s="6">
        <f>140/24</f>
        <v>5.833333333333333</v>
      </c>
      <c r="E55" s="6">
        <f>12/24</f>
        <v>0.5</v>
      </c>
      <c r="F55" s="6">
        <f>197/24</f>
        <v>8.2083333333333339</v>
      </c>
      <c r="G55" s="6">
        <f>8/24</f>
        <v>0.33333333333333331</v>
      </c>
      <c r="H55" s="6">
        <f>31/24</f>
        <v>1.2916666666666667</v>
      </c>
      <c r="I55" s="5">
        <f>1/24</f>
        <v>4.1666666666666664E-2</v>
      </c>
      <c r="J55" s="5">
        <v>2.581</v>
      </c>
      <c r="K55" s="5">
        <f>2.652-2.581</f>
        <v>7.1000000000000174E-2</v>
      </c>
      <c r="L55" s="5">
        <f>217/24</f>
        <v>9.0416666666666661</v>
      </c>
      <c r="M55" s="5">
        <f>5/24</f>
        <v>0.20833333333333334</v>
      </c>
      <c r="N55" s="5">
        <v>7.8949999999999996</v>
      </c>
      <c r="O55" s="5">
        <f>8.391-7.895</f>
        <v>0.49600000000000044</v>
      </c>
      <c r="P55">
        <v>1.2</v>
      </c>
      <c r="Q55" s="31">
        <f>('Standard Values'!$B$39/100)*Data!P55</f>
        <v>0.06</v>
      </c>
      <c r="R55">
        <v>1.2</v>
      </c>
      <c r="S55" s="31">
        <f>('Standard Values'!$B$39/100)*Data!R55</f>
        <v>0.06</v>
      </c>
      <c r="T55">
        <v>2.5</v>
      </c>
      <c r="U55" s="31">
        <f>('Standard Values'!$B$39/100)*Data!T55</f>
        <v>0.125</v>
      </c>
      <c r="V55">
        <v>3.7</v>
      </c>
      <c r="W55" s="31">
        <f>('Standard Values'!$B$39/100)*Data!V55</f>
        <v>0.18500000000000003</v>
      </c>
      <c r="X55">
        <v>3.8</v>
      </c>
      <c r="Y55" s="31">
        <f>('Standard Values'!$B$39/100)*Data!X55</f>
        <v>0.19</v>
      </c>
      <c r="Z55">
        <v>2.6960000000000002</v>
      </c>
      <c r="AA55">
        <f>3.044-2.696</f>
        <v>0.34799999999999986</v>
      </c>
      <c r="AB55">
        <v>4.4960000000000004</v>
      </c>
      <c r="AC55">
        <f>4.83-4.496</f>
        <v>0.33399999999999963</v>
      </c>
      <c r="AD55">
        <v>6.0220000000000002</v>
      </c>
      <c r="AE55">
        <f>6.4-6.022</f>
        <v>0.37800000000000011</v>
      </c>
      <c r="AF55">
        <v>3.1469999999999998</v>
      </c>
      <c r="AG55">
        <f>3.633-3.147</f>
        <v>0.48600000000000021</v>
      </c>
      <c r="AH55">
        <v>6.7450000000000001</v>
      </c>
      <c r="AI55">
        <f>7.446-6.745</f>
        <v>0.70099999999999962</v>
      </c>
      <c r="AJ55">
        <v>8.2370000000000001</v>
      </c>
      <c r="AK55">
        <f>8.741-8.237</f>
        <v>0.50399999999999956</v>
      </c>
      <c r="AL55">
        <v>0.36</v>
      </c>
      <c r="AM55">
        <v>0.02</v>
      </c>
      <c r="AN55">
        <v>6.7000000000000004E-2</v>
      </c>
      <c r="AO55">
        <v>6.0000000000000001E-3</v>
      </c>
      <c r="AP55">
        <v>0.11</v>
      </c>
      <c r="AQ55">
        <v>0.02</v>
      </c>
      <c r="AR55">
        <v>1.05</v>
      </c>
      <c r="AS55">
        <v>7.0000000000000007E-2</v>
      </c>
      <c r="AT55">
        <v>0.21</v>
      </c>
      <c r="AU55">
        <v>0.04</v>
      </c>
      <c r="AV55">
        <v>0.16</v>
      </c>
      <c r="AW55">
        <v>0.02</v>
      </c>
      <c r="AX55" s="21">
        <f>(AX44*AX9)/AX34</f>
        <v>3.0999016194813711</v>
      </c>
      <c r="AY55" s="31">
        <f>'Standard Values'!$B$39/100*Data!AX55</f>
        <v>0.15499508097406856</v>
      </c>
      <c r="AZ55" s="21">
        <f>(AZ44*AZ9)/AZ34</f>
        <v>3.70132891622863</v>
      </c>
      <c r="BA55" s="31">
        <f>'Standard Values'!$B$39/100*Data!AZ55</f>
        <v>0.1850664458114315</v>
      </c>
      <c r="BB55" s="21">
        <f>(BB44*BB9)/BB34</f>
        <v>3.8449831079747727</v>
      </c>
      <c r="BC55" s="31">
        <f>'Standard Values'!$B$39/100*Data!BB55</f>
        <v>0.19224915539873866</v>
      </c>
      <c r="BD55">
        <f>0.2/BD34/24</f>
        <v>1.388888888888889E-2</v>
      </c>
      <c r="BE55" s="32">
        <f>BD55*('Standard Values'!B39/100)</f>
        <v>6.9444444444444458E-4</v>
      </c>
      <c r="BF55">
        <v>0</v>
      </c>
      <c r="BG55">
        <v>0</v>
      </c>
      <c r="BH55">
        <f>0.1/BH$34/24</f>
        <v>1.4880952380952382E-2</v>
      </c>
      <c r="BI55">
        <f>SQRT(0.09^2 * (1/(24*BH$34))^2   + BH55^2 * (1/(24*BH$34^2))^2 *BI$34^2 )</f>
        <v>1.3393314812665721E-2</v>
      </c>
      <c r="BJ55">
        <f>0.1/BJ$34/24</f>
        <v>1.893939393939394E-2</v>
      </c>
      <c r="BK55">
        <f>SQRT(0.003^2 * (1/(24*BJ$34))^2   + BJ55^2 * (1/(24*BJ$34^2))^2 *BK$34^2 )</f>
        <v>5.9581634443607264E-4</v>
      </c>
      <c r="BL55">
        <f>0.2/BL$34/24</f>
        <v>3.4722222222222224E-2</v>
      </c>
      <c r="BM55">
        <f>SQRT(0.002^2 * (1/(24*BL$34))^2   + BL55^2 * (1/(24*BL$34^2))^2 *BM$34^2 )</f>
        <v>4.5979360802481415E-4</v>
      </c>
      <c r="BN55">
        <f>3/BN$34/24</f>
        <v>0.41666666666666669</v>
      </c>
      <c r="BO55">
        <f>SQRT(0.07^2 * (1/(24*BN$34))^2   + BN55^2 * (1/(24*BN$34^2))^2 *BO$34^2 )</f>
        <v>1.014367065490995E-2</v>
      </c>
      <c r="BP55">
        <v>0</v>
      </c>
      <c r="BQ55">
        <v>0</v>
      </c>
      <c r="BR55">
        <f>0.12/BR$34/24</f>
        <v>3.5714285714285705E-2</v>
      </c>
      <c r="BS55">
        <f>SQRT(0.08^2 * (1/(24*BR$34))^2   + BR55^2 * (1/(24*BR$34^2))^2 *BS$34^2 )</f>
        <v>2.3815454572935872E-2</v>
      </c>
      <c r="BT55">
        <f>0.36/BT$34/24</f>
        <v>0.16666666666666666</v>
      </c>
      <c r="BU55">
        <f>SQRT(0.05^2 * (1/(24*BT$34))^2   + BT55^2 * (1/(24*BT$34^2))^2 *BU$34^2 )</f>
        <v>2.3467448033557946E-2</v>
      </c>
      <c r="BV55">
        <f>0.75/BV$34/24</f>
        <v>0.390625</v>
      </c>
      <c r="BW55">
        <f>SQRT(0.19^2 * (1/(24*BV$34))^2   + BV55^2 * (1/(24*BV$34^2))^2 *BW$34^2 )</f>
        <v>9.9479807107671361E-2</v>
      </c>
      <c r="BX55">
        <v>0.32</v>
      </c>
      <c r="BY55">
        <v>0.06</v>
      </c>
      <c r="BZ55">
        <v>0.18</v>
      </c>
      <c r="CA55">
        <v>0.02</v>
      </c>
    </row>
    <row r="56" spans="1:79" ht="18" customHeight="1" x14ac:dyDescent="0.25">
      <c r="A56" t="s">
        <v>154</v>
      </c>
      <c r="B56">
        <v>0</v>
      </c>
      <c r="C56" s="6">
        <v>0</v>
      </c>
      <c r="D56">
        <v>0</v>
      </c>
      <c r="E56" s="6">
        <v>0</v>
      </c>
      <c r="F56">
        <v>0</v>
      </c>
      <c r="G56">
        <v>0</v>
      </c>
      <c r="H56" s="6">
        <v>0</v>
      </c>
      <c r="I56" s="5">
        <v>0</v>
      </c>
      <c r="J56" s="5">
        <v>7.0849999999999996E-2</v>
      </c>
      <c r="K56" s="5">
        <f>0.08097-0.07085</f>
        <v>1.0120000000000004E-2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31">
        <f>('Standard Values'!$B$39/100)*-Data!P56</f>
        <v>0</v>
      </c>
      <c r="R56" s="5">
        <v>0</v>
      </c>
      <c r="S56" s="31">
        <f>('Standard Values'!$B$39/100)*Data!R56</f>
        <v>0</v>
      </c>
      <c r="T56" s="5">
        <v>0.01</v>
      </c>
      <c r="U56" s="31">
        <f>('Standard Values'!$B$39/100)*Data!T56</f>
        <v>5.0000000000000001E-4</v>
      </c>
      <c r="V56" s="5">
        <v>0.09</v>
      </c>
      <c r="W56" s="31">
        <f>('Standard Values'!$B$39/100)*Data!V56</f>
        <v>4.4999999999999997E-3</v>
      </c>
      <c r="X56">
        <v>0.09</v>
      </c>
      <c r="Y56" s="31">
        <f>('Standard Values'!$B$39/100)*Data!X56</f>
        <v>4.4999999999999997E-3</v>
      </c>
      <c r="Z56">
        <v>7.4069999999999997E-2</v>
      </c>
      <c r="AA56">
        <f>0.09063-0.07407</f>
        <v>1.6560000000000005E-2</v>
      </c>
      <c r="AB56">
        <v>0.2074</v>
      </c>
      <c r="AC56">
        <f>0.2519-0.2074</f>
        <v>4.4500000000000012E-2</v>
      </c>
      <c r="AD56">
        <v>0.1333</v>
      </c>
      <c r="AE56">
        <f>0.163-0.1333</f>
        <v>2.9700000000000004E-2</v>
      </c>
      <c r="AF56">
        <v>0.1079</v>
      </c>
      <c r="AG56">
        <f>0.1349-0.1079</f>
        <v>2.6999999999999996E-2</v>
      </c>
      <c r="AH56">
        <v>0.3327</v>
      </c>
      <c r="AI56">
        <f>0.4137-0.3327</f>
        <v>8.1000000000000016E-2</v>
      </c>
      <c r="AJ56">
        <v>0.62949999999999995</v>
      </c>
      <c r="AK56">
        <f>0.7104-0.6295</f>
        <v>8.0900000000000083E-2</v>
      </c>
      <c r="AL56">
        <v>0.104</v>
      </c>
      <c r="AM56">
        <v>6.0000000000000001E-3</v>
      </c>
      <c r="AN56">
        <v>3.9E-2</v>
      </c>
      <c r="AO56">
        <v>1.4999999999999999E-2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 s="21">
        <f>(AX45*AX9)/AX34</f>
        <v>9.2863437699824344E-2</v>
      </c>
      <c r="AY56" s="31">
        <f>'Standard Values'!$B$39/100*Data!AX56</f>
        <v>4.6431718849912172E-3</v>
      </c>
      <c r="AZ56" s="21">
        <f>(AZ45*AZ9)/AZ34</f>
        <v>0.15648477161332103</v>
      </c>
      <c r="BA56" s="31">
        <f>'Standard Values'!$B$39/100*Data!AZ56</f>
        <v>7.8242385806660524E-3</v>
      </c>
      <c r="BB56" s="21">
        <f>(BB45*BB9)/BB34</f>
        <v>0.1465832300210525</v>
      </c>
      <c r="BC56" s="31">
        <f>'Standard Values'!$B$39/100*Data!BB56</f>
        <v>7.3291615010526254E-3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BX56">
        <v>0</v>
      </c>
      <c r="BY56">
        <v>0</v>
      </c>
      <c r="BZ56">
        <v>0</v>
      </c>
      <c r="CA56">
        <v>0</v>
      </c>
    </row>
    <row r="57" spans="1:79" x14ac:dyDescent="0.25">
      <c r="A57" t="s">
        <v>155</v>
      </c>
      <c r="B57">
        <v>0</v>
      </c>
      <c r="C57" s="6">
        <v>0</v>
      </c>
      <c r="D57">
        <v>0</v>
      </c>
      <c r="E57">
        <v>0</v>
      </c>
      <c r="F57">
        <v>0</v>
      </c>
      <c r="G57">
        <v>0</v>
      </c>
      <c r="H57" s="6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31">
        <f>('Standard Values'!$B$39/100)*-Data!P57</f>
        <v>0</v>
      </c>
      <c r="R57" s="5">
        <v>0</v>
      </c>
      <c r="S57" s="31">
        <f>('Standard Values'!$B$39/100)*Data!R57</f>
        <v>0</v>
      </c>
      <c r="T57" s="5">
        <v>0</v>
      </c>
      <c r="U57" s="31">
        <f>('Standard Values'!$B$39/100)*Data!T57</f>
        <v>0</v>
      </c>
      <c r="V57">
        <v>0</v>
      </c>
      <c r="W57" s="31">
        <f>('Standard Values'!$B$39/100)*Data!V57</f>
        <v>0</v>
      </c>
      <c r="X57">
        <v>0</v>
      </c>
      <c r="Y57" s="31">
        <f>('Standard Values'!$B$39/100)*Data!X57</f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BX57">
        <v>0</v>
      </c>
      <c r="BY57">
        <v>0</v>
      </c>
      <c r="BZ57">
        <v>0</v>
      </c>
      <c r="CA57">
        <v>0</v>
      </c>
    </row>
    <row r="58" spans="1:79" x14ac:dyDescent="0.25">
      <c r="A58" t="s">
        <v>279</v>
      </c>
      <c r="B58">
        <v>4.2000000000000003E-2</v>
      </c>
      <c r="C58">
        <v>8.0000000000000004E-4</v>
      </c>
      <c r="D58">
        <v>1.9599999999999999E-2</v>
      </c>
      <c r="E58">
        <v>4.0000000000000002E-4</v>
      </c>
      <c r="F58">
        <v>2.1000000000000001E-2</v>
      </c>
      <c r="G58">
        <v>4.0000000000000002E-4</v>
      </c>
      <c r="H58" s="6">
        <v>4.2000000000000003E-2</v>
      </c>
      <c r="I58" s="5">
        <v>1E-3</v>
      </c>
      <c r="J58" s="5">
        <v>0.04</v>
      </c>
      <c r="K58" s="5">
        <v>1E-3</v>
      </c>
      <c r="L58" s="5">
        <v>0.04</v>
      </c>
      <c r="M58" s="5">
        <v>1E-3</v>
      </c>
      <c r="N58" s="5">
        <v>0.04</v>
      </c>
      <c r="O58" s="5">
        <v>1E-3</v>
      </c>
      <c r="P58">
        <v>0.04</v>
      </c>
      <c r="Q58">
        <v>1E-3</v>
      </c>
      <c r="R58">
        <v>0.04</v>
      </c>
      <c r="S58">
        <v>1E-3</v>
      </c>
      <c r="T58">
        <v>0.04</v>
      </c>
      <c r="U58">
        <v>1E-3</v>
      </c>
      <c r="V58">
        <v>0.04</v>
      </c>
      <c r="W58">
        <v>1E-3</v>
      </c>
      <c r="X58">
        <v>0.04</v>
      </c>
      <c r="Y58">
        <v>1E-3</v>
      </c>
      <c r="Z58" s="5">
        <f>1.02/24</f>
        <v>4.2500000000000003E-2</v>
      </c>
      <c r="AA58" s="4">
        <f>0.01/24</f>
        <v>4.1666666666666669E-4</v>
      </c>
      <c r="AB58" s="5">
        <f>2.03/24</f>
        <v>8.458333333333333E-2</v>
      </c>
      <c r="AC58" s="4">
        <f>0.06/24</f>
        <v>2.5000000000000001E-3</v>
      </c>
      <c r="AD58" s="5">
        <f>2.79/24</f>
        <v>0.11625000000000001</v>
      </c>
      <c r="AE58" s="4">
        <f>0.03/24</f>
        <v>1.25E-3</v>
      </c>
      <c r="AF58" s="5">
        <f>1.01/24</f>
        <v>4.2083333333333334E-2</v>
      </c>
      <c r="AG58" s="4">
        <f>0.02/24</f>
        <v>8.3333333333333339E-4</v>
      </c>
      <c r="AH58" s="5">
        <f>2.01/24</f>
        <v>8.3749999999999991E-2</v>
      </c>
      <c r="AI58" s="4">
        <f>0.07/24</f>
        <v>2.9166666666666668E-3</v>
      </c>
      <c r="AJ58" s="5">
        <f>2.79/24</f>
        <v>0.11625000000000001</v>
      </c>
      <c r="AK58" s="4">
        <f>0.07/24</f>
        <v>2.9166666666666668E-3</v>
      </c>
      <c r="AL58">
        <v>8.8000000000000005E-3</v>
      </c>
      <c r="AM58">
        <v>4.0000000000000002E-4</v>
      </c>
      <c r="AN58">
        <v>2.4E-2</v>
      </c>
      <c r="AO58">
        <v>1E-3</v>
      </c>
      <c r="AP58">
        <v>3.9E-2</v>
      </c>
      <c r="AQ58">
        <v>2E-3</v>
      </c>
      <c r="AR58">
        <v>0.04</v>
      </c>
      <c r="AS58">
        <v>2E-3</v>
      </c>
      <c r="AT58">
        <v>0.01</v>
      </c>
      <c r="AU58" s="31">
        <f>'Standard Values'!$B$39/100*Data!AT58</f>
        <v>5.0000000000000001E-4</v>
      </c>
      <c r="AV58">
        <v>0.01</v>
      </c>
      <c r="AW58" s="31">
        <f>'Standard Values'!$B$39/100*Data!AV58</f>
        <v>5.0000000000000001E-4</v>
      </c>
      <c r="AX58">
        <f>1.5/24</f>
        <v>6.25E-2</v>
      </c>
      <c r="AY58" s="31">
        <f>'Standard Values'!$B$39/100*Data!AX58</f>
        <v>3.1250000000000002E-3</v>
      </c>
      <c r="AZ58">
        <f>1.5/24</f>
        <v>6.25E-2</v>
      </c>
      <c r="BA58" s="31">
        <f>'Standard Values'!$B$39/100*Data!AZ58</f>
        <v>3.1250000000000002E-3</v>
      </c>
      <c r="BB58">
        <f>1.5/24</f>
        <v>6.25E-2</v>
      </c>
      <c r="BC58" s="31">
        <f>'Standard Values'!$B$39/100*Data!BB58</f>
        <v>3.1250000000000002E-3</v>
      </c>
      <c r="BD58">
        <f>0.4/BD34/24</f>
        <v>2.777777777777778E-2</v>
      </c>
      <c r="BE58">
        <f>SQRT(0.08^2 * (1/(24*BD$34))^2   + BD58^2 * (1/(24*BD$34^2))^2 *BE$34^2 )</f>
        <v>5.5563927374186447E-3</v>
      </c>
      <c r="BF58">
        <f>0.43/BF34/24</f>
        <v>2.7777777777777776E-2</v>
      </c>
      <c r="BG58">
        <f>SQRT(0.09^2 * (1/(24*BF$34))^2   + BF58^2 * (1/(24*BF$34^2))^2 *BG$34^2 )</f>
        <v>5.8146457427185388E-3</v>
      </c>
      <c r="BH58">
        <f>0.14/BH34/24</f>
        <v>2.0833333333333332E-2</v>
      </c>
      <c r="BI58">
        <f>SQRT(0.01^2 * (1/(24*BH$34))^2   + BH58^2 * (1/(24*BH$34^2))^2 *BI$34^2 )</f>
        <v>1.4961468888905821E-3</v>
      </c>
      <c r="BJ58">
        <f>0.11/BJ34/24</f>
        <v>2.0833333333333332E-2</v>
      </c>
      <c r="BK58">
        <f>SQRT(0.01^2 * (1/(24*BJ$34))^2   + BJ58^2 * (1/(24*BJ$34^2))^2 *BK$34^2 )</f>
        <v>1.9041869494971044E-3</v>
      </c>
      <c r="BL58">
        <f>0.12/BL34/24</f>
        <v>2.0833333333333332E-2</v>
      </c>
      <c r="BM58">
        <f>SQRT(0.01^2 * (1/(24*BL$34))^2   + BL58^2 * (1/(24*BL$34^2))^2 *BM$34^2 )</f>
        <v>1.745504703705679E-3</v>
      </c>
      <c r="BN58">
        <f>0.15/BN34/24</f>
        <v>2.0833333333333332E-2</v>
      </c>
      <c r="BO58">
        <f>SQRT(0.01^2 * (1/(24*BN$34))^2   + BN58^2 * (1/(24*BN$34^2))^2 *BO$34^2 )</f>
        <v>1.3964037629645436E-3</v>
      </c>
      <c r="BP58">
        <f>0.1/BP34/24</f>
        <v>2.777777777777778E-2</v>
      </c>
      <c r="BQ58">
        <f>SQRT(0.01^2 * (1/(24*BP$34))^2   + BP58^2 * (1/(24*BP$34^2))^2 *BQ$34^2 )</f>
        <v>2.8044416428065198E-3</v>
      </c>
      <c r="BR58">
        <f>0.09/BR34/24</f>
        <v>2.6785714285714284E-2</v>
      </c>
      <c r="BS58">
        <f>SQRT(0.01^2 * (1/(24*BR$34))^2   + BR58^2 * (1/(24*BR$34^2))^2 *BS$34^2 )</f>
        <v>3.0027636054421772E-3</v>
      </c>
      <c r="BT58">
        <f>0.06/BT34/24</f>
        <v>2.7777777777777776E-2</v>
      </c>
      <c r="BU58">
        <f>SQRT(0.004^2 * (1/(24*BT$34))^2   + BT58^2 * (1/(24*BT$34^2))^2 *BU$34^2 )</f>
        <v>1.9603085403591797E-3</v>
      </c>
      <c r="BV58">
        <f>0.05/BV34/24</f>
        <v>2.6041666666666668E-2</v>
      </c>
      <c r="BW58">
        <f>SQRT(0.005^2 * (1/(24*BV$34))^2   + BV58^2 * (1/(24*BV$34^2))^2 *BW$34^2 )</f>
        <v>2.6910214436722613E-3</v>
      </c>
      <c r="BX58">
        <v>8.0000000000000002E-3</v>
      </c>
      <c r="BY58" s="31">
        <f>'Standard Values'!$B$39/100*Data!BX58</f>
        <v>4.0000000000000002E-4</v>
      </c>
      <c r="BZ58">
        <v>8.0000000000000002E-3</v>
      </c>
      <c r="CA58" s="31">
        <f>'Standard Values'!$B$39/100*Data!BZ58</f>
        <v>4.0000000000000002E-4</v>
      </c>
    </row>
    <row r="59" spans="1:79" x14ac:dyDescent="0.25">
      <c r="A59" t="s">
        <v>156</v>
      </c>
      <c r="B59" s="21">
        <f>B73/(B73+1) * B54</f>
        <v>6.4267762674047084</v>
      </c>
      <c r="C59" s="14"/>
      <c r="D59" s="21">
        <f>D73/(D73+1) * D54</f>
        <v>2.9885832025379915</v>
      </c>
      <c r="F59" s="21">
        <f>F73/(F73+1) * F54</f>
        <v>2.4067351454067012</v>
      </c>
      <c r="H59" s="21">
        <f>H73/(H73+1) * H54</f>
        <v>2.0100205609990032</v>
      </c>
      <c r="I59" s="14"/>
      <c r="J59" s="21">
        <f>J73/(J73+1) * J54</f>
        <v>1.9658001086570251</v>
      </c>
      <c r="L59" s="21">
        <f>L73/(L73+1) * L54</f>
        <v>0.68763861297334317</v>
      </c>
      <c r="N59" s="21">
        <f>N73/(N73+1) * N54</f>
        <v>1.207916566604559</v>
      </c>
      <c r="P59" s="21">
        <f>P73/(P73+1) * P54</f>
        <v>4.1893060113452911</v>
      </c>
      <c r="R59" s="21">
        <f>R73/(R73+1) * R54</f>
        <v>3.8719343438191323</v>
      </c>
      <c r="T59" s="21">
        <f>T73/(T73+1) * T54</f>
        <v>3.3006653422720476</v>
      </c>
      <c r="V59" s="21">
        <f>V73/(V73+1) * V54</f>
        <v>2.6659220072197307</v>
      </c>
      <c r="X59" s="21">
        <f>X73/(X73+1) * X54</f>
        <v>2.4754990067040357</v>
      </c>
      <c r="Z59" s="21">
        <f>Z73/(Z73+1) * Z54</f>
        <v>2.346011366353363</v>
      </c>
      <c r="AB59" s="21">
        <f>AB73/(AB73+1) * AB54</f>
        <v>2.2006551426263825</v>
      </c>
      <c r="AD59" s="21">
        <f>AD73/(AD73+1) * AD54</f>
        <v>3.2911441922462625</v>
      </c>
      <c r="AF59" s="21">
        <f>AF73/(AF73+1) * AF54</f>
        <v>2.9223583145808667</v>
      </c>
      <c r="AH59" s="21">
        <f>AH73/(AH73+1) * AH54</f>
        <v>3.0937390150449922</v>
      </c>
      <c r="AJ59" s="21">
        <f>AJ73/(AJ73+1) * AJ54</f>
        <v>2.979485214735575</v>
      </c>
      <c r="AL59" s="21">
        <f>AL73/(AL73+1) * AL54</f>
        <v>2.7973499130102715</v>
      </c>
      <c r="AN59" s="21">
        <f>AN73/(AN73+1) * AN54</f>
        <v>4.2892698666157498</v>
      </c>
      <c r="AP59" s="21">
        <f>AP73/(AP73+1) * AP54</f>
        <v>5.3149648347195164</v>
      </c>
      <c r="AR59" s="21">
        <f>AR73/(AR73+1) * AR54</f>
        <v>2.9838399072109567</v>
      </c>
      <c r="AT59" s="21">
        <f>AT73/(AT73+1) * AT54</f>
        <v>1.5736438868036964</v>
      </c>
      <c r="AV59" s="21">
        <f>AV73/(AV73+1) * AV54</f>
        <v>1.5736438868036964</v>
      </c>
      <c r="AX59" s="21">
        <f>AX73/(AX73+1) * AX54</f>
        <v>1.7315355070955702</v>
      </c>
      <c r="AZ59" s="21">
        <f>AZ73/(AZ73+1) * AZ54</f>
        <v>1.4008498673165575</v>
      </c>
      <c r="BB59" s="21">
        <f>BB73/(BB73+1) * BB54</f>
        <v>1.0194543623285082</v>
      </c>
      <c r="BD59" s="21">
        <f>BD73/(BD73+1) * BD54</f>
        <v>2.4392152258413682</v>
      </c>
      <c r="BF59" s="21">
        <f>BF73/(BF73+1) * BF54</f>
        <v>2.262803800103288</v>
      </c>
      <c r="BH59" s="21">
        <f>BH73/(BH73+1) * BH54</f>
        <v>4.0206844382000568</v>
      </c>
      <c r="BJ59" s="21">
        <f>BJ73/(BJ73+1) * BJ54</f>
        <v>5.5741306984137164</v>
      </c>
      <c r="BL59" s="21">
        <f>BL73/(BL73+1) * BL54</f>
        <v>5.4446768433959116</v>
      </c>
      <c r="BN59" s="21">
        <f>BN73/(BN73+1) * BN54</f>
        <v>5.5619468061767465</v>
      </c>
      <c r="BP59" s="21">
        <f>BP73/(BP73+1) * BP54</f>
        <v>7.2720779205578374</v>
      </c>
      <c r="BR59" s="21">
        <f>BR73/(BR73+1) * BR54</f>
        <v>7.3061580077006747</v>
      </c>
      <c r="BT59" s="21">
        <f>BT73/(BT73+1) * BT54</f>
        <v>9.252041635013688</v>
      </c>
      <c r="BV59" s="21">
        <f>BV73/(BV73+1) * BV54</f>
        <v>9.9562198400928921</v>
      </c>
      <c r="BX59" s="21">
        <f>BX73/(BX73+1) * BX54</f>
        <v>1.4128953177215982</v>
      </c>
      <c r="BZ59" s="21">
        <f>BZ73/(BZ73+1) * BZ54</f>
        <v>1.4213557687259193</v>
      </c>
    </row>
    <row r="60" spans="1:79" x14ac:dyDescent="0.25">
      <c r="A60" t="s">
        <v>157</v>
      </c>
      <c r="B60" s="21">
        <f>1/(B73+1)*B54</f>
        <v>3.6982237325952907</v>
      </c>
      <c r="C60" s="14"/>
      <c r="D60" s="21">
        <f>1/(D73+1)*D54</f>
        <v>1.7197501307953409</v>
      </c>
      <c r="F60" s="21">
        <f>1/(F73+1)*F54</f>
        <v>1.3849315212599649</v>
      </c>
      <c r="H60" s="21">
        <f>1/(H73+1)*H54</f>
        <v>1.1566461056676629</v>
      </c>
      <c r="I60" s="14"/>
      <c r="J60" s="21">
        <f>1/(J73+1)*J54</f>
        <v>1.1311998913429744</v>
      </c>
      <c r="L60" s="21">
        <f>1/(L73+1)*L54</f>
        <v>0.39569472035998993</v>
      </c>
      <c r="N60" s="21">
        <f>1/(N73+1)*N54</f>
        <v>0.69508343339544088</v>
      </c>
      <c r="P60" s="21">
        <f>1/(P73+1)*P54</f>
        <v>2.4106939886547081</v>
      </c>
      <c r="R60" s="21">
        <f>1/(R73+1)*R54</f>
        <v>2.2280656561808665</v>
      </c>
      <c r="T60" s="21">
        <f>1/(T73+1)*T54</f>
        <v>1.899334657727952</v>
      </c>
      <c r="V60" s="21">
        <f>1/(V73+1)*V54</f>
        <v>1.5340779927802688</v>
      </c>
      <c r="X60" s="21">
        <f>1/(X73+1)*X54</f>
        <v>1.4245009932959638</v>
      </c>
      <c r="Z60" s="21">
        <f>1/(Z73+1)*Z54</f>
        <v>1.3499886336466367</v>
      </c>
      <c r="AB60" s="21">
        <f>1/(AB73+1)*AB54</f>
        <v>1.2663448573736171</v>
      </c>
      <c r="AD60" s="21">
        <f>1/(AD73+1)*AD54</f>
        <v>1.8938558077537364</v>
      </c>
      <c r="AF60" s="21">
        <f>1/(AF73+1)*AF54</f>
        <v>1.6816416854191327</v>
      </c>
      <c r="AH60" s="21">
        <f>1/(AH73+1)*AH54</f>
        <v>1.7802609849550071</v>
      </c>
      <c r="AJ60" s="21">
        <f>1/(AJ73+1)*AJ54</f>
        <v>1.7145147852644242</v>
      </c>
      <c r="AL60" s="21">
        <f>1/(AL73+1)*AL54</f>
        <v>0.20265008698972831</v>
      </c>
      <c r="AN60" s="21">
        <f>1/(AN73+1)*AN54</f>
        <v>0.31073013338425004</v>
      </c>
      <c r="AP60" s="21">
        <f>1/(AP73+1)*AP54</f>
        <v>0.38503516528048376</v>
      </c>
      <c r="AR60" s="21">
        <f>1/(AR73+1)*AR54</f>
        <v>0.21616009278904352</v>
      </c>
      <c r="AT60" s="21">
        <f>1/(AT73+1)*AT54</f>
        <v>0.28635611319630361</v>
      </c>
      <c r="AV60" s="21">
        <f>1/(AV73+1)*AV54</f>
        <v>0.28635611319630361</v>
      </c>
      <c r="AX60" s="21">
        <f>1/(AX73+1)*AX54</f>
        <v>0.99639468370013684</v>
      </c>
      <c r="AZ60" s="21">
        <f>1/(AZ73+1)*AZ54</f>
        <v>0.80610495986740416</v>
      </c>
      <c r="BB60" s="21">
        <f>1/(BB73+1)*BB54</f>
        <v>0.58663475437640777</v>
      </c>
      <c r="BD60" s="21">
        <f>1/(BD73+1)*BD54</f>
        <v>8.856255193640962E-2</v>
      </c>
      <c r="BF60" s="21">
        <f>1/(BF73+1)*BF54</f>
        <v>8.2157440206789389E-2</v>
      </c>
      <c r="BH60" s="21">
        <f>1/(BH73+1)*BH54</f>
        <v>0.14598222846660924</v>
      </c>
      <c r="BJ60" s="21">
        <f>1/(BJ73+1)*BJ54</f>
        <v>0.20238445310143555</v>
      </c>
      <c r="BL60" s="21">
        <f>1/(BL73+1)*BL54</f>
        <v>0.19768426771520006</v>
      </c>
      <c r="BN60" s="21">
        <f>1/(BN73+1)*BN54</f>
        <v>0.20194208271214281</v>
      </c>
      <c r="BP60" s="21">
        <f>1/(BP73+1)*BP54</f>
        <v>0.26403319055327396</v>
      </c>
      <c r="BR60" s="21">
        <f>1/(BR73+1)*BR54</f>
        <v>0.26527056372789565</v>
      </c>
      <c r="BT60" s="21">
        <f>1/(BT73+1)*BT54</f>
        <v>0.33592132794927532</v>
      </c>
      <c r="BV60" s="21">
        <f>1/(BV73+1)*BV54</f>
        <v>0.36148849324044113</v>
      </c>
      <c r="BX60" s="21">
        <f>1/(BX73+1)*BX54</f>
        <v>0.25710468227840161</v>
      </c>
      <c r="BZ60" s="21">
        <f>1/(BZ73+1)*BZ54</f>
        <v>0.25864423127408065</v>
      </c>
    </row>
    <row r="61" spans="1:79" x14ac:dyDescent="0.25">
      <c r="A61" s="1" t="s">
        <v>158</v>
      </c>
    </row>
    <row r="62" spans="1:79" x14ac:dyDescent="0.25">
      <c r="A62" t="s">
        <v>159</v>
      </c>
      <c r="B62" s="21">
        <f t="shared" ref="B62:B68" si="0">B51*B$34*B$8</f>
        <v>-0.94562500000000016</v>
      </c>
      <c r="C62" s="21">
        <f>-1*B62*((C51/B51)^2+(C$34/B$34)^2+(C$8/B$8)^2)^0.5</f>
        <v>7.6034332551568454E-2</v>
      </c>
      <c r="D62" s="21">
        <f t="shared" ref="D62:D68" si="1">D51*D$34*D$8</f>
        <v>0</v>
      </c>
      <c r="E62" s="21">
        <v>0</v>
      </c>
      <c r="F62" s="21">
        <f t="shared" ref="F62:F68" si="2">F51*F$34*F$8</f>
        <v>-0.60750000000000004</v>
      </c>
      <c r="G62" s="21">
        <f>-1*F62*((G51/F51)^2+(G$34/F$34)^2+(G$8/F$8)^2)^0.5</f>
        <v>7.4869574093886768E-2</v>
      </c>
      <c r="H62" s="21">
        <f t="shared" ref="H62:H68" si="3">H51*H$34*H$8</f>
        <v>-7.6815625000000001</v>
      </c>
      <c r="I62" s="21">
        <f>-1*H62*((I51/H51)^2+(I$34/H$34)^2+(I$8/H$8)^2)^0.5</f>
        <v>0.53425399785917904</v>
      </c>
      <c r="J62" s="21">
        <f t="shared" ref="J62:J68" si="4">J51*J$34*J$8</f>
        <v>-33.075899999999997</v>
      </c>
      <c r="K62" s="21">
        <f>-1*J62*((K51/J51)^2+(K$34/J$34)^2+(K$8/J$8)^2)^0.5</f>
        <v>2.6475927905410606</v>
      </c>
      <c r="L62" s="21">
        <f t="shared" ref="L62:L68" si="5">L51*L$34*L$8</f>
        <v>-6.9143750000000015</v>
      </c>
      <c r="M62" s="21">
        <f>-1*L62*((M51/L51)^2+(M$34/L$34)^2+(M$8/L$8)^2)^0.5</f>
        <v>0.81670042188158731</v>
      </c>
      <c r="N62" s="21">
        <f t="shared" ref="N62:N68" si="6">N51*N$34*N$8</f>
        <v>-22.391624999999998</v>
      </c>
      <c r="O62" s="21">
        <f>-1*N62*((O51/N51)^2+(O$34/N$34)^2+(O$8/N$8)^2)^0.5</f>
        <v>1.5465818650661736</v>
      </c>
      <c r="P62" s="21">
        <f t="shared" ref="P62:P68" si="7">P51*P$34*P$8</f>
        <v>-6.5137499999999999</v>
      </c>
      <c r="Q62" s="21">
        <f>-1*P62*((Q51/P51)^2+(Q$34/P$34)^2+(Q$8/P$8)^2)^0.5</f>
        <v>0.5641072973900888</v>
      </c>
      <c r="R62" s="21">
        <f t="shared" ref="R62:R68" si="8">R51*R$34*R$8</f>
        <v>-6.9997500000000006</v>
      </c>
      <c r="S62" s="21">
        <f>-1*R62*((S51/R51)^2+(S$34/R$34)^2+(S$8/R$8)^2)^0.5</f>
        <v>0.60619613201401257</v>
      </c>
      <c r="T62" s="21">
        <f t="shared" ref="T62:T68" si="9">T51*T$34*T$8</f>
        <v>-20.295000000000002</v>
      </c>
      <c r="U62" s="21">
        <f>-1*T62*((U51/T51)^2+(U$34/T$34)^2+(U$8/T$8)^2)^0.5</f>
        <v>1.7575985569805186</v>
      </c>
      <c r="V62" s="21">
        <f t="shared" ref="V62:V68" si="10">V51*V$34*V$8</f>
        <v>-31.284000000000002</v>
      </c>
      <c r="W62" s="21">
        <f>-1*V62*((W51/V51)^2+(W$34/V$34)^2+(W$8/V$8)^2)^0.5</f>
        <v>2.7092738731992387</v>
      </c>
      <c r="X62" s="21">
        <f t="shared" ref="X62:X68" si="11">X51*X$34*X$8</f>
        <v>-31.08</v>
      </c>
      <c r="Y62" s="21">
        <f>-1*X62*((Y51/X51)^2+(Y$34/X$34)^2+(Y$8/X$8)^2)^0.5</f>
        <v>2.6916069549620358</v>
      </c>
      <c r="Z62" s="21">
        <f t="shared" ref="Z62:Z68" si="12">Z51*Z$34*Z$8</f>
        <v>-37.457850000000001</v>
      </c>
      <c r="AA62" s="21">
        <f>-1*Z62*((AA51/Z51)^2+(AA$34/Z$34)^2+(AA$8/Z$8)^2)^0.5</f>
        <v>2.8376956723821287</v>
      </c>
      <c r="AB62" s="21">
        <f t="shared" ref="AB62:AB68" si="13">AB51*AB$34*AB$8</f>
        <v>-69.43612499999999</v>
      </c>
      <c r="AC62" s="21">
        <f>-1*AB62*((AC51/AB51)^2+(AC$34/AB$34)^2+(AC$8/AB$8)^2)^0.5</f>
        <v>3.7351332480467239</v>
      </c>
      <c r="AD62" s="21">
        <f t="shared" ref="AD62:AD68" si="14">AD51*AD$34*AD$8</f>
        <v>-86.043374999999997</v>
      </c>
      <c r="AE62" s="21">
        <f>-1*AD62*((AE51/AD51)^2+(AE$34/AD$34)^2+(AE$8/AD$8)^2)^0.5</f>
        <v>4.620574387627749</v>
      </c>
      <c r="AF62" s="21">
        <f t="shared" ref="AF62:AF68" si="15">AF51*AF$34*AF$8</f>
        <v>-29.418975000000003</v>
      </c>
      <c r="AG62" s="21">
        <f>-1*AF62*((AG51/AF51)^2+(AG$34/AF$34)^2+(AG$8/AF$8)^2)^0.5</f>
        <v>1.6329353879981172</v>
      </c>
      <c r="AH62" s="21">
        <f t="shared" ref="AH62:AH68" si="16">AH51*AH$34*AH$8</f>
        <v>-64.209074999999999</v>
      </c>
      <c r="AI62" s="21">
        <f>-1*AH62*((AI51/AH51)^2+(AI$34/AH$34)^2+(AI$8/AH$8)^2)^0.5</f>
        <v>5.3421804819300194</v>
      </c>
      <c r="AJ62" s="21">
        <f t="shared" ref="AJ62:AJ68" si="17">AJ51*AJ$34*AJ$8</f>
        <v>-77.734800000000007</v>
      </c>
      <c r="AK62" s="21">
        <f>-1*AJ62*((AK51/AJ51)^2+(AK$34/AJ$34)^2+(AK$8/AJ$8)^2)^0.5</f>
        <v>4.5231505970092369</v>
      </c>
      <c r="AL62" s="21">
        <f t="shared" ref="AL62:AL68" si="18">AL51*AL$34*AL$8</f>
        <v>-9.0888000000000009</v>
      </c>
      <c r="AM62" s="21">
        <f>-1*AL62*((AM51/AL51)^2+(AM$34/AL$34)^2+(AM$8/AL$8)^2)^0.5</f>
        <v>0.7347375542328024</v>
      </c>
      <c r="AN62" s="21">
        <f t="shared" ref="AN62:AN68" si="19">AN51*AN$34*AN$8</f>
        <v>-10.368</v>
      </c>
      <c r="AO62" s="21">
        <f>-1*AN62*((AO51/AN51)^2+(AO$34/AN$34)^2+(AO$8/AN$8)^2)^0.5</f>
        <v>0.95233741919552861</v>
      </c>
      <c r="AP62" s="21">
        <f t="shared" ref="AP62:AP68" si="20">AP51*AP$34*AP$8</f>
        <v>-9.8826000000000001</v>
      </c>
      <c r="AQ62" s="21">
        <f>-1*AP62*((AQ51/AP51)^2+(AQ$34/AP$34)^2+(AQ$8/AP$8)^2)^0.5</f>
        <v>0.80880535167616208</v>
      </c>
      <c r="AR62" s="21">
        <f t="shared" ref="AR62:AR68" si="21">AR51*AR$34*AR$8</f>
        <v>-8.1840000000000011</v>
      </c>
      <c r="AS62" s="21">
        <f>-1*AR62*((AS51/AR51)^2+(AS$34/AR$34)^2+(AS$8/AR$8)^2)^0.5</f>
        <v>0.73642965719748155</v>
      </c>
      <c r="AT62" s="21">
        <f t="shared" ref="AT62:AT68" si="22">AT51*AT$34*AT$8</f>
        <v>-8.9856000000000016</v>
      </c>
      <c r="AU62" s="21">
        <f>-1*AT62*((AU51/AT51)^2+(AU$34/AT$34)^2+(AU$8/AT$8)^2)^0.5</f>
        <v>0.72328721597993162</v>
      </c>
      <c r="AV62" s="21">
        <f t="shared" ref="AV62:AV68" si="23">AV51*AV$34*AV$8</f>
        <v>-9.2983999999999991</v>
      </c>
      <c r="AW62" s="21">
        <f>-1*AV62*((AW51/AV51)^2+(AW$34/AV$34)^2+(AW$8/AV$8)^2)^0.5</f>
        <v>0.79262527337954602</v>
      </c>
      <c r="AX62" s="21">
        <f t="shared" ref="AX62:AX68" si="24">AX51*AX$34*AX$8</f>
        <v>-371.4282</v>
      </c>
      <c r="AY62" s="21">
        <f>-1*AX62*((AY51/AX51)^2+(AY$34/AX$34)^2+(AY$8/AX$8)^2)^0.5</f>
        <v>32.166625688192731</v>
      </c>
      <c r="AZ62" s="21">
        <f t="shared" ref="AZ62:AZ68" si="25">AZ51*AZ$34*AZ$8</f>
        <v>-431.96400000000006</v>
      </c>
      <c r="BA62" s="21">
        <f>-1*AZ62*((BA51/AZ51)^2+(BA$34/AZ$34)^2+(BA$8/AZ$8)^2)^0.5</f>
        <v>37.409179752034134</v>
      </c>
      <c r="BB62" s="21">
        <f t="shared" ref="BB62:BB68" si="26">BB51*BB$34*BB$8</f>
        <v>-490.77600000000007</v>
      </c>
      <c r="BC62" s="21">
        <f>-1*BB62*((BC51/BB51)^2+(BC$34/BB$34)^2+(BC$8/BB$8)^2)^0.5</f>
        <v>42.502448356771175</v>
      </c>
      <c r="BD62" s="21">
        <f t="shared" ref="BD62:BD68" si="27">BD51*BD$34*BD$8</f>
        <v>-4.59375</v>
      </c>
      <c r="BE62" s="21">
        <f>-1*BD62*((BE51/BD51)^2+(BE$34/BD$34)^2+(BE$8/BD$8)^2)^0.5</f>
        <v>0.32535366150138006</v>
      </c>
      <c r="BF62" s="21">
        <f t="shared" ref="BF62:BF68" si="28">BF51*BF$34*BF$8</f>
        <v>-3.53125</v>
      </c>
      <c r="BG62" s="21">
        <f>-1*BF62*((BG51/BF51)^2+(BG$34/BF$34)^2+(BG$8/BF$8)^2)^0.5</f>
        <v>0.25153477247937778</v>
      </c>
      <c r="BH62" s="21">
        <f t="shared" ref="BH62:BH68" si="29">BH51*BH$34*BH$8</f>
        <v>-4.75</v>
      </c>
      <c r="BI62" s="21">
        <f>-1*BH62*((BI51/BH51)^2+(BI$34/BH$34)^2+(BI$8/BH$8)^2)^0.5</f>
        <v>0.46841852627145592</v>
      </c>
      <c r="BJ62" s="21">
        <f t="shared" ref="BJ62:BJ68" si="30">BJ51*BJ$34*BJ$8</f>
        <v>-4.4145833333333337</v>
      </c>
      <c r="BK62" s="21">
        <f>-1*BJ62*((BK51/BJ51)^2+(BK$34/BJ$34)^2+(BK$8/BJ$8)^2)^0.5</f>
        <v>0.38180413343420072</v>
      </c>
      <c r="BL62" s="21">
        <f t="shared" ref="BL62:BL68" si="31">BL51*BL$34*BL$8</f>
        <v>-4.4329166666666664</v>
      </c>
      <c r="BM62" s="21">
        <f>-1*BL62*((BM51/BL51)^2+(BM$34/BL$34)^2+(BM$8/BL$8)^2)^0.5</f>
        <v>0.41903319122993948</v>
      </c>
      <c r="BN62" s="21">
        <f t="shared" ref="BN62:BN68" si="32">BN51*BN$34*BN$8</f>
        <v>-4.4370833333333328</v>
      </c>
      <c r="BO62" s="21">
        <f>-1*BN62*((BO51/BN51)^2+(BO$34/BN$34)^2+(BO$8/BN$8)^2)^0.5</f>
        <v>0.398245024407128</v>
      </c>
      <c r="BP62" s="21">
        <f t="shared" ref="BP62:BP68" si="33">BP51*BP$34*BP$8</f>
        <v>-3.7053124999999998</v>
      </c>
      <c r="BQ62" s="21">
        <f>-1*BP62*((BQ51/BP51)^2+(BQ$34/BP$34)^2+(BQ$8/BP$8)^2)^0.5</f>
        <v>0.43526908101596767</v>
      </c>
      <c r="BR62" s="21">
        <f t="shared" ref="BR62:BR68" si="34">BR51*BR$34*BR$8</f>
        <v>-3.4187500000000002</v>
      </c>
      <c r="BS62" s="21">
        <f>-1*BR62*((BS51/BR51)^2+(BS$34/BR$34)^2+(BS$8/BR$8)^2)^0.5</f>
        <v>0.25772177660698053</v>
      </c>
      <c r="BT62" s="21">
        <f t="shared" ref="BT62:BT68" si="35">BT51*BT$34*BT$8</f>
        <v>-3.2696874999999999</v>
      </c>
      <c r="BU62" s="21">
        <f>-1*BT62*((BU51/BT51)^2+(BU$34/BT$34)^2+(BU$8/BT$8)^2)^0.5</f>
        <v>0.26278931907324243</v>
      </c>
      <c r="BV62" s="21">
        <f t="shared" ref="BV62:BV68" si="36">BV51*BV$34*BV$8</f>
        <v>-3.2809374999999994</v>
      </c>
      <c r="BW62" s="21">
        <f>-1*BV62*((BW51/BV51)^2+(BW$34/BV$34)^2+(BW$8/BV$8)^2)^0.5</f>
        <v>0.26267754980336483</v>
      </c>
      <c r="BX62" s="21">
        <f t="shared" ref="BX62:BX68" si="37">BX51*BX$34*BX$8</f>
        <v>-6.7157999999999998</v>
      </c>
      <c r="BY62" s="21">
        <f>-1*BX62*((BY51/BX51)^2+(BY$34/BX$34)^2+(BY$8/BX$8)^2)^0.5</f>
        <v>0.65094694415136478</v>
      </c>
      <c r="BZ62" s="21">
        <f t="shared" ref="BZ62:BZ68" si="38">BZ51*BZ$34*BZ$8</f>
        <v>-13.038</v>
      </c>
      <c r="CA62" s="21">
        <f>-1*BZ62*((CA51/BZ51)^2+(CA$34/BZ$34)^2+(CA$8/BZ$8)^2)^0.5</f>
        <v>1.0351490762204254</v>
      </c>
    </row>
    <row r="63" spans="1:79" x14ac:dyDescent="0.25">
      <c r="A63" t="s">
        <v>160</v>
      </c>
      <c r="B63" s="21">
        <f t="shared" si="0"/>
        <v>-10.030000000000001</v>
      </c>
      <c r="C63" s="21">
        <f>-1*B63*((C52/B52)^2+(C$34/B$34)^2+(C$8/B$8)^2)^0.5</f>
        <v>0.81198607785170818</v>
      </c>
      <c r="D63" s="21">
        <f t="shared" si="1"/>
        <v>-2.5818750000000001</v>
      </c>
      <c r="E63" s="21">
        <f>-1*D63*((E52/D52)^2+(E$34/D$34)^2+(E$8/D$8)^2)^0.5</f>
        <v>0.53531273806912394</v>
      </c>
      <c r="F63" s="21">
        <f t="shared" si="2"/>
        <v>-9.0787500000000012</v>
      </c>
      <c r="G63" s="21">
        <f>-1*F63*((G52/F52)^2+(G$34/F$34)^2+(G$8/F$8)^2)^0.5</f>
        <v>0.59011144670413751</v>
      </c>
      <c r="H63" s="21">
        <f t="shared" si="3"/>
        <v>5.7868750000000002</v>
      </c>
      <c r="I63" s="21">
        <f>H63*((I52/H52)^2+(I$34/H$34)^2+(I$8/H$8)^2)^0.5</f>
        <v>0.39003190098896084</v>
      </c>
      <c r="J63" s="21">
        <f t="shared" si="4"/>
        <v>22.651199999999999</v>
      </c>
      <c r="K63" s="21">
        <f>J63*((K52/J52)^2+(K$34/J$34)^2+(K$8/J$8)^2)^0.5</f>
        <v>1.7727322412662887</v>
      </c>
      <c r="L63" s="21">
        <f t="shared" si="5"/>
        <v>0.73312500000000003</v>
      </c>
      <c r="M63" s="21">
        <f>L63*((M52/L52)^2+(M$34/L$34)^2+(M$8/L$8)^2)^0.5</f>
        <v>9.3348771625889657E-2</v>
      </c>
      <c r="N63" s="21">
        <f t="shared" si="6"/>
        <v>4.8111000000000006</v>
      </c>
      <c r="O63" s="21">
        <f>N63*((O52/N52)^2+(O$34/N$34)^2+(O$8/N$8)^2)^0.5</f>
        <v>0.28423625794618451</v>
      </c>
      <c r="P63" s="21">
        <f t="shared" si="7"/>
        <v>1.9237500000000001</v>
      </c>
      <c r="Q63" s="21">
        <f>P63*((Q52/P52)^2+(Q$34/P$34)^2+(Q$8/P$8)^2)^0.5</f>
        <v>0.16660163705303141</v>
      </c>
      <c r="R63" s="21">
        <f t="shared" si="8"/>
        <v>2.1419999999999999</v>
      </c>
      <c r="S63" s="21">
        <f>R63*((S52/R52)^2+(S$34/R$34)^2+(S$8/R$8)^2)^0.5</f>
        <v>0.18550264149062679</v>
      </c>
      <c r="T63" s="21">
        <f t="shared" si="9"/>
        <v>7.1775000000000002</v>
      </c>
      <c r="U63" s="21">
        <f>T63*((U52/T52)^2+(U$34/T$34)^2+(U$8/T$8)^2)^0.5</f>
        <v>0.621589733566281</v>
      </c>
      <c r="V63" s="21">
        <f t="shared" si="10"/>
        <v>12.771000000000001</v>
      </c>
      <c r="W63" s="21">
        <f>V63*((W52/V52)^2+(W$34/V$34)^2+(W$8/V$8)^2)^0.5</f>
        <v>1.1060010431731069</v>
      </c>
      <c r="X63" s="21">
        <f t="shared" si="11"/>
        <v>12.809999999999999</v>
      </c>
      <c r="Y63" s="21">
        <f>X63*((Y52/X52)^2+(Y$34/X$34)^2+(Y$8/X$8)^2)^0.5</f>
        <v>1.1093785422478659</v>
      </c>
      <c r="Z63" s="21">
        <f t="shared" si="12"/>
        <v>28.108200000000004</v>
      </c>
      <c r="AA63" s="21">
        <f>-Z63*((AA52/Z52)^2+(AA$34/Z$34)^2+(AA$8/Z$8)^2)^0.5</f>
        <v>-2.4384419857974904</v>
      </c>
      <c r="AB63" s="21">
        <f t="shared" si="13"/>
        <v>50.007374999999996</v>
      </c>
      <c r="AC63" s="21">
        <f>AB63*((AC52/AB52)^2+(AC$34/AB$34)^2+(AC$8/AB$8)^2)^0.5</f>
        <v>2.8062616755394649</v>
      </c>
      <c r="AD63" s="21">
        <f t="shared" si="14"/>
        <v>53.435249999999996</v>
      </c>
      <c r="AE63" s="21">
        <f>AD63*((AE52/AD52)^2+(AE$34/AD$34)^2+(AE$8/AD$8)^2)^0.5</f>
        <v>2.9435134044252722</v>
      </c>
      <c r="AF63" s="21">
        <f t="shared" si="15"/>
        <v>11.663842500000001</v>
      </c>
      <c r="AG63" s="21">
        <f>AF63*((AG52/AF52)^2+(AG$34/AF$34)^2+(AG$8/AF$8)^2)^0.5</f>
        <v>2.9395810886033593</v>
      </c>
      <c r="AH63" s="21">
        <f t="shared" si="16"/>
        <v>33.429225000000002</v>
      </c>
      <c r="AI63" s="21">
        <f>AH63*((AI52/AH52)^2+(AI$34/AH$34)^2+(AI$8/AH$8)^2)^0.5</f>
        <v>3.2153732366362315</v>
      </c>
      <c r="AJ63" s="21">
        <f t="shared" si="17"/>
        <v>36.872550000000004</v>
      </c>
      <c r="AK63" s="21">
        <f>AJ63*((AK52/AJ52)^2+(AK$34/AJ$34)^2+(AK$8/AJ$8)^2)^0.5</f>
        <v>2.1756621891406409</v>
      </c>
      <c r="AL63" s="21">
        <f t="shared" si="18"/>
        <v>4.5985000000000005</v>
      </c>
      <c r="AM63" s="21">
        <f>AL63*((AM52/AL52)^2+(AM$34/AL$34)^2+(AM$8/AL$8)^2)^0.5</f>
        <v>0.41065151360368812</v>
      </c>
      <c r="AN63" s="21">
        <f t="shared" si="19"/>
        <v>4.7519999999999998</v>
      </c>
      <c r="AO63" s="21">
        <f>AN63*((AO52/AN52)^2+(AO$34/AN$34)^2+(AO$8/AN$8)^2)^0.5</f>
        <v>0.4566768660661496</v>
      </c>
      <c r="AP63" s="21">
        <f t="shared" si="20"/>
        <v>4.8507999999999996</v>
      </c>
      <c r="AQ63" s="21">
        <f>AP63*((AQ52/AP52)^2+(AQ$34/AP$34)^2+(AQ$8/AP$8)^2)^0.5</f>
        <v>0.40081144145345948</v>
      </c>
      <c r="AR63" s="21">
        <f t="shared" si="21"/>
        <v>4.3296000000000001</v>
      </c>
      <c r="AS63" s="21">
        <f>AR63*((AS52/AR52)^2+(AS$34/AR$34)^2+(AS$8/AR$8)^2)^0.5</f>
        <v>0.50217661275690662</v>
      </c>
      <c r="AT63" s="21">
        <f t="shared" si="22"/>
        <v>5.2083200000000005</v>
      </c>
      <c r="AU63" s="21">
        <f>AT63*((AU52/AT52)^2+(AU$34/AT$34)^2+(AU$8/AT$8)^2)^0.5</f>
        <v>0.43902395772440489</v>
      </c>
      <c r="AV63" s="21">
        <f t="shared" si="23"/>
        <v>5.8150399999999998</v>
      </c>
      <c r="AW63" s="21">
        <f>AV63*((AW52/AV52)^2+(AW$34/AV$34)^2+(AW$8/AV$8)^2)^0.5</f>
        <v>0.82866370833046621</v>
      </c>
      <c r="AX63" s="21">
        <f t="shared" si="24"/>
        <v>241.54000000000002</v>
      </c>
      <c r="AY63" s="21">
        <f>AX63*((AY52/AX52)^2+(AY$34/AX$34)^2+(AY$8/AX$8)^2)^0.5</f>
        <v>20.917977603009337</v>
      </c>
      <c r="AZ63" s="21">
        <f t="shared" si="25"/>
        <v>289.64000000000004</v>
      </c>
      <c r="BA63" s="21">
        <f>AZ63*((BA52/AZ52)^2+(BA$34/AZ$34)^2+(BA$8/AZ$8)^2)^0.5</f>
        <v>25.083559795212487</v>
      </c>
      <c r="BB63" s="21">
        <f t="shared" si="26"/>
        <v>335.14000000000004</v>
      </c>
      <c r="BC63" s="21">
        <f>BB63*((BC52/BB52)^2+(BC$34/BB$34)^2+(BC$8/BB$8)^2)^0.5</f>
        <v>29.023975382431686</v>
      </c>
      <c r="BD63" s="21">
        <f t="shared" si="27"/>
        <v>2.2999999999999998</v>
      </c>
      <c r="BE63" s="21">
        <f>BD63*((BE52/BD52)^2+(BE$34/BD$34)^2+(BE$8/BD$8)^2)^0.5</f>
        <v>0.19023344494912214</v>
      </c>
      <c r="BF63" s="21">
        <f t="shared" si="28"/>
        <v>2.2687499999999998</v>
      </c>
      <c r="BG63" s="21">
        <f>BF63*((BG52/BF52)^2+(BG$34/BF$34)^2+(BG$8/BF$8)^2)^0.5</f>
        <v>0.19715774473191408</v>
      </c>
      <c r="BH63" s="21">
        <f t="shared" si="29"/>
        <v>2.375</v>
      </c>
      <c r="BI63" s="21">
        <f>BH63*((BI52/BH52)^2+(BI$34/BH$34)^2+(BI$8/BH$8)^2)^0.5</f>
        <v>0.20568103339880422</v>
      </c>
      <c r="BJ63" s="21">
        <f t="shared" si="30"/>
        <v>1.854125</v>
      </c>
      <c r="BK63" s="21">
        <f>BJ63*((BK52/BJ52)^2+(BK$34/BJ$34)^2+(BK$8/BJ$8)^2)^0.5</f>
        <v>0.16057193517918225</v>
      </c>
      <c r="BL63" s="21">
        <f t="shared" si="31"/>
        <v>1.4185333333333334</v>
      </c>
      <c r="BM63" s="21">
        <f>BL63*((BM52/BL52)^2+(BM$34/BL$34)^2+(BM$8/BL$8)^2)^0.5</f>
        <v>0.12284859027816858</v>
      </c>
      <c r="BN63" s="21">
        <f t="shared" si="32"/>
        <v>0.70993333333333331</v>
      </c>
      <c r="BO63" s="21">
        <f>BN63*((BO52/BN52)^2+(BO$34/BN$34)^2+(BO$8/BN$8)^2)^0.5</f>
        <v>6.1482030166003253E-2</v>
      </c>
      <c r="BP63" s="21">
        <f t="shared" si="33"/>
        <v>1.8156031249999995</v>
      </c>
      <c r="BQ63" s="21">
        <f>BP63*((BQ52/BP52)^2+(BQ$34/BP$34)^2+(BQ$8/BP$8)^2)^0.5</f>
        <v>0.15723584294404136</v>
      </c>
      <c r="BR63" s="21">
        <f t="shared" si="34"/>
        <v>1.7093750000000001</v>
      </c>
      <c r="BS63" s="21">
        <f>BR63*((BS52/BR52)^2+(BS$34/BR$34)^2+(BS$8/BR$8)^2)^0.5</f>
        <v>0.14803621745940251</v>
      </c>
      <c r="BT63" s="21">
        <f t="shared" si="35"/>
        <v>1.7983281250000001</v>
      </c>
      <c r="BU63" s="21">
        <f>BT63*((BU52/BT52)^2+(BU$34/BT$34)^2+(BU$8/BT$8)^2)^0.5</f>
        <v>0.15573978405900377</v>
      </c>
      <c r="BV63" s="21">
        <f t="shared" si="36"/>
        <v>1.7717062499999998</v>
      </c>
      <c r="BW63" s="21">
        <f>BV63*((BW52/BV52)^2+(BW$34/BV$34)^2+(BW$8/BV$8)^2)^0.5</f>
        <v>0.15343426205436636</v>
      </c>
      <c r="BX63" s="21">
        <f t="shared" si="37"/>
        <v>4.7736000000000001</v>
      </c>
      <c r="BY63" s="21">
        <f>BX63*((BY52/BX52)^2+(BY$34/BX$34)^2+(BY$8/BX$8)^2)^0.5</f>
        <v>0.46057058351570829</v>
      </c>
      <c r="BZ63" s="21">
        <f t="shared" si="38"/>
        <v>4.0179999999999998</v>
      </c>
      <c r="CA63" s="21">
        <f>BZ63*((CA52/BZ52)^2+(CA$34/BZ$34)^2+(CA$8/BZ$8)^2)^0.5</f>
        <v>0.31711601977825082</v>
      </c>
    </row>
    <row r="64" spans="1:79" x14ac:dyDescent="0.25">
      <c r="A64" t="s">
        <v>161</v>
      </c>
      <c r="B64" s="21">
        <f t="shared" si="0"/>
        <v>-27.741875</v>
      </c>
      <c r="C64" s="21">
        <f>-1*B64*((C53/B53)^2+(C$34/B$34)^2+(C$8/B$8)^2)^0.5</f>
        <v>2.2257193730430309</v>
      </c>
      <c r="D64" s="21">
        <f t="shared" si="1"/>
        <v>-6.3562499999999993</v>
      </c>
      <c r="E64" s="21">
        <f>-1*D64*((E53/D53)^2+(E$34/D$34)^2+(E$8/D$8)^2)^0.5</f>
        <v>1.178842826739956</v>
      </c>
      <c r="F64" s="21">
        <f t="shared" si="2"/>
        <v>-26.358750000000001</v>
      </c>
      <c r="G64" s="21">
        <f>-1*F64*((G53/F53)^2+(G$34/F$34)^2+(G$8/F$8)^2)^0.5</f>
        <v>1.462617608786128</v>
      </c>
      <c r="H64" s="21">
        <f t="shared" si="3"/>
        <v>0.205625</v>
      </c>
      <c r="I64" s="21">
        <f>H64*((I53/H53)^2+(I$34/H$34)^2+(I$8/H$8)^2)^0.5</f>
        <v>1.9949668112840876E-2</v>
      </c>
      <c r="J64" s="21">
        <f t="shared" si="4"/>
        <v>0.46331999999999995</v>
      </c>
      <c r="K64" s="21">
        <f>J64*((K53/J53)^2+(K$34/J$34)^2+(K$8/J$8)^2)^0.5</f>
        <v>0.11172363878002724</v>
      </c>
      <c r="L64" s="21">
        <f t="shared" si="5"/>
        <v>-11.399374999999999</v>
      </c>
      <c r="M64" s="21">
        <f>-1*L64*((M53/L53)^2+(M$34/L$34)^2+(M$8/L$8)^2)^0.5</f>
        <v>1.5422924296243441</v>
      </c>
      <c r="N64" s="21">
        <f t="shared" si="6"/>
        <v>-32.200874999999996</v>
      </c>
      <c r="O64" s="21">
        <f>-1*N64*((O53/N53)^2+(O$34/N$34)^2+(O$8/N$8)^2)^0.5</f>
        <v>2.5998273562948495</v>
      </c>
      <c r="P64" s="21">
        <f t="shared" si="7"/>
        <v>-4.3875000000000002</v>
      </c>
      <c r="Q64" s="21">
        <f>-1*P64*((Q53/P53)^2+(Q$34/P$34)^2+(Q$8/P$8)^2)^0.5</f>
        <v>0.37996864591042251</v>
      </c>
      <c r="R64" s="21">
        <f t="shared" si="8"/>
        <v>-4.6664999999999992</v>
      </c>
      <c r="S64" s="21">
        <f>-1*R64*((S53/R53)^2+(S$34/R$34)^2+(S$8/R$8)^2)^0.5</f>
        <v>0.40413075467600829</v>
      </c>
      <c r="T64" s="21">
        <f t="shared" si="9"/>
        <v>-10.312500000000002</v>
      </c>
      <c r="U64" s="21">
        <f>-1*T64*((U53/T53)^2+(U$34/T$34)^2+(U$8/T$8)^2)^0.5</f>
        <v>0.89308869765270271</v>
      </c>
      <c r="V64" s="21">
        <f t="shared" si="10"/>
        <v>-12.177</v>
      </c>
      <c r="W64" s="21">
        <f>-1*V64*((W53/V53)^2+(W$34/V$34)^2+(W$8/V$8)^2)^0.5</f>
        <v>1.0545591341883112</v>
      </c>
      <c r="X64" s="21">
        <f t="shared" si="11"/>
        <v>-12.074999999999999</v>
      </c>
      <c r="Y64" s="21">
        <f>-1*X64*((Y53/X53)^2+(Y$34/X$34)^2+(Y$8/X$8)^2)^0.5</f>
        <v>1.0457256750697097</v>
      </c>
      <c r="Z64" s="21">
        <f t="shared" si="12"/>
        <v>0.33180000000000004</v>
      </c>
      <c r="AA64" s="21">
        <f>Z64*((AA53/Z53)^2+(AA$34/Z$34)^2+(AA$8/Z$8)^2)^0.5</f>
        <v>8.5525964478630659E-2</v>
      </c>
      <c r="AB64" s="21">
        <f t="shared" si="13"/>
        <v>0.25987499999999997</v>
      </c>
      <c r="AC64" s="21">
        <f>AB64*((AC53/AB53)^2+(AC$34/AB$34)^2+(AC$8/AB$8)^2)^0.5</f>
        <v>0.22313422118550644</v>
      </c>
      <c r="AD64" s="21">
        <f t="shared" si="14"/>
        <v>0.33412500000000001</v>
      </c>
      <c r="AE64" s="21">
        <f>AD64*((AE53/AD53)^2+(AE$34/AD$34)^2+(AE$8/AD$8)^2)^0.5</f>
        <v>0.18641926379551679</v>
      </c>
      <c r="AF64" s="21">
        <f t="shared" si="15"/>
        <v>-8.6170050000000007</v>
      </c>
      <c r="AG64" s="21">
        <f>-1*AF64*((AG53/AF53)^2+(AG$34/AF$34)^2+(AG$8/AF$8)^2)^0.5</f>
        <v>1.0625537580077125</v>
      </c>
      <c r="AH64" s="21">
        <f t="shared" si="16"/>
        <v>-24.32715</v>
      </c>
      <c r="AI64" s="21">
        <f>-1*AH64*((AI53/AH53)^2+(AI$34/AH$34)^2+(AI$8/AH$8)^2)^0.5</f>
        <v>2.2689261199532798</v>
      </c>
      <c r="AJ64" s="21">
        <f t="shared" si="17"/>
        <v>-21.138975000000002</v>
      </c>
      <c r="AK64" s="21">
        <f>-1*AJ64*((AK53/AJ53)^2+(AK$34/AJ$34)^2+(AK$8/AJ$8)^2)^0.5</f>
        <v>1.81321964647876</v>
      </c>
      <c r="AL64" s="21">
        <f t="shared" si="18"/>
        <v>0</v>
      </c>
      <c r="AM64" s="21">
        <v>0</v>
      </c>
      <c r="AN64" s="21">
        <f t="shared" si="19"/>
        <v>0</v>
      </c>
      <c r="AO64" s="21">
        <v>0</v>
      </c>
      <c r="AP64" s="21">
        <f t="shared" si="20"/>
        <v>0</v>
      </c>
      <c r="AQ64" s="21">
        <v>0</v>
      </c>
      <c r="AR64" s="21">
        <f t="shared" si="21"/>
        <v>0</v>
      </c>
      <c r="AS64" s="21">
        <v>0</v>
      </c>
      <c r="AT64" s="21">
        <f t="shared" si="22"/>
        <v>0.29120000000000001</v>
      </c>
      <c r="AU64" s="21">
        <f>AT64*((AU53/AT53)^2+(AU$34/AT$34)^2+(AU$8/AT$8)^2)^0.5</f>
        <v>6.9048296141179341E-2</v>
      </c>
      <c r="AV64" s="21">
        <f t="shared" si="23"/>
        <v>0</v>
      </c>
      <c r="AW64" s="21" t="e">
        <f>AV64*((AW53/AV53)^2+(AW$34/AV$34)^2+(AW$8/AV$8)^2)^0.5</f>
        <v>#DIV/0!</v>
      </c>
      <c r="AX64" s="21">
        <f t="shared" si="24"/>
        <v>0</v>
      </c>
      <c r="AY64" s="21">
        <v>0</v>
      </c>
      <c r="AZ64" s="21">
        <f t="shared" si="25"/>
        <v>0</v>
      </c>
      <c r="BA64" s="21">
        <v>0</v>
      </c>
      <c r="BB64" s="21">
        <f t="shared" si="26"/>
        <v>0</v>
      </c>
      <c r="BC64" s="21">
        <v>0</v>
      </c>
      <c r="BD64" s="21">
        <f t="shared" si="27"/>
        <v>0</v>
      </c>
      <c r="BE64" s="21">
        <v>0</v>
      </c>
      <c r="BF64" s="21">
        <f t="shared" si="28"/>
        <v>0</v>
      </c>
      <c r="BG64" s="21">
        <v>0</v>
      </c>
      <c r="BH64" s="21">
        <f t="shared" si="29"/>
        <v>0</v>
      </c>
      <c r="BI64" s="21">
        <v>0</v>
      </c>
      <c r="BJ64" s="21">
        <f t="shared" si="30"/>
        <v>-0.90666666666666684</v>
      </c>
      <c r="BK64" s="21">
        <v>0</v>
      </c>
      <c r="BL64" s="21">
        <f t="shared" si="31"/>
        <v>-1.8133333333333335</v>
      </c>
      <c r="BM64" s="21">
        <v>0</v>
      </c>
      <c r="BN64" s="21">
        <f t="shared" si="32"/>
        <v>-3.5804166666666677</v>
      </c>
      <c r="BO64" s="21">
        <v>0</v>
      </c>
      <c r="BP64" s="21">
        <f t="shared" si="33"/>
        <v>0</v>
      </c>
      <c r="BQ64" s="21">
        <v>0</v>
      </c>
      <c r="BR64" s="21">
        <f t="shared" si="34"/>
        <v>0</v>
      </c>
      <c r="BS64" s="21">
        <v>0</v>
      </c>
      <c r="BT64" s="21">
        <f t="shared" si="35"/>
        <v>0</v>
      </c>
      <c r="BU64" s="21">
        <v>0</v>
      </c>
      <c r="BV64" s="21">
        <f t="shared" si="36"/>
        <v>0</v>
      </c>
      <c r="BW64" s="21">
        <v>0</v>
      </c>
      <c r="BX64" s="21">
        <f t="shared" si="37"/>
        <v>0.51480000000000004</v>
      </c>
      <c r="BY64" s="21">
        <f>BX64*((BY53/BX53)^2+(BY$34/BX$34)^2+(BY$8/BX$8)^2)^0.5</f>
        <v>4.8557055100160271E-2</v>
      </c>
      <c r="BZ64" s="21">
        <f t="shared" si="38"/>
        <v>0</v>
      </c>
      <c r="CA64" s="21" t="e">
        <f>BZ64*((CA53/BZ53)^2+(CA$34/BZ$34)^2+(CA$8/BZ$8)^2)^0.5</f>
        <v>#DIV/0!</v>
      </c>
    </row>
    <row r="65" spans="1:79" x14ac:dyDescent="0.25">
      <c r="A65" t="s">
        <v>162</v>
      </c>
      <c r="B65" s="21">
        <f t="shared" si="0"/>
        <v>2.5818750000000001</v>
      </c>
      <c r="C65" s="21">
        <f>B65*((C54/B54)^2+(C$34/B$34)^2+(C$8/B$8)^2)^0.5</f>
        <v>0.26197559411911348</v>
      </c>
      <c r="D65" s="21">
        <f t="shared" si="1"/>
        <v>0.63562499999999988</v>
      </c>
      <c r="E65" s="21">
        <f>D65*((E54/D54)^2+(E$34/D$34)^2+(E$8/D$8)^2)^0.5</f>
        <v>9.2524748589566566E-2</v>
      </c>
      <c r="F65" s="21">
        <f t="shared" si="2"/>
        <v>1.535625</v>
      </c>
      <c r="G65" s="21">
        <f>F65*((G54/F54)^2+(G$34/F$34)^2+(G$8/F$8)^2)^0.5</f>
        <v>0.26603818782801181</v>
      </c>
      <c r="H65" s="21">
        <f t="shared" si="3"/>
        <v>1.11625</v>
      </c>
      <c r="I65" s="21">
        <f>H65*((I54/H54)^2+(I$34/H$34)^2+(I$8/H$8)^2)^0.5</f>
        <v>0.10375139306293675</v>
      </c>
      <c r="J65" s="21">
        <f t="shared" si="4"/>
        <v>3.3215325</v>
      </c>
      <c r="K65" s="21">
        <f>J65*((K54/J54)^2+(K$34/J$34)^2+(K$8/J$8)^2)^0.5</f>
        <v>0.26764863118955173</v>
      </c>
      <c r="L65" s="21">
        <f t="shared" si="5"/>
        <v>0.37374999999999997</v>
      </c>
      <c r="M65" s="21">
        <f>L65*((M54/L54)^2+(M$34/L$34)^2+(M$8/L$8)^2)^0.5</f>
        <v>5.7142263529282776E-2</v>
      </c>
      <c r="N65" s="21">
        <f t="shared" si="6"/>
        <v>2.0695125000000001</v>
      </c>
      <c r="O65" s="21">
        <f>N65*((O54/N54)^2+(O$34/N$34)^2+(O$8/N$8)^2)^0.5</f>
        <v>0.21214170663530688</v>
      </c>
      <c r="P65" s="21">
        <f t="shared" si="7"/>
        <v>2.2275</v>
      </c>
      <c r="Q65" s="21">
        <f>P65*((Q54/P54)^2+(Q$34/P$34)^2+(Q$8/P$8)^2)^0.5</f>
        <v>0.19290715869298375</v>
      </c>
      <c r="R65" s="21">
        <f t="shared" si="8"/>
        <v>2.3332499999999996</v>
      </c>
      <c r="S65" s="21">
        <f>R65*((S54/R54)^2+(S$34/R$34)^2+(S$8/R$8)^2)^0.5</f>
        <v>0.20206537733800414</v>
      </c>
      <c r="T65" s="21">
        <f t="shared" si="9"/>
        <v>4.2900000000000009</v>
      </c>
      <c r="U65" s="21">
        <f>T65*((U54/T54)^2+(U$34/T$34)^2+(U$8/T$8)^2)^0.5</f>
        <v>0.3715248982235243</v>
      </c>
      <c r="V65" s="21">
        <f t="shared" si="10"/>
        <v>4.1580000000000004</v>
      </c>
      <c r="W65" s="21">
        <f>V65*((W54/V54)^2+(W$34/V$34)^2+(W$8/V$8)^2)^0.5</f>
        <v>0.36009336289356969</v>
      </c>
      <c r="X65" s="21">
        <f t="shared" si="11"/>
        <v>4.0949999999999998</v>
      </c>
      <c r="Y65" s="21">
        <f>X65*((Y54/X54)^2+(Y$34/X$34)^2+(Y$8/X$8)^2)^0.5</f>
        <v>0.35463740284972767</v>
      </c>
      <c r="Z65" s="21">
        <f t="shared" si="12"/>
        <v>4.3797600000000001</v>
      </c>
      <c r="AA65" s="21">
        <f>Z65*((AA54/Z54)^2+(AA$34/Z$34)^2+(AA$8/Z$8)^2)^0.5</f>
        <v>0.43920423810455173</v>
      </c>
      <c r="AB65" s="21">
        <f t="shared" si="13"/>
        <v>4.2904125000000004</v>
      </c>
      <c r="AC65" s="21">
        <f>AB65*((AC54/AB54)^2+(AC$34/AB$34)^2+(AC$8/AB$8)^2)^0.5</f>
        <v>0.28894162682606073</v>
      </c>
      <c r="AD65" s="21">
        <f t="shared" si="14"/>
        <v>6.4164374999999989</v>
      </c>
      <c r="AE65" s="21">
        <f>AD65*((AE54/AD54)^2+(AE$34/AD$34)^2+(AE$8/AD$8)^2)^0.5</f>
        <v>0.65697323100699179</v>
      </c>
      <c r="AF65" s="21">
        <f t="shared" si="15"/>
        <v>5.4902700000000006</v>
      </c>
      <c r="AG65" s="21">
        <f>AF65*((AG54/AF54)^2+(AG$34/AF$34)^2+(AG$8/AF$8)^2)^0.5</f>
        <v>0.64959414083506761</v>
      </c>
      <c r="AH65" s="21">
        <f t="shared" si="16"/>
        <v>5.7391349999999992</v>
      </c>
      <c r="AI65" s="21">
        <f>AH65*((AI54/AH54)^2+(AI$34/AH$34)^2+(AI$8/AH$8)^2)^0.5</f>
        <v>0.48223870185890577</v>
      </c>
      <c r="AJ65" s="21">
        <f t="shared" si="17"/>
        <v>5.0343149999999994</v>
      </c>
      <c r="AK65" s="21">
        <f>AJ65*((AK54/AJ54)^2+(AK$34/AJ$34)^2+(AK$8/AJ$8)^2)^0.5</f>
        <v>0.4887418143028715</v>
      </c>
      <c r="AL65" s="21">
        <f t="shared" si="18"/>
        <v>1.6230000000000002</v>
      </c>
      <c r="AM65" s="21">
        <f>AL65*((AM54/AL54)^2+(AM$34/AL$34)^2+(AM$8/AL$8)^2)^0.5</f>
        <v>0.13995914582477276</v>
      </c>
      <c r="AN65" s="21">
        <f t="shared" si="19"/>
        <v>2.2079999999999997</v>
      </c>
      <c r="AO65" s="21">
        <f>AN65*((AO54/AN54)^2+(AO$34/AN$34)^2+(AO$8/AN$8)^2)^0.5</f>
        <v>0.20344080220054184</v>
      </c>
      <c r="AP65" s="21">
        <f t="shared" si="20"/>
        <v>2.0634000000000001</v>
      </c>
      <c r="AQ65" s="21">
        <f>AP65*((AQ54/AP54)^2+(AQ$34/AP$34)^2+(AQ$8/AP$8)^2)^0.5</f>
        <v>0.21599548351759582</v>
      </c>
      <c r="AR65" s="21">
        <f t="shared" si="21"/>
        <v>0.84480000000000011</v>
      </c>
      <c r="AS65" s="21">
        <f>AR65*((AS54/AR54)^2+(AS$34/AR$34)^2+(AS$8/AR$8)^2)^0.5</f>
        <v>9.5293533883469755E-2</v>
      </c>
      <c r="AT65" s="21">
        <f t="shared" si="22"/>
        <v>1.5475200000000002</v>
      </c>
      <c r="AU65" s="21">
        <f>AT65*((AU54/AT54)^2+(AU$34/AT$34)^2+(AU$8/AT$8)^2)^0.5</f>
        <v>0.26028006872597836</v>
      </c>
      <c r="AV65" s="21">
        <f t="shared" si="23"/>
        <v>1.7558400000000001</v>
      </c>
      <c r="AW65" s="21">
        <f>AV65*((AW54/AV54)^2+(AW$34/AV$34)^2+(AW$8/AV$8)^2)^0.5</f>
        <v>0.15131607734804656</v>
      </c>
      <c r="AX65" s="21">
        <f t="shared" si="24"/>
        <v>24.895090921201625</v>
      </c>
      <c r="AY65" s="21">
        <f>AX65*((AY54/AX54)^2+(AY$34/AX$34)^2+(AY$8/AX$8)^2)^0.5</f>
        <v>2.1559781167283956</v>
      </c>
      <c r="AZ65" s="21">
        <f t="shared" si="25"/>
        <v>22.378521947645375</v>
      </c>
      <c r="BA65" s="21">
        <f>AZ65*((BA54/AZ54)^2+(BA$34/AZ$34)^2+(BA$8/AZ$8)^2)^0.5</f>
        <v>1.9380368505808512</v>
      </c>
      <c r="BB65" s="21">
        <f t="shared" si="26"/>
        <v>18.373659495104242</v>
      </c>
      <c r="BC65" s="21">
        <f>BB65*((BC54/BB54)^2+(BC$34/BB$34)^2+(BC$8/BB$8)^2)^0.5</f>
        <v>1.591205588324544</v>
      </c>
      <c r="BD65" s="21">
        <f t="shared" si="27"/>
        <v>1.1375</v>
      </c>
      <c r="BE65" s="21">
        <f>BD65*((BE54/BD54)^2+(BE$34/BD$34)^2+(BE$8/BD$8)^2)^0.5</f>
        <v>8.2684300245361025E-2</v>
      </c>
      <c r="BF65" s="21">
        <f t="shared" si="28"/>
        <v>1.1343749999999999</v>
      </c>
      <c r="BG65" s="21">
        <f>BF65*((BG54/BF54)^2+(BG$34/BF$34)^2+(BG$8/BF$8)^2)^0.5</f>
        <v>8.4976427728968199E-2</v>
      </c>
      <c r="BH65" s="21">
        <f t="shared" si="29"/>
        <v>1.1666666666666665</v>
      </c>
      <c r="BI65" s="21">
        <f>BH65*((BI54/BH54)^2+(BI$34/BH$34)^2+(BI$8/BH$8)^2)^0.5</f>
        <v>9.1033826681671703E-2</v>
      </c>
      <c r="BJ65" s="21">
        <f t="shared" si="30"/>
        <v>1.2708333333333333</v>
      </c>
      <c r="BK65" s="21">
        <f>BJ65*((BK54/BJ54)^2+(BK$34/BJ$34)^2+(BK$8/BJ$8)^2)^0.5</f>
        <v>9.415901810972499E-2</v>
      </c>
      <c r="BL65" s="21">
        <f t="shared" si="31"/>
        <v>1.3541666666666667</v>
      </c>
      <c r="BM65" s="21">
        <f>BL65*((BM54/BL54)^2+(BM$34/BL$34)^2+(BM$8/BL$8)^2)^0.5</f>
        <v>0.12506207206927764</v>
      </c>
      <c r="BN65" s="21">
        <f t="shared" si="32"/>
        <v>1.7291666666666667</v>
      </c>
      <c r="BO65" s="21">
        <f>BN65*((BO54/BN54)^2+(BO$34/BN$34)^2+(BO$8/BN$8)^2)^0.5</f>
        <v>0.12326508554996427</v>
      </c>
      <c r="BP65" s="21">
        <f t="shared" si="33"/>
        <v>0.84781249999999997</v>
      </c>
      <c r="BQ65" s="21">
        <f>BP65*((BQ54/BP54)^2+(BQ$34/BP$34)^2+(BQ$8/BP$8)^2)^0.5</f>
        <v>6.5214990957624591E-2</v>
      </c>
      <c r="BR65" s="21">
        <f t="shared" si="34"/>
        <v>0.79499999999999993</v>
      </c>
      <c r="BS65" s="21">
        <f>BR65*((BS54/BR54)^2+(BS$34/BR$34)^2+(BS$8/BR$8)^2)^0.5</f>
        <v>5.8018083173503342E-2</v>
      </c>
      <c r="BT65" s="21">
        <f t="shared" si="35"/>
        <v>0.64718750000000003</v>
      </c>
      <c r="BU65" s="21">
        <f>BT65*((BU54/BT54)^2+(BU$34/BT$34)^2+(BU$8/BT$8)^2)^0.5</f>
        <v>5.971320686963752E-2</v>
      </c>
      <c r="BV65" s="21">
        <f t="shared" si="36"/>
        <v>0.61906249999999996</v>
      </c>
      <c r="BW65" s="21">
        <f>BV65*((BW54/BV54)^2+(BW$34/BV$34)^2+(BW$8/BV$8)^2)^0.5</f>
        <v>0.11318505943293596</v>
      </c>
      <c r="BX65" s="21">
        <f t="shared" si="37"/>
        <v>1.3026</v>
      </c>
      <c r="BY65" s="21">
        <f>BX65*((BY54/BX54)^2+(BY$34/BX$34)^2+(BY$8/BX$8)^2)^0.5</f>
        <v>0.16528979672078975</v>
      </c>
      <c r="BZ65" s="21">
        <f t="shared" si="38"/>
        <v>1.3775999999999999</v>
      </c>
      <c r="CA65" s="21">
        <f>BZ65*((CA54/BZ54)^2+(CA$34/BZ$34)^2+(CA$8/BZ$8)^2)^0.5</f>
        <v>0.13763304254429604</v>
      </c>
    </row>
    <row r="66" spans="1:79" x14ac:dyDescent="0.25">
      <c r="A66" t="s">
        <v>163</v>
      </c>
      <c r="B66" s="21">
        <f t="shared" si="0"/>
        <v>3.2512499999999998</v>
      </c>
      <c r="C66" s="21">
        <f>B66*((C55/B55)^2+(C$34/B$34)^2+(C$8/B$8)^2)^0.5</f>
        <v>0.38118288856039961</v>
      </c>
      <c r="D66" s="21">
        <f t="shared" si="1"/>
        <v>0.78749999999999987</v>
      </c>
      <c r="E66" s="21">
        <f>D66*((E55/D55)^2+(E$34/D$34)^2+(E$8/D$8)^2)^0.5</f>
        <v>0.11731534692869471</v>
      </c>
      <c r="F66" s="21">
        <f t="shared" si="2"/>
        <v>3.3243750000000007</v>
      </c>
      <c r="G66" s="21">
        <f>F66*((G55/F55)^2+(G$34/F$34)^2+(G$8/F$8)^2)^0.5</f>
        <v>0.22280846989693306</v>
      </c>
      <c r="H66" s="21">
        <f t="shared" si="3"/>
        <v>0.45531250000000001</v>
      </c>
      <c r="I66" s="21">
        <f>H66*((I55/H55)^2+(I$34/H$34)^2+(I$8/H$8)^2)^0.5</f>
        <v>3.3307461069415442E-2</v>
      </c>
      <c r="J66" s="21">
        <f t="shared" si="4"/>
        <v>2.7681224999999996</v>
      </c>
      <c r="K66" s="21">
        <f>J66*((K55/J55)^2+(K$34/J$34)^2+(K$8/J$8)^2)^0.5</f>
        <v>0.22121554374357527</v>
      </c>
      <c r="L66" s="21">
        <f t="shared" si="5"/>
        <v>3.1193749999999998</v>
      </c>
      <c r="M66" s="21">
        <f>L66*((M55/L55)^2+(M$34/L$34)^2+(M$8/L$8)^2)^0.5</f>
        <v>0.3210433445838155</v>
      </c>
      <c r="N66" s="21">
        <f t="shared" si="6"/>
        <v>8.5858124999999994</v>
      </c>
      <c r="O66" s="21">
        <f>N66*((O55/N55)^2+(O$34/N$34)^2+(O$8/N$8)^2)^0.5</f>
        <v>0.72893121980944886</v>
      </c>
      <c r="P66" s="21">
        <f t="shared" si="7"/>
        <v>0.40500000000000003</v>
      </c>
      <c r="Q66" s="21">
        <f>P66*((Q55/P55)^2+(Q$34/P$34)^2+(Q$8/P$8)^2)^0.5</f>
        <v>3.5074028853269774E-2</v>
      </c>
      <c r="R66" s="21">
        <f t="shared" si="8"/>
        <v>0.45899999999999996</v>
      </c>
      <c r="S66" s="21">
        <f>R66*((S55/R55)^2+(S$34/R$34)^2+(S$8/R$8)^2)^0.5</f>
        <v>3.9750566033705741E-2</v>
      </c>
      <c r="T66" s="21">
        <f t="shared" si="9"/>
        <v>2.0625</v>
      </c>
      <c r="U66" s="21">
        <f>T66*((U55/T55)^2+(U$34/T$34)^2+(U$8/T$8)^2)^0.5</f>
        <v>0.1786177395305405</v>
      </c>
      <c r="V66" s="21">
        <f t="shared" si="10"/>
        <v>3.6630000000000003</v>
      </c>
      <c r="W66" s="21">
        <f>V66*((W55/V55)^2+(W$34/V$34)^2+(W$8/V$8)^2)^0.5</f>
        <v>0.31722510540623994</v>
      </c>
      <c r="X66" s="21">
        <f t="shared" si="11"/>
        <v>3.9899999999999993</v>
      </c>
      <c r="Y66" s="21">
        <f>X66*((Y55/X55)^2+(Y$34/X$34)^2+(Y$8/X$8)^2)^0.5</f>
        <v>0.34554413610999102</v>
      </c>
      <c r="Z66" s="21">
        <f t="shared" si="12"/>
        <v>3.1947600000000005</v>
      </c>
      <c r="AA66" s="21">
        <f>Z66*((AA55/Z55)^2+(AA$34/Z$34)^2+(AA$8/Z$8)^2)^0.5</f>
        <v>0.45857609558719903</v>
      </c>
      <c r="AB66" s="21">
        <f t="shared" si="13"/>
        <v>5.5638000000000005</v>
      </c>
      <c r="AC66" s="21">
        <f>AB66*((AC55/AB55)^2+(AC$34/AB$34)^2+(AC$8/AB$8)^2)^0.5</f>
        <v>0.499363865457844</v>
      </c>
      <c r="AD66" s="21">
        <f t="shared" si="14"/>
        <v>7.4522249999999994</v>
      </c>
      <c r="AE66" s="21">
        <f>AD66*((AE55/AD55)^2+(AE$34/AD$34)^2+(AE$8/AD$8)^2)^0.5</f>
        <v>0.60482402659911139</v>
      </c>
      <c r="AF66" s="21">
        <f t="shared" si="15"/>
        <v>3.7527974999999998</v>
      </c>
      <c r="AG66" s="21">
        <f>AF66*((AG55/AF55)^2+(AG$34/AF$34)^2+(AG$8/AF$8)^2)^0.5</f>
        <v>0.61327516073233057</v>
      </c>
      <c r="AH66" s="21">
        <f t="shared" si="16"/>
        <v>7.9422375000000009</v>
      </c>
      <c r="AI66" s="21">
        <f>AH66*((AI55/AH55)^2+(AI$34/AH$34)^2+(AI$8/AH$8)^2)^0.5</f>
        <v>1.0014042585401088</v>
      </c>
      <c r="AJ66" s="21">
        <f t="shared" si="17"/>
        <v>8.8341825000000007</v>
      </c>
      <c r="AK66" s="21">
        <f>AJ66*((AK55/AJ55)^2+(AK$34/AJ$34)^2+(AK$8/AJ$8)^2)^0.5</f>
        <v>0.72224551107259582</v>
      </c>
      <c r="AL66" s="21">
        <f t="shared" si="18"/>
        <v>0.19476000000000002</v>
      </c>
      <c r="AM66" s="21">
        <f>AL66*((AM55/AL55)^2+(AM$34/AL$34)^2+(AM$8/AL$8)^2)^0.5</f>
        <v>1.5184315723798688E-2</v>
      </c>
      <c r="AN66" s="21">
        <f t="shared" si="19"/>
        <v>3.2160000000000001E-2</v>
      </c>
      <c r="AO66" s="21">
        <f>AN66*((AO55/AN55)^2+(AO$34/AN$34)^2+(AO$8/AN$8)^2)^0.5</f>
        <v>3.5602898758387638E-3</v>
      </c>
      <c r="AP66" s="21">
        <f t="shared" si="20"/>
        <v>3.9820000000000001E-2</v>
      </c>
      <c r="AQ66" s="21">
        <f>AP66*((AQ55/AP55)^2+(AQ$34/AP$34)^2+(AQ$8/AP$8)^2)^0.5</f>
        <v>7.5889183023669458E-3</v>
      </c>
      <c r="AR66" s="21">
        <f t="shared" si="21"/>
        <v>0.2772</v>
      </c>
      <c r="AS66" s="21">
        <f>AR66*((AS55/AR55)^2+(AS$34/AR$34)^2+(AS$8/AR$8)^2)^0.5</f>
        <v>2.5374396544548605E-2</v>
      </c>
      <c r="AT66" s="21">
        <f t="shared" si="22"/>
        <v>0.17472000000000001</v>
      </c>
      <c r="AU66" s="21">
        <f>AT66*((AU55/AT55)^2+(AU$34/AT$34)^2+(AU$8/AT$8)^2)^0.5</f>
        <v>3.5057588279857478E-2</v>
      </c>
      <c r="AV66" s="21">
        <f t="shared" si="23"/>
        <v>0.15104000000000001</v>
      </c>
      <c r="AW66" s="21">
        <f>AV66*((AW55/AV55)^2+(AW$34/AV$34)^2+(AW$8/AV$8)^2)^0.5</f>
        <v>2.1736363633321928E-2</v>
      </c>
      <c r="AX66" s="21">
        <f t="shared" si="24"/>
        <v>28.289702179386992</v>
      </c>
      <c r="AY66" s="21">
        <f>AX66*((AY55/AX55)^2+(AY$34/AX$34)^2+(AY$8/AX$8)^2)^0.5</f>
        <v>2.4499600752845136</v>
      </c>
      <c r="AZ66" s="21">
        <f t="shared" si="25"/>
        <v>37.531475210558312</v>
      </c>
      <c r="BA66" s="21">
        <f>AZ66*((BA55/AZ55)^2+(BA$34/AZ$34)^2+(BA$8/AZ$8)^2)^0.5</f>
        <v>3.2503210973849419</v>
      </c>
      <c r="BB66" s="21">
        <f t="shared" si="26"/>
        <v>43.986606755231406</v>
      </c>
      <c r="BC66" s="21">
        <f>BB66*((BC55/BB55)^2+(BC$34/BB$34)^2+(BC$8/BB$8)^2)^0.5</f>
        <v>3.80935188763066</v>
      </c>
      <c r="BD66" s="21">
        <f t="shared" si="27"/>
        <v>6.2500000000000003E-3</v>
      </c>
      <c r="BE66" s="21">
        <f>BD66*((BE55/BD55)^2+(BE$34/BD$34)^2+(BE$8/BD$8)^2)^0.5</f>
        <v>5.4126587736527427E-4</v>
      </c>
      <c r="BF66" s="21">
        <f t="shared" si="28"/>
        <v>0</v>
      </c>
      <c r="BG66" s="21" t="e">
        <f>BF66*((BG55/BF55)^2+(BG$34/BF$34)^2+(BG$8/BF$8)^2)^0.5</f>
        <v>#DIV/0!</v>
      </c>
      <c r="BH66" s="21">
        <f t="shared" si="29"/>
        <v>4.1666666666666675E-3</v>
      </c>
      <c r="BI66" s="21">
        <f>BH66*((BI55/BH55)^2+(BI$34/BH$34)^2+(BI$8/BH$8)^2)^0.5</f>
        <v>3.761684021628527E-3</v>
      </c>
      <c r="BJ66" s="21">
        <f t="shared" si="30"/>
        <v>4.1666666666666666E-3</v>
      </c>
      <c r="BK66" s="21">
        <f>BJ66*((BK55/BJ55)^2+(BK$34/BJ$34)^2+(BK$8/BJ$8)^2)^0.5</f>
        <v>3.2247079865367395E-4</v>
      </c>
      <c r="BL66" s="21">
        <f t="shared" si="31"/>
        <v>8.3333333333333332E-3</v>
      </c>
      <c r="BM66" s="21">
        <f>BL66*((BM55/BL55)^2+(BM$34/BL$34)^2+(BM$8/BL$8)^2)^0.5</f>
        <v>5.994993307354878E-4</v>
      </c>
      <c r="BN66" s="21">
        <f t="shared" si="32"/>
        <v>0.125</v>
      </c>
      <c r="BO66" s="21">
        <f>BN66*((BO55/BN55)^2+(BO$34/BN$34)^2+(BO$8/BN$8)^2)^0.5</f>
        <v>9.3480193031452025E-3</v>
      </c>
      <c r="BP66" s="21">
        <f t="shared" si="33"/>
        <v>0</v>
      </c>
      <c r="BQ66" s="21" t="e">
        <f>BP66*((BQ55/BP55)^2+(BQ$34/BP$34)^2+(BQ$8/BP$8)^2)^0.5</f>
        <v>#DIV/0!</v>
      </c>
      <c r="BR66" s="21">
        <f t="shared" si="34"/>
        <v>3.7499999999999994E-3</v>
      </c>
      <c r="BS66" s="21">
        <f>BR66*((BS55/BR55)^2+(BS$34/BR$34)^2+(BS$8/BR$8)^2)^0.5</f>
        <v>2.5146424275797512E-3</v>
      </c>
      <c r="BT66" s="21">
        <f t="shared" si="35"/>
        <v>1.125E-2</v>
      </c>
      <c r="BU66" s="21">
        <f>BT66*((BU55/BT55)^2+(BU$34/BT$34)^2+(BU$8/BT$8)^2)^0.5</f>
        <v>1.7725787966343777E-3</v>
      </c>
      <c r="BV66" s="21">
        <f t="shared" si="36"/>
        <v>2.34375E-2</v>
      </c>
      <c r="BW66" s="21">
        <f>BV66*((BW55/BV55)^2+(BW$34/BV$34)^2+(BW$8/BV$8)^2)^0.5</f>
        <v>6.194595814990371E-3</v>
      </c>
      <c r="BX66" s="21">
        <f t="shared" si="37"/>
        <v>0.24960000000000002</v>
      </c>
      <c r="BY66" s="21">
        <f>BX66*((BY55/BX55)^2+(BY$34/BX$34)^2+(BY$8/BX$8)^2)^0.5</f>
        <v>4.8856426394078396E-2</v>
      </c>
      <c r="BZ66" s="21">
        <f t="shared" si="38"/>
        <v>0.14759999999999998</v>
      </c>
      <c r="CA66" s="21">
        <f>BZ66*((CA55/BZ55)^2+(CA$34/BZ$34)^2+(CA$8/BZ$8)^2)^0.5</f>
        <v>1.9371742306772514E-2</v>
      </c>
    </row>
    <row r="67" spans="1:79" x14ac:dyDescent="0.25">
      <c r="A67" t="s">
        <v>164</v>
      </c>
      <c r="B67" s="21">
        <f t="shared" si="0"/>
        <v>0</v>
      </c>
      <c r="C67" s="21">
        <v>0</v>
      </c>
      <c r="D67" s="21">
        <f t="shared" si="1"/>
        <v>0</v>
      </c>
      <c r="E67" s="21">
        <v>0</v>
      </c>
      <c r="F67" s="21">
        <f t="shared" si="2"/>
        <v>0</v>
      </c>
      <c r="G67" s="21">
        <v>0</v>
      </c>
      <c r="H67" s="21">
        <f t="shared" si="3"/>
        <v>0</v>
      </c>
      <c r="I67" s="21">
        <v>0</v>
      </c>
      <c r="J67" s="21">
        <f t="shared" si="4"/>
        <v>7.5986624999999988E-2</v>
      </c>
      <c r="K67" s="21">
        <v>0</v>
      </c>
      <c r="L67" s="21">
        <f t="shared" si="5"/>
        <v>0</v>
      </c>
      <c r="M67" s="21">
        <v>0</v>
      </c>
      <c r="N67" s="21">
        <f t="shared" si="6"/>
        <v>0</v>
      </c>
      <c r="O67" s="21">
        <v>0</v>
      </c>
      <c r="P67" s="21">
        <f t="shared" si="7"/>
        <v>0</v>
      </c>
      <c r="Q67" s="21">
        <v>0</v>
      </c>
      <c r="R67" s="21">
        <f t="shared" si="8"/>
        <v>0</v>
      </c>
      <c r="S67" s="21">
        <v>0</v>
      </c>
      <c r="T67" s="21">
        <f t="shared" si="9"/>
        <v>8.2500000000000004E-3</v>
      </c>
      <c r="U67" s="21">
        <v>0</v>
      </c>
      <c r="V67" s="21">
        <f t="shared" si="10"/>
        <v>8.9099999999999999E-2</v>
      </c>
      <c r="W67" s="21">
        <v>0</v>
      </c>
      <c r="X67" s="21">
        <f t="shared" si="11"/>
        <v>9.4500000000000001E-2</v>
      </c>
      <c r="Y67" s="21">
        <v>0</v>
      </c>
      <c r="Z67" s="21">
        <f t="shared" si="12"/>
        <v>8.7772950000000002E-2</v>
      </c>
      <c r="AA67" s="21">
        <v>0</v>
      </c>
      <c r="AB67" s="21">
        <f t="shared" si="13"/>
        <v>0.25665749999999998</v>
      </c>
      <c r="AC67" s="21">
        <v>0</v>
      </c>
      <c r="AD67" s="21">
        <f t="shared" si="14"/>
        <v>0.16495874999999999</v>
      </c>
      <c r="AE67" s="21">
        <v>0</v>
      </c>
      <c r="AF67" s="21">
        <f t="shared" si="15"/>
        <v>0.12867075</v>
      </c>
      <c r="AG67" s="21">
        <v>0</v>
      </c>
      <c r="AH67" s="21">
        <f t="shared" si="16"/>
        <v>0.39175424999999997</v>
      </c>
      <c r="AI67" s="21">
        <v>0</v>
      </c>
      <c r="AJ67" s="21">
        <f t="shared" si="17"/>
        <v>0.6751387499999999</v>
      </c>
      <c r="AK67" s="21">
        <v>0</v>
      </c>
      <c r="AL67" s="21">
        <f t="shared" si="18"/>
        <v>5.6264000000000002E-2</v>
      </c>
      <c r="AM67" s="21">
        <v>0</v>
      </c>
      <c r="AN67" s="21">
        <f t="shared" si="19"/>
        <v>1.8720000000000001E-2</v>
      </c>
      <c r="AO67" s="21">
        <v>0</v>
      </c>
      <c r="AP67" s="21">
        <f t="shared" si="20"/>
        <v>0</v>
      </c>
      <c r="AQ67" s="21">
        <v>0</v>
      </c>
      <c r="AR67" s="21">
        <f t="shared" si="21"/>
        <v>0</v>
      </c>
      <c r="AS67" s="21">
        <v>0</v>
      </c>
      <c r="AT67" s="21">
        <f t="shared" si="22"/>
        <v>0</v>
      </c>
      <c r="AU67" s="21">
        <v>0</v>
      </c>
      <c r="AV67" s="21">
        <f t="shared" si="23"/>
        <v>0</v>
      </c>
      <c r="AW67" s="21">
        <v>0</v>
      </c>
      <c r="AX67" s="21">
        <f t="shared" si="24"/>
        <v>0.84747173244859697</v>
      </c>
      <c r="AY67" s="21">
        <v>0</v>
      </c>
      <c r="AZ67" s="21">
        <f t="shared" si="25"/>
        <v>1.5867555841590752</v>
      </c>
      <c r="BA67" s="21">
        <v>0</v>
      </c>
      <c r="BB67" s="21">
        <f t="shared" si="26"/>
        <v>1.6769121514408407</v>
      </c>
      <c r="BC67" s="21">
        <v>0</v>
      </c>
      <c r="BD67" s="21">
        <f t="shared" si="27"/>
        <v>0</v>
      </c>
      <c r="BE67" s="21">
        <v>0</v>
      </c>
      <c r="BF67" s="21">
        <f t="shared" si="28"/>
        <v>0</v>
      </c>
      <c r="BG67" s="21">
        <v>0</v>
      </c>
      <c r="BH67" s="21">
        <f t="shared" si="29"/>
        <v>0</v>
      </c>
      <c r="BI67" s="21">
        <v>0</v>
      </c>
      <c r="BJ67" s="21">
        <f t="shared" si="30"/>
        <v>0</v>
      </c>
      <c r="BK67" s="21">
        <v>0</v>
      </c>
      <c r="BL67" s="21">
        <f t="shared" si="31"/>
        <v>0</v>
      </c>
      <c r="BM67" s="21">
        <v>0</v>
      </c>
      <c r="BN67" s="21">
        <f t="shared" si="32"/>
        <v>0</v>
      </c>
      <c r="BO67" s="21">
        <v>0</v>
      </c>
      <c r="BP67" s="21">
        <f t="shared" si="33"/>
        <v>0</v>
      </c>
      <c r="BQ67" s="21">
        <v>0</v>
      </c>
      <c r="BR67" s="21">
        <f t="shared" si="34"/>
        <v>0</v>
      </c>
      <c r="BS67" s="21">
        <v>0</v>
      </c>
      <c r="BT67" s="21">
        <f t="shared" si="35"/>
        <v>0</v>
      </c>
      <c r="BU67" s="21">
        <v>0</v>
      </c>
      <c r="BV67" s="21">
        <f t="shared" si="36"/>
        <v>0</v>
      </c>
      <c r="BW67" s="21">
        <v>0</v>
      </c>
      <c r="BX67" s="21">
        <f t="shared" si="37"/>
        <v>0</v>
      </c>
      <c r="BY67" s="21">
        <v>0</v>
      </c>
      <c r="BZ67" s="21">
        <f t="shared" si="38"/>
        <v>0</v>
      </c>
      <c r="CA67" s="21">
        <v>0</v>
      </c>
    </row>
    <row r="68" spans="1:79" x14ac:dyDescent="0.25">
      <c r="A68" t="s">
        <v>165</v>
      </c>
      <c r="B68" s="21">
        <f t="shared" si="0"/>
        <v>0</v>
      </c>
      <c r="C68" s="21">
        <v>0</v>
      </c>
      <c r="D68" s="21">
        <f t="shared" si="1"/>
        <v>0</v>
      </c>
      <c r="E68" s="21">
        <v>0</v>
      </c>
      <c r="F68" s="21">
        <f t="shared" si="2"/>
        <v>0</v>
      </c>
      <c r="G68" s="21">
        <v>0</v>
      </c>
      <c r="H68" s="21">
        <f t="shared" si="3"/>
        <v>0</v>
      </c>
      <c r="I68" s="21">
        <v>0</v>
      </c>
      <c r="J68" s="21">
        <f t="shared" si="4"/>
        <v>0</v>
      </c>
      <c r="K68" s="21">
        <v>0</v>
      </c>
      <c r="L68" s="21">
        <f t="shared" si="5"/>
        <v>0</v>
      </c>
      <c r="M68" s="21">
        <v>0</v>
      </c>
      <c r="N68" s="21">
        <f t="shared" si="6"/>
        <v>0</v>
      </c>
      <c r="O68" s="21">
        <v>0</v>
      </c>
      <c r="P68" s="21">
        <f t="shared" si="7"/>
        <v>0</v>
      </c>
      <c r="Q68" s="21">
        <v>0</v>
      </c>
      <c r="R68" s="21">
        <f t="shared" si="8"/>
        <v>0</v>
      </c>
      <c r="S68" s="21">
        <v>0</v>
      </c>
      <c r="T68" s="21">
        <f t="shared" si="9"/>
        <v>0</v>
      </c>
      <c r="U68" s="21">
        <v>0</v>
      </c>
      <c r="V68" s="21">
        <f t="shared" si="10"/>
        <v>0</v>
      </c>
      <c r="W68" s="21">
        <v>0</v>
      </c>
      <c r="X68" s="21">
        <f t="shared" si="11"/>
        <v>0</v>
      </c>
      <c r="Y68" s="21">
        <v>0</v>
      </c>
      <c r="Z68" s="21">
        <f t="shared" si="12"/>
        <v>0</v>
      </c>
      <c r="AA68" s="21">
        <v>0</v>
      </c>
      <c r="AB68" s="21">
        <f t="shared" si="13"/>
        <v>0</v>
      </c>
      <c r="AC68" s="21">
        <v>0</v>
      </c>
      <c r="AD68" s="21">
        <f t="shared" si="14"/>
        <v>0</v>
      </c>
      <c r="AE68" s="21">
        <v>0</v>
      </c>
      <c r="AF68" s="21">
        <f t="shared" si="15"/>
        <v>0</v>
      </c>
      <c r="AG68" s="21">
        <v>0</v>
      </c>
      <c r="AH68" s="21">
        <f t="shared" si="16"/>
        <v>0</v>
      </c>
      <c r="AI68" s="21">
        <v>0</v>
      </c>
      <c r="AJ68" s="21">
        <f t="shared" si="17"/>
        <v>0</v>
      </c>
      <c r="AK68" s="21">
        <v>0</v>
      </c>
      <c r="AL68" s="21">
        <f t="shared" si="18"/>
        <v>0</v>
      </c>
      <c r="AM68" s="21">
        <v>0</v>
      </c>
      <c r="AN68" s="21">
        <f t="shared" si="19"/>
        <v>0</v>
      </c>
      <c r="AO68" s="21">
        <v>0</v>
      </c>
      <c r="AP68" s="21">
        <f t="shared" si="20"/>
        <v>0</v>
      </c>
      <c r="AQ68" s="21">
        <v>0</v>
      </c>
      <c r="AR68" s="21">
        <f t="shared" si="21"/>
        <v>0</v>
      </c>
      <c r="AS68" s="21">
        <v>0</v>
      </c>
      <c r="AT68" s="21">
        <f t="shared" si="22"/>
        <v>0</v>
      </c>
      <c r="AU68" s="21">
        <v>0</v>
      </c>
      <c r="AV68" s="21">
        <f t="shared" si="23"/>
        <v>0</v>
      </c>
      <c r="AW68" s="21">
        <v>0</v>
      </c>
      <c r="AX68" s="21">
        <f t="shared" si="24"/>
        <v>0</v>
      </c>
      <c r="AY68" s="21">
        <v>0</v>
      </c>
      <c r="AZ68" s="21">
        <f t="shared" si="25"/>
        <v>0</v>
      </c>
      <c r="BA68" s="21">
        <v>0</v>
      </c>
      <c r="BB68" s="21">
        <f t="shared" si="26"/>
        <v>0</v>
      </c>
      <c r="BC68" s="21">
        <v>0</v>
      </c>
      <c r="BD68" s="21">
        <f t="shared" si="27"/>
        <v>0</v>
      </c>
      <c r="BE68" s="21">
        <v>0</v>
      </c>
      <c r="BF68" s="21">
        <f t="shared" si="28"/>
        <v>0</v>
      </c>
      <c r="BG68" s="21">
        <v>0</v>
      </c>
      <c r="BH68" s="21">
        <f t="shared" si="29"/>
        <v>0</v>
      </c>
      <c r="BI68" s="21">
        <v>0</v>
      </c>
      <c r="BJ68" s="21">
        <f t="shared" si="30"/>
        <v>0</v>
      </c>
      <c r="BK68" s="21">
        <v>0</v>
      </c>
      <c r="BL68" s="21">
        <f t="shared" si="31"/>
        <v>0</v>
      </c>
      <c r="BM68" s="21">
        <v>0</v>
      </c>
      <c r="BN68" s="21">
        <f t="shared" si="32"/>
        <v>0</v>
      </c>
      <c r="BO68" s="21">
        <v>0</v>
      </c>
      <c r="BP68" s="21">
        <f t="shared" si="33"/>
        <v>0</v>
      </c>
      <c r="BQ68" s="21">
        <v>0</v>
      </c>
      <c r="BR68" s="21">
        <f t="shared" si="34"/>
        <v>0</v>
      </c>
      <c r="BS68" s="21">
        <v>0</v>
      </c>
      <c r="BT68" s="21">
        <f t="shared" si="35"/>
        <v>0</v>
      </c>
      <c r="BU68" s="21">
        <v>0</v>
      </c>
      <c r="BV68" s="21">
        <f t="shared" si="36"/>
        <v>0</v>
      </c>
      <c r="BW68" s="21">
        <v>0</v>
      </c>
      <c r="BX68" s="21">
        <f t="shared" si="37"/>
        <v>0</v>
      </c>
      <c r="BY68" s="21">
        <v>0</v>
      </c>
      <c r="BZ68" s="21">
        <f t="shared" si="38"/>
        <v>0</v>
      </c>
      <c r="CA68" s="21">
        <v>0</v>
      </c>
    </row>
    <row r="69" spans="1:79" x14ac:dyDescent="0.25">
      <c r="A69" t="s">
        <v>166</v>
      </c>
      <c r="B69" s="21">
        <f>B58*B$42*B$8</f>
        <v>0.40701541807466546</v>
      </c>
      <c r="C69" s="21">
        <f>B69*((C58/B58)^2+(C$42/B$42)^2+(C$8/B$8)^2)^0.5</f>
        <v>3.2364814206186851E-2</v>
      </c>
      <c r="D69" s="21">
        <f>D58*D$42*D$8</f>
        <v>0.10055675034785849</v>
      </c>
      <c r="E69" s="21">
        <f>D69*((E58/D58)^2+(E$42/D$42)^2+(E$8/D$8)^2)^0.5</f>
        <v>1.2422797437039421E-2</v>
      </c>
      <c r="F69" s="21">
        <f>F58*F$42*F$8</f>
        <v>0.32321812611811668</v>
      </c>
      <c r="G69" s="21">
        <f>F69*((G58/F58)^2+(G$42/F$42)^2+(G$8/F$8)^2)^0.5</f>
        <v>1.8300390290535276E-2</v>
      </c>
      <c r="H69" s="21">
        <f>H58*H$42*H$8</f>
        <v>0.56263896027968463</v>
      </c>
      <c r="I69" s="21">
        <f>H69*((I58/H58)^2+(I$42/H$42)^2+(I$8/H$8)^2)^0.5</f>
        <v>3.9294873881853098E-2</v>
      </c>
      <c r="J69" s="21">
        <f>J58*J$42*J$8</f>
        <v>1.6303418707192481</v>
      </c>
      <c r="K69" s="21">
        <f>J69*((K58/J58)^2+(K$42/J$42)^2+(K$8/J$8)^2)^0.5</f>
        <v>0.12893868082456797</v>
      </c>
      <c r="L69" s="21">
        <f>L58*L$42*L$8</f>
        <v>0.52444563673486311</v>
      </c>
      <c r="M69" s="21">
        <f>L69*((M58/L58)^2+(M$42/L$42)^2+(M$8/L$8)^2)^0.5</f>
        <v>5.4214684503414781E-2</v>
      </c>
      <c r="N69" s="21">
        <f>N58*N$42*N$8</f>
        <v>1.6531438549251118</v>
      </c>
      <c r="O69" s="21">
        <f>N69*((O58/N58)^2+(O$42/N$42)^2+(O$8/N$8)^2)^0.5</f>
        <v>0.10305331787847676</v>
      </c>
      <c r="P69" s="21">
        <f>P58*P$42*P$8</f>
        <v>0.51304464463193122</v>
      </c>
      <c r="Q69" s="21">
        <f>P69*((Q58/P58)^2+(Q$42/P$42)^2+(Q$8/P$8)^2)^0.5</f>
        <v>3.8478348347394845E-2</v>
      </c>
      <c r="R69" s="21">
        <f>R58*R$42*R$8</f>
        <v>0.58145059724952208</v>
      </c>
      <c r="S69" s="21">
        <f>R69*((S58/R58)^2+(S$42/R$42)^2+(S$8/R$8)^2)^0.5</f>
        <v>4.3608794793714163E-2</v>
      </c>
      <c r="T69" s="21">
        <f>T58*T$42*T$8</f>
        <v>1.2541091313224986</v>
      </c>
      <c r="U69" s="21">
        <f>T69*((U58/T58)^2+(U$42/T$42)^2+(U$8/T$8)^2)^0.5</f>
        <v>9.4058184849187404E-2</v>
      </c>
      <c r="V69" s="21">
        <f>V58*V$42*V$8</f>
        <v>1.5049309575869985</v>
      </c>
      <c r="W69" s="21">
        <f>V69*((W58/V58)^2+(W$42/V$42)^2+(W$8/V$8)^2)^0.5</f>
        <v>0.1128698218190249</v>
      </c>
      <c r="X69" s="21">
        <f>X58*X$42*X$8</f>
        <v>1.5961388944104526</v>
      </c>
      <c r="Y69" s="21">
        <f>X69*((Y58/X58)^2+(Y$42/X$42)^2+(Y$8/X$8)^2)^0.5</f>
        <v>0.11971041708078396</v>
      </c>
      <c r="Z69" s="21">
        <f>Z58*Z$42*Z$8</f>
        <v>1.9139415492796767</v>
      </c>
      <c r="AA69" s="21">
        <f>Z69*((AA58/Z58)^2+(AA$42/Z$42)^2+(AA$8/Z$8)^2)^0.5</f>
        <v>0.12162482587866728</v>
      </c>
      <c r="AB69" s="21">
        <f>AB58*AB$42*AB$8</f>
        <v>3.9778774009135494</v>
      </c>
      <c r="AC69" s="21">
        <f>AB69*((AC58/AB58)^2+(AC$42/AB$42)^2+(AC$8/AB$8)^2)^0.5</f>
        <v>0.23230008839583888</v>
      </c>
      <c r="AD69" s="21">
        <f>AD58*AD$42*AD$8</f>
        <v>5.4671319943590166</v>
      </c>
      <c r="AE69" s="21">
        <f>AD69*((AE58/AD58)^2+(AE$42/AD$42)^2+(AE$8/AD$8)^2)^0.5</f>
        <v>0.28735196282541076</v>
      </c>
      <c r="AF69" s="21">
        <f>AF58*AF$42*AF$8</f>
        <v>1.9071722102185611</v>
      </c>
      <c r="AG69" s="21">
        <f>AF69*((AG58/AF58)^2+(AG$42/AF$42)^2+(AG$8/AF$8)^2)^0.5</f>
        <v>0.1086940426879979</v>
      </c>
      <c r="AH69" s="21">
        <f>AH58*AH$42*AH$8</f>
        <v>3.747719872835614</v>
      </c>
      <c r="AI69" s="21">
        <f>AH69*((AI58/AH58)^2+(AI$42/AH$42)^2+(AI$8/AH$8)^2)^0.5</f>
        <v>0.29768541376540109</v>
      </c>
      <c r="AJ69" s="21">
        <f>AJ58*AJ$42*AJ$8</f>
        <v>4.7381810617778148</v>
      </c>
      <c r="AK69" s="21">
        <f>AJ69*((AK58/AJ58)^2+(AK$42/AJ$42)^2+(AK$8/AJ$8)^2)^0.5</f>
        <v>0.28308828253220525</v>
      </c>
      <c r="AL69" s="21">
        <f>AL58*AL$42*AL$8</f>
        <v>0.18092614401212581</v>
      </c>
      <c r="AM69" s="21">
        <f>AL69*((AM58/AL58)^2+(AM$42/AL$42)^2+(AM$8/AL$8)^2)^0.5</f>
        <v>1.2867549457246389E-2</v>
      </c>
      <c r="AN69" s="21">
        <f>AN58*AN$42*AN$8</f>
        <v>0.4377980967525813</v>
      </c>
      <c r="AO69" s="21">
        <f>AN69*((AO58/AN58)^2+(AO$42/AN$42)^2+(AO$8/AN$8)^2)^0.5</f>
        <v>3.3833104394479625E-2</v>
      </c>
      <c r="AP69" s="21">
        <f>AP58*AP$42*AP$8</f>
        <v>0.53653068836397066</v>
      </c>
      <c r="AQ69" s="21">
        <f>AP69*((AQ58/AP58)^2+(AQ$42/AP$42)^2+(AQ$8/AP$8)^2)^0.5</f>
        <v>4.1187078927603919E-2</v>
      </c>
      <c r="AR69" s="21">
        <f>AR58*AR$42*AR$8</f>
        <v>0.40131492202319957</v>
      </c>
      <c r="AS69" s="21">
        <f>AR69*((AS58/AR58)^2+(AS$42/AR$42)^2+(AS$8/AR$8)^2)^0.5</f>
        <v>3.2192367856078555E-2</v>
      </c>
      <c r="AT69" s="21">
        <f>AT58*AT$42*AT$8</f>
        <v>0.31618751432130882</v>
      </c>
      <c r="AU69" s="21">
        <f>AT69*((AU58/AT58)^2+(AU$42/AT$42)^2+(AU$8/AT$8)^2)^0.5</f>
        <v>2.5451209375119542E-2</v>
      </c>
      <c r="AV69" s="21">
        <f>AV58*AV$42*AV$8</f>
        <v>0.35875121817225408</v>
      </c>
      <c r="AW69" s="21">
        <f>AV69*((AW58/AV58)^2+(AW$42/AV$42)^2+(AW$8/AV$8)^2)^0.5</f>
        <v>3.1245282720500891E-2</v>
      </c>
      <c r="AX69" s="21">
        <f>AX58*AX$42*AX$8</f>
        <v>21.67613623569909</v>
      </c>
      <c r="AY69" s="21">
        <f>AX69*((AY58/AX58)^2+(AY$42/AX$42)^2+(AY$8/AX$8)^2)^0.5</f>
        <v>1.8772084636007809</v>
      </c>
      <c r="AZ69" s="21">
        <f>AZ58*AZ$42*AZ$8</f>
        <v>24.084595817443439</v>
      </c>
      <c r="BA69" s="21">
        <f>AZ69*((BA58/AZ58)^2+(BA$42/AZ$42)^2+(BA$8/AZ$8)^2)^0.5</f>
        <v>2.0857871817786457</v>
      </c>
      <c r="BB69" s="21">
        <f>BB58*BB$42*BB$8</f>
        <v>27.172364511987471</v>
      </c>
      <c r="BC69" s="21">
        <f>BB69*((BC58/BB58)^2+(BC$42/BB$42)^2+(BC$8/BB$8)^2)^0.5</f>
        <v>2.3531957948271907</v>
      </c>
      <c r="BD69" s="21">
        <f>BD58*BD$42*BD$8</f>
        <v>0.4750413376221585</v>
      </c>
      <c r="BE69" s="21">
        <f>BD69*((BE58/BD58)^2+(BE$42/BD$42)^2+(BE$8/BD$8)^2)^0.5</f>
        <v>0.10078498371553336</v>
      </c>
      <c r="BF69" s="21">
        <f>BF58*BF$42*BF$8</f>
        <v>0.51066943794382036</v>
      </c>
      <c r="BG69" s="21">
        <f>BF69*((BG58/BF58)^2+(BG$42/BF$42)^2+(BG$8/BF$8)^2)^0.5</f>
        <v>0.11283124943613808</v>
      </c>
      <c r="BH69" s="21">
        <f>BH58*BH$42*BH$8</f>
        <v>0.22168595755700732</v>
      </c>
      <c r="BI69" s="21">
        <f>BH69*((BI58/BH58)^2+(BI$42/BH$42)^2+(BI$8/BH$8)^2)^0.5</f>
        <v>2.2342383079849818E-2</v>
      </c>
      <c r="BJ69" s="21">
        <f>BJ58*BJ$42*BJ$8</f>
        <v>0.17418182379479144</v>
      </c>
      <c r="BK69" s="21">
        <f>BJ69*((BK58/BJ58)^2+(BK$42/BJ$42)^2+(BK$8/BJ$8)^2)^0.5</f>
        <v>2.0128469924445874E-2</v>
      </c>
      <c r="BL69" s="21">
        <f>BL58*BL$42*BL$8</f>
        <v>0.1900165350488634</v>
      </c>
      <c r="BM69" s="21">
        <f>BL69*((BM58/BL58)^2+(BM$42/BL$42)^2+(BM$8/BL$8)^2)^0.5</f>
        <v>2.0832430985288364E-2</v>
      </c>
      <c r="BN69" s="21">
        <f>BN58*BN$42*BN$8</f>
        <v>0.23752066881107925</v>
      </c>
      <c r="BO69" s="21">
        <f>BN69*((BO58/BN58)^2+(BO$42/BN$42)^2+(BO$8/BN$8)^2)^0.5</f>
        <v>2.3141717813490753E-2</v>
      </c>
      <c r="BP69" s="21">
        <f>BP58*BP$42*BP$8</f>
        <v>0.11876033440553962</v>
      </c>
      <c r="BQ69" s="21">
        <f>BP69*((BQ58/BP58)^2+(BQ$42/BP$42)^2+(BQ$8/BP$8)^2)^0.5</f>
        <v>1.4638337942499626E-2</v>
      </c>
      <c r="BR69" s="21">
        <f>BR58*BR$42*BR$8</f>
        <v>0.10688430096498569</v>
      </c>
      <c r="BS69" s="21">
        <f>BR69*((BS58/BR58)^2+(BS$42/BR$42)^2+(BS$8/BR$8)^2)^0.5</f>
        <v>1.4166554180546319E-2</v>
      </c>
      <c r="BT69" s="21">
        <f>BT58*BT$42*BT$8</f>
        <v>7.1256200643323775E-2</v>
      </c>
      <c r="BU69" s="21">
        <f>BT69*((BU58/BT58)^2+(BU$42/BT$42)^2+(BU$8/BT$8)^2)^0.5</f>
        <v>7.1185911662830625E-3</v>
      </c>
      <c r="BV69" s="21">
        <f>BV58*BV$42*BV$8</f>
        <v>5.9380167202769826E-2</v>
      </c>
      <c r="BW69" s="21">
        <f>BV69*((BW58/BV58)^2+(BW$42/BV$42)^2+(BW$8/BV$8)^2)^0.5</f>
        <v>7.4351387700977364E-3</v>
      </c>
      <c r="BX69" s="21">
        <f>BX58*BX$42*BX$8</f>
        <v>0.23714063574098154</v>
      </c>
      <c r="BY69" s="21">
        <f>BX69*((BY58/BX58)^2+(BY$42/BX$42)^2+(BY$8/BX$8)^2)^0.5</f>
        <v>1.78367945549745E-2</v>
      </c>
      <c r="BZ69" s="21">
        <f>BZ58*BZ$42*BZ$8</f>
        <v>0.24930169398410881</v>
      </c>
      <c r="CA69" s="21">
        <f>BZ69*((CA58/BZ58)^2+(CA$42/BZ$42)^2+(CA$8/BZ$8)^2)^0.5</f>
        <v>2.1416068983580172E-2</v>
      </c>
    </row>
    <row r="70" spans="1:79" x14ac:dyDescent="0.25">
      <c r="A70" t="s">
        <v>167</v>
      </c>
      <c r="B70" s="21">
        <f>B59*B$34*B$8</f>
        <v>1.6388279481882009</v>
      </c>
      <c r="C70" s="21">
        <f>B70*((C59/B59)^2+(C$34/B$34)^2+(C$8/B$8)^2)^0.5</f>
        <v>0.12652141944131068</v>
      </c>
      <c r="D70" s="21">
        <f>D59*D$34*D$8</f>
        <v>0.40345873234262886</v>
      </c>
      <c r="E70" s="21">
        <f>D70*((E59/D59)^2+(E$34/D$34)^2+(E$8/D$8)^2)^0.5</f>
        <v>4.9158560011655715E-2</v>
      </c>
      <c r="F70" s="21">
        <f>F59*F$34*F$8</f>
        <v>0.97472773388971401</v>
      </c>
      <c r="G70" s="21">
        <f>F70*((G59/F59)^2+(G$34/F$34)^2+(G$8/F$8)^2)^0.5</f>
        <v>5.1971688724892162E-2</v>
      </c>
      <c r="H70" s="21">
        <f>H59*H$34*H$8</f>
        <v>0.70853224775214863</v>
      </c>
      <c r="I70" s="21">
        <f>H70*((I59/H59)^2+(I$34/H$34)^2+(I$8/H$8)^2)^0.5</f>
        <v>4.65197373464264E-2</v>
      </c>
      <c r="J70" s="21">
        <f>J59*J$34*J$8</f>
        <v>2.1083206165346593</v>
      </c>
      <c r="K70" s="21">
        <f>J70*((K59/J59)^2+(K$34/J$34)^2+(K$8/J$8)^2)^0.5</f>
        <v>0.15819061854979966</v>
      </c>
      <c r="L70" s="21">
        <f>L59*L$34*L$8</f>
        <v>0.2372353214758034</v>
      </c>
      <c r="M70" s="21">
        <f>L70*((M59/L59)^2+(M$34/L$34)^2+(M$8/L$8)^2)^0.5</f>
        <v>2.3796295304858533E-2</v>
      </c>
      <c r="N70" s="21">
        <f>N59*N$34*N$8</f>
        <v>1.3136092661824579</v>
      </c>
      <c r="O70" s="21">
        <f>N70*((O59/N59)^2+(O$34/N$34)^2+(O$8/N$8)^2)^0.5</f>
        <v>7.5013861713626048E-2</v>
      </c>
      <c r="P70" s="21">
        <f>P59*P$34*P$8</f>
        <v>1.4138907788290358</v>
      </c>
      <c r="Q70" s="21">
        <f>P70*((Q59/P59)^2+(Q$34/P$34)^2+(Q$8/P$8)^2)^0.5</f>
        <v>9.997717575671404E-2</v>
      </c>
      <c r="R70" s="21">
        <f>R59*R$34*R$8</f>
        <v>1.4810148865108181</v>
      </c>
      <c r="S70" s="21">
        <f>R70*((S59/R59)^2+(S$34/R$34)^2+(S$8/R$8)^2)^0.5</f>
        <v>0.10472356692900248</v>
      </c>
      <c r="T70" s="21">
        <f>T59*T$34*T$8</f>
        <v>2.7230489073744395</v>
      </c>
      <c r="U70" s="21">
        <f>T70*((U59/T59)^2+(U$34/T$34)^2+(U$8/T$8)^2)^0.5</f>
        <v>0.19254863479070855</v>
      </c>
      <c r="V70" s="21">
        <f>V59*V$34*V$8</f>
        <v>2.6392627871475334</v>
      </c>
      <c r="W70" s="21">
        <f>V70*((W59/V59)^2+(W$34/V$34)^2+(W$8/V$8)^2)^0.5</f>
        <v>0.18662406141253288</v>
      </c>
      <c r="X70" s="21">
        <f>X59*X$34*X$8</f>
        <v>2.5992739570392374</v>
      </c>
      <c r="Y70" s="21">
        <f>X70*((Y59/X59)^2+(Y$34/X$34)^2+(Y$8/X$8)^2)^0.5</f>
        <v>0.18379642411840358</v>
      </c>
      <c r="Z70" s="21">
        <f>Z59*Z$34*Z$8</f>
        <v>2.7800234691287353</v>
      </c>
      <c r="AA70" s="21">
        <f>Z70*((AA59/Z59)^2+(AA$34/Z$34)^2+(AA$8/Z$8)^2)^0.5</f>
        <v>0.17454643828408889</v>
      </c>
      <c r="AB70" s="21">
        <f>AB59*AB$34*AB$8</f>
        <v>2.7233107390001483</v>
      </c>
      <c r="AC70" s="21">
        <f>AB70*((AC59/AB59)^2+(AC$34/AB$34)^2+(AC$8/AB$8)^2)^0.5</f>
        <v>0.13716218729966009</v>
      </c>
      <c r="AD70" s="21">
        <f>AD59*AD$34*AD$8</f>
        <v>4.0727909379047498</v>
      </c>
      <c r="AE70" s="21">
        <f>AD70*((AE59/AD59)^2+(AE$34/AD$34)^2+(AE$8/AD$8)^2)^0.5</f>
        <v>0.20953802001279578</v>
      </c>
      <c r="AF70" s="21">
        <f>AF59*AF$34*AF$8</f>
        <v>3.4849122901376832</v>
      </c>
      <c r="AG70" s="21">
        <f>AF70*((AG59/AF59)^2+(AG$34/AF$34)^2+(AG$8/AF$8)^2)^0.5</f>
        <v>0.18623909188869062</v>
      </c>
      <c r="AH70" s="21">
        <f>AH59*AH$34*AH$8</f>
        <v>3.6428776902154789</v>
      </c>
      <c r="AI70" s="21">
        <f>AH70*((AI59/AH59)^2+(AI$34/AH$34)^2+(AI$8/AH$8)^2)^0.5</f>
        <v>0.26006305120150341</v>
      </c>
      <c r="AJ70" s="21">
        <f>AJ59*AJ$34*AJ$8</f>
        <v>3.1954978928039042</v>
      </c>
      <c r="AK70" s="21">
        <f>AJ70*((AK59/AJ59)^2+(AK$34/AJ$34)^2+(AK$8/AJ$8)^2)^0.5</f>
        <v>0.17326905769814935</v>
      </c>
      <c r="AL70" s="21">
        <f>AL59*AL$34*AL$8</f>
        <v>1.5133663029385569</v>
      </c>
      <c r="AM70" s="21">
        <f>AL70*((AM59/AL59)^2+(AM$34/AL$34)^2+(AM$8/AL$8)^2)^0.5</f>
        <v>8.2779936568788612E-2</v>
      </c>
      <c r="AN70" s="21">
        <f>AN59*AN$34*AN$8</f>
        <v>2.0588495359755599</v>
      </c>
      <c r="AO70" s="21">
        <f>AN70*((AO59/AN59)^2+(AO$34/AN$34)^2+(AO$8/AN$8)^2)^0.5</f>
        <v>0.13400107434244737</v>
      </c>
      <c r="AP70" s="21">
        <f>AP59*AP$34*AP$8</f>
        <v>1.9240172701684648</v>
      </c>
      <c r="AQ70" s="21">
        <f>AP70*((AQ59/AP59)^2+(AQ$34/AP$34)^2+(AQ$8/AP$8)^2)^0.5</f>
        <v>0.1099067389162138</v>
      </c>
      <c r="AR70" s="21">
        <f>AR59*AR$34*AR$8</f>
        <v>0.78773373550369263</v>
      </c>
      <c r="AS70" s="21">
        <f>AR70*((AS59/AR59)^2+(AS$34/AR$34)^2+(AS$8/AR$8)^2)^0.5</f>
        <v>4.9412965447471105E-2</v>
      </c>
      <c r="AT70" s="21">
        <f>AT59*AT$34*AT$8</f>
        <v>1.3092717138206755</v>
      </c>
      <c r="AU70" s="21">
        <f>AT70*((AU59/AT59)^2+(AU$34/AT$34)^2+(AU$8/AT$8)^2)^0.5</f>
        <v>8.25909720004636E-2</v>
      </c>
      <c r="AV70" s="21">
        <f>AV59*AV$34*AV$8</f>
        <v>1.4855198291426894</v>
      </c>
      <c r="AW70" s="21">
        <f>AV70*((AW59/AV59)^2+(AW$34/AV$34)^2+(AW$8/AV$8)^2)^0.5</f>
        <v>0.10593604210542273</v>
      </c>
      <c r="AX70" s="21">
        <f>AX59*AX$34*AX$8</f>
        <v>15.801993037754173</v>
      </c>
      <c r="AY70" s="21">
        <f>AX70*((AY59/AX59)^2+(AY$34/AX$34)^2+(AY$8/AX$8)^2)^0.5</f>
        <v>1.1173696433258589</v>
      </c>
      <c r="AZ70" s="21">
        <f>AZ59*AZ$34*AZ$8</f>
        <v>14.204617654589892</v>
      </c>
      <c r="BA70" s="21">
        <f>AZ70*((BA59/AZ59)^2+(BA$34/AZ$34)^2+(BA$8/AZ$8)^2)^0.5</f>
        <v>1.0044181467722666</v>
      </c>
      <c r="BB70" s="21">
        <f>BB59*BB$34*BB$8</f>
        <v>11.662557905038135</v>
      </c>
      <c r="BC70" s="21">
        <f>BB70*((BC59/BB59)^2+(BC$34/BB$34)^2+(BC$8/BB$8)^2)^0.5</f>
        <v>0.82466737806332424</v>
      </c>
      <c r="BD70" s="21">
        <f>BD59*BD$34*BD$8</f>
        <v>1.0976468516286155</v>
      </c>
      <c r="BE70" s="21">
        <f>BD70*((BE59/BD59)^2+(BE$34/BD$34)^2+(BE$8/BD$8)^2)^0.5</f>
        <v>7.761535321346584E-2</v>
      </c>
      <c r="BF70" s="21">
        <f>BF59*BF$34*BF$8</f>
        <v>1.0946313382999655</v>
      </c>
      <c r="BG70" s="21">
        <f>BF70*((BG59/BF59)^2+(BG$34/BF$34)^2+(BG$8/BF$8)^2)^0.5</f>
        <v>7.7402124221121152E-2</v>
      </c>
      <c r="BH70" s="21">
        <f>BH59*BH$34*BH$8</f>
        <v>1.1257916426960159</v>
      </c>
      <c r="BI70" s="21">
        <f>BH70*((BI59/BH59)^2+(BI$34/BH$34)^2+(BI$8/BH$8)^2)^0.5</f>
        <v>7.960549047534958E-2</v>
      </c>
      <c r="BJ70" s="21">
        <f>BJ59*BJ$34*BJ$8</f>
        <v>1.2263087536510175</v>
      </c>
      <c r="BK70" s="21">
        <f>BJ70*((BK59/BJ59)^2+(BK$34/BJ$34)^2+(BK$8/BJ$8)^2)^0.5</f>
        <v>8.67131235535058E-2</v>
      </c>
      <c r="BL70" s="21">
        <f>BL59*BL$34*BL$8</f>
        <v>1.3067224424150188</v>
      </c>
      <c r="BM70" s="21">
        <f>BL70*((BM59/BL59)^2+(BM$34/BL$34)^2+(BM$8/BL$8)^2)^0.5</f>
        <v>9.2399230016030787E-2</v>
      </c>
      <c r="BN70" s="21">
        <f>BN59*BN$34*BN$8</f>
        <v>1.668584041853024</v>
      </c>
      <c r="BO70" s="21">
        <f>BN70*((BO59/BN59)^2+(BO$34/BN$34)^2+(BO$8/BN$8)^2)^0.5</f>
        <v>0.11798670909739316</v>
      </c>
      <c r="BP70" s="21">
        <f>BP59*BP$34*BP$8</f>
        <v>0.81810876606275662</v>
      </c>
      <c r="BQ70" s="21">
        <f>BP70*((BQ59/BP59)^2+(BQ$34/BP$34)^2+(BQ$8/BP$8)^2)^0.5</f>
        <v>5.7849025623113413E-2</v>
      </c>
      <c r="BR70" s="21">
        <f>BR59*BR$34*BR$8</f>
        <v>0.76714659080857095</v>
      </c>
      <c r="BS70" s="21">
        <f>BR70*((BS59/BR59)^2+(BS$34/BR$34)^2+(BS$8/BR$8)^2)^0.5</f>
        <v>5.4245455652488221E-2</v>
      </c>
      <c r="BT70" s="21">
        <f>BT59*BT$34*BT$8</f>
        <v>0.62451281036342399</v>
      </c>
      <c r="BU70" s="21">
        <f>BT70*((BU59/BT59)^2+(BU$34/BT$34)^2+(BU$8/BT$8)^2)^0.5</f>
        <v>4.4159724314584557E-2</v>
      </c>
      <c r="BV70" s="21">
        <f>BV59*BV$34*BV$8</f>
        <v>0.59737319040557346</v>
      </c>
      <c r="BW70" s="21">
        <f>BV70*((BW59/BV59)^2+(BW$34/BV$34)^2+(BW$8/BV$8)^2)^0.5</f>
        <v>4.2240663383482369E-2</v>
      </c>
      <c r="BX70" s="21">
        <f>BX59*BX$34*BX$8</f>
        <v>1.1020583478228465</v>
      </c>
      <c r="BY70" s="21">
        <f>BX70*((BY59/BX59)^2+(BY$34/BX$34)^2+(BY$8/BX$8)^2)^0.5</f>
        <v>6.1926091242309994E-2</v>
      </c>
      <c r="BZ70" s="21">
        <f>BZ59*BZ$34*BZ$8</f>
        <v>1.1655117303552538</v>
      </c>
      <c r="CA70" s="21">
        <f>BZ70*((CA59/BZ59)^2+(CA$34/BZ$34)^2+(CA$8/BZ$8)^2)^0.5</f>
        <v>8.1415278283955783E-2</v>
      </c>
    </row>
    <row r="71" spans="1:79" x14ac:dyDescent="0.25">
      <c r="A71" t="s">
        <v>168</v>
      </c>
      <c r="B71" s="21">
        <f>B60*B$34*B$8</f>
        <v>0.94304705181179915</v>
      </c>
      <c r="C71" s="21">
        <f>B71*((C60/B60)^2+(C$34/B$34)^2+(C$8/B$8)^2)^0.5</f>
        <v>7.2805477675115915E-2</v>
      </c>
      <c r="D71" s="21">
        <f>D60*D$34*D$8</f>
        <v>0.232166267657371</v>
      </c>
      <c r="E71" s="21">
        <f>D71*((E60/D60)^2+(E$34/D$34)^2+(E$8/D$8)^2)^0.5</f>
        <v>2.8287798692692018E-2</v>
      </c>
      <c r="F71" s="21">
        <f>F60*F$34*F$8</f>
        <v>0.56089726611028579</v>
      </c>
      <c r="G71" s="21">
        <f>F71*((G60/F60)^2+(G$34/F$34)^2+(G$8/F$8)^2)^0.5</f>
        <v>2.9906585303158158E-2</v>
      </c>
      <c r="H71" s="21">
        <f>H60*H$34*H$8</f>
        <v>0.40771775224785112</v>
      </c>
      <c r="I71" s="21">
        <f>H71*((I60/H60)^2+(I$34/H$34)^2+(I$8/H$8)^2)^0.5</f>
        <v>2.6769314743568591E-2</v>
      </c>
      <c r="J71" s="21">
        <f>J60*J$34*J$8</f>
        <v>1.21321188346534</v>
      </c>
      <c r="K71" s="21">
        <f>J71*((K60/J60)^2+(K$34/J$34)^2+(K$8/J$8)^2)^0.5</f>
        <v>9.1029199625622781E-2</v>
      </c>
      <c r="L71" s="21">
        <f>L60*L$34*L$8</f>
        <v>0.13651467852419652</v>
      </c>
      <c r="M71" s="21">
        <f>L71*((M60/L60)^2+(M$34/L$34)^2+(M$8/L$8)^2)^0.5</f>
        <v>1.3693338679084269E-2</v>
      </c>
      <c r="N71" s="21">
        <f>N60*N$34*N$8</f>
        <v>0.75590323381754199</v>
      </c>
      <c r="O71" s="21">
        <f>N71*((O60/N60)^2+(O$34/N$34)^2+(O$8/N$8)^2)^0.5</f>
        <v>4.3165971883907119E-2</v>
      </c>
      <c r="P71" s="21">
        <f>P60*P$34*P$8</f>
        <v>0.81360922117096401</v>
      </c>
      <c r="Q71" s="21">
        <f>P71*((Q60/P60)^2+(Q$34/P$34)^2+(Q$8/P$8)^2)^0.5</f>
        <v>5.7530859752589432E-2</v>
      </c>
      <c r="R71" s="21">
        <f>R60*R$34*R$8</f>
        <v>0.85223511348918146</v>
      </c>
      <c r="S71" s="21">
        <f>R71*((S60/R60)^2+(S$34/R$34)^2+(S$8/R$8)^2)^0.5</f>
        <v>6.0262122791348724E-2</v>
      </c>
      <c r="T71" s="21">
        <f>T60*T$34*T$8</f>
        <v>1.5669510926255605</v>
      </c>
      <c r="U71" s="21">
        <f>T71*((U60/T60)^2+(U$34/T$34)^2+(U$8/T$8)^2)^0.5</f>
        <v>0.1108001743383204</v>
      </c>
      <c r="V71" s="21">
        <f>V60*V$34*V$8</f>
        <v>1.5187372128524661</v>
      </c>
      <c r="W71" s="21">
        <f>V71*((W60/V60)^2+(W$34/V$34)^2+(W$8/V$8)^2)^0.5</f>
        <v>0.1073909382048336</v>
      </c>
      <c r="X71" s="21">
        <f>X60*X$34*X$8</f>
        <v>1.4957260429607619</v>
      </c>
      <c r="Y71" s="21">
        <f>X71*((Y60/X60)^2+(Y$34/X$34)^2+(Y$8/X$8)^2)^0.5</f>
        <v>0.10576380277748763</v>
      </c>
      <c r="Z71" s="21">
        <f>Z60*Z$34*Z$8</f>
        <v>1.5997365308712648</v>
      </c>
      <c r="AA71" s="21">
        <f>Z71*((AA60/Z60)^2+(AA$34/Z$34)^2+(AA$8/Z$8)^2)^0.5</f>
        <v>0.10044099150862001</v>
      </c>
      <c r="AB71" s="21">
        <f>AB60*AB$34*AB$8</f>
        <v>1.5671017609998512</v>
      </c>
      <c r="AC71" s="21">
        <f>AB71*((AC60/AB60)^2+(AC$34/AB$34)^2+(AC$8/AB$8)^2)^0.5</f>
        <v>7.8928600464743759E-2</v>
      </c>
      <c r="AD71" s="21">
        <f>AD60*AD$34*AD$8</f>
        <v>2.3436465620952487</v>
      </c>
      <c r="AE71" s="21">
        <f>AD71*((AE60/AD60)^2+(AE$34/AD$34)^2+(AE$8/AD$8)^2)^0.5</f>
        <v>0.12057654510591509</v>
      </c>
      <c r="AF71" s="21">
        <f>AF60*AF$34*AF$8</f>
        <v>2.0053577098623157</v>
      </c>
      <c r="AG71" s="21">
        <f>AF71*((AG60/AF60)^2+(AG$34/AF$34)^2+(AG$8/AF$8)^2)^0.5</f>
        <v>0.1071694113661571</v>
      </c>
      <c r="AH71" s="21">
        <f>AH60*AH$34*AH$8</f>
        <v>2.0962573097845212</v>
      </c>
      <c r="AI71" s="21">
        <f>AH71*((AI60/AH60)^2+(AI$34/AH$34)^2+(AI$8/AH$8)^2)^0.5</f>
        <v>0.14965066588710288</v>
      </c>
      <c r="AJ71" s="21">
        <f>AJ60*AJ$34*AJ$8</f>
        <v>1.838817107196095</v>
      </c>
      <c r="AK71" s="21">
        <f>AJ71*((AK60/AJ60)^2+(AK$34/AJ$34)^2+(AK$8/AJ$8)^2)^0.5</f>
        <v>9.970593570429126E-2</v>
      </c>
      <c r="AL71" s="21">
        <f>AL60*AL$34*AL$8</f>
        <v>0.10963369706144302</v>
      </c>
      <c r="AM71" s="21">
        <f>AL71*((AM60/AL60)^2+(AM$34/AL$34)^2+(AM$8/AL$8)^2)^0.5</f>
        <v>5.9968762823157072E-3</v>
      </c>
      <c r="AN71" s="21">
        <f>AN60*AN$34*AN$8</f>
        <v>0.14915046402444002</v>
      </c>
      <c r="AO71" s="21">
        <f>AN71*((AO60/AN60)^2+(AO$34/AN$34)^2+(AO$8/AN$8)^2)^0.5</f>
        <v>9.7075196942350821E-3</v>
      </c>
      <c r="AP71" s="21">
        <f>AP60*AP$34*AP$8</f>
        <v>0.13938272983153513</v>
      </c>
      <c r="AQ71" s="21">
        <f>AP71*((AQ60/AP60)^2+(AQ$34/AP$34)^2+(AQ$8/AP$8)^2)^0.5</f>
        <v>7.9620393925478507E-3</v>
      </c>
      <c r="AR71" s="21">
        <f>AR60*AR$34*AR$8</f>
        <v>5.7066264496307494E-2</v>
      </c>
      <c r="AS71" s="21">
        <f>AR71*((AS60/AR60)^2+(AS$34/AR$34)^2+(AS$8/AR$8)^2)^0.5</f>
        <v>3.5796529064090984E-3</v>
      </c>
      <c r="AT71" s="21">
        <f>AT60*AT$34*AT$8</f>
        <v>0.23824828617932461</v>
      </c>
      <c r="AU71" s="21">
        <f>AT71*((AU60/AT60)^2+(AU$34/AT$34)^2+(AU$8/AT$8)^2)^0.5</f>
        <v>1.5029086266267661E-2</v>
      </c>
      <c r="AV71" s="21">
        <f>AV60*AV$34*AV$8</f>
        <v>0.27032017085731058</v>
      </c>
      <c r="AW71" s="21">
        <f>AV71*((AW60/AV60)^2+(AW$34/AV$34)^2+(AW$8/AV$8)^2)^0.5</f>
        <v>1.9277190677698095E-2</v>
      </c>
      <c r="AX71" s="21">
        <f>AX60*AX$34*AX$8</f>
        <v>9.0930978834474487</v>
      </c>
      <c r="AY71" s="21">
        <f>AX71*((AY60/AX60)^2+(AY$34/AX$34)^2+(AY$8/AX$8)^2)^0.5</f>
        <v>0.64297911753787351</v>
      </c>
      <c r="AZ71" s="21">
        <f>AZ60*AZ$34*AZ$8</f>
        <v>8.1739042930554771</v>
      </c>
      <c r="BA71" s="21">
        <f>AZ71*((BA60/AZ60)^2+(BA$34/AZ$34)^2+(BA$8/AZ$8)^2)^0.5</f>
        <v>0.57798231543893619</v>
      </c>
      <c r="BB71" s="21">
        <f>BB60*BB$34*BB$8</f>
        <v>6.7111015900661055</v>
      </c>
      <c r="BC71" s="21">
        <f>BB71*((BC60/BB60)^2+(BC$34/BB$34)^2+(BC$8/BB$8)^2)^0.5</f>
        <v>0.47454654435675658</v>
      </c>
      <c r="BD71" s="21">
        <f>BD60*BD$34*BD$8</f>
        <v>3.9853148371384324E-2</v>
      </c>
      <c r="BE71" s="21">
        <f>BD71*((BE60/BD60)^2+(BE$34/BD$34)^2+(BE$8/BD$8)^2)^0.5</f>
        <v>2.8180431465039475E-3</v>
      </c>
      <c r="BF71" s="21">
        <f>BF60*BF$34*BF$8</f>
        <v>3.974366170003437E-2</v>
      </c>
      <c r="BG71" s="21">
        <f>BF71*((BG60/BF60)^2+(BG$34/BF$34)^2+(BG$8/BF$8)^2)^0.5</f>
        <v>2.810301269727838E-3</v>
      </c>
      <c r="BH71" s="21">
        <f>BH60*BH$34*BH$8</f>
        <v>4.0875023970650591E-2</v>
      </c>
      <c r="BI71" s="21">
        <f>BH71*((BI60/BH60)^2+(BI$34/BH$34)^2+(BI$8/BH$8)^2)^0.5</f>
        <v>2.8903006630809718E-3</v>
      </c>
      <c r="BJ71" s="21">
        <f>BJ60*BJ$34*BJ$8</f>
        <v>4.4524579682315824E-2</v>
      </c>
      <c r="BK71" s="21">
        <f>BJ71*((BK60/BJ60)^2+(BK$34/BJ$34)^2+(BK$8/BJ$8)^2)^0.5</f>
        <v>3.1483632222846299E-3</v>
      </c>
      <c r="BL71" s="21">
        <f>BL60*BL$34*BL$8</f>
        <v>4.7444224251648015E-2</v>
      </c>
      <c r="BM71" s="21">
        <f>BL71*((BM60/BL60)^2+(BM$34/BL$34)^2+(BM$8/BL$8)^2)^0.5</f>
        <v>3.3548132696475572E-3</v>
      </c>
      <c r="BN71" s="21">
        <f>BN60*BN$34*BN$8</f>
        <v>6.0582624813642842E-2</v>
      </c>
      <c r="BO71" s="21">
        <f>BN71*((BO60/BN60)^2+(BO$34/BN$34)^2+(BO$8/BN$8)^2)^0.5</f>
        <v>4.2838384827807259E-3</v>
      </c>
      <c r="BP71" s="21">
        <f>BP60*BP$34*BP$8</f>
        <v>2.9703733937243321E-2</v>
      </c>
      <c r="BQ71" s="21">
        <f>BP71*((BQ60/BP60)^2+(BQ$34/BP$34)^2+(BQ$8/BP$8)^2)^0.5</f>
        <v>2.1003711693585742E-3</v>
      </c>
      <c r="BR71" s="21">
        <f>BR60*BR$34*BR$8</f>
        <v>2.7853409191429042E-2</v>
      </c>
      <c r="BS71" s="21">
        <f>BR71*((BS60/BR60)^2+(BS$34/BR$34)^2+(BS$8/BR$8)^2)^0.5</f>
        <v>1.9695334518423191E-3</v>
      </c>
      <c r="BT71" s="21">
        <f>BT60*BT$34*BT$8</f>
        <v>2.2674689636576085E-2</v>
      </c>
      <c r="BU71" s="21">
        <f>BT71*((BU60/BT60)^2+(BU$34/BT$34)^2+(BU$8/BT$8)^2)^0.5</f>
        <v>1.6033426803323285E-3</v>
      </c>
      <c r="BV71" s="21">
        <f>BV60*BV$34*BV$8</f>
        <v>2.168930959442647E-2</v>
      </c>
      <c r="BW71" s="21">
        <f>BV71*((BW60/BV60)^2+(BW$34/BV$34)^2+(BW$8/BV$8)^2)^0.5</f>
        <v>1.5336657893473408E-3</v>
      </c>
      <c r="BX71" s="21">
        <f>BX60*BX$34*BX$8</f>
        <v>0.20054165217715325</v>
      </c>
      <c r="BY71" s="21">
        <f>BX71*((BY60/BX60)^2+(BY$34/BX$34)^2+(BY$8/BX$8)^2)^0.5</f>
        <v>1.1268696140399161E-2</v>
      </c>
      <c r="BZ71" s="21">
        <f>BZ60*BZ$34*BZ$8</f>
        <v>0.21208826964474611</v>
      </c>
      <c r="CA71" s="21">
        <f>BZ71*((CA60/BZ60)^2+(CA$34/BZ$34)^2+(CA$8/BZ$8)^2)^0.5</f>
        <v>1.4815145179728498E-2</v>
      </c>
    </row>
    <row r="72" spans="1:79" x14ac:dyDescent="0.25">
      <c r="A72" s="1" t="s">
        <v>169</v>
      </c>
    </row>
    <row r="73" spans="1:79" x14ac:dyDescent="0.25">
      <c r="A73" t="s">
        <v>170</v>
      </c>
      <c r="B73" s="23">
        <f>10^(B7-'Standard Values'!$B$25)</f>
        <v>1.7378008287493765</v>
      </c>
      <c r="C73" s="14"/>
      <c r="D73" s="23">
        <f>10^(D7-'Standard Values'!$B$25)</f>
        <v>1.7378008287493765</v>
      </c>
      <c r="F73" s="23">
        <f>10^(F7-'Standard Values'!$B$25)</f>
        <v>1.7378008287493765</v>
      </c>
      <c r="G73" s="6"/>
      <c r="H73" s="23">
        <f>10^(H7-'Standard Values'!$B$25)</f>
        <v>1.7378008287493765</v>
      </c>
      <c r="I73" s="6"/>
      <c r="J73" s="23">
        <f>10^(J7-'Standard Values'!$B$25)</f>
        <v>1.7378008287493765</v>
      </c>
      <c r="K73" s="6"/>
      <c r="L73" s="23">
        <f>10^(L7-'Standard Values'!$B$25)</f>
        <v>1.7378008287493765</v>
      </c>
      <c r="M73" s="6"/>
      <c r="N73" s="23">
        <f>10^(N7-'Standard Values'!$B$25)</f>
        <v>1.7378008287493765</v>
      </c>
      <c r="O73" s="6"/>
      <c r="P73" s="23">
        <f>10^(P7-'Standard Values'!$B$25)</f>
        <v>1.7378008287493765</v>
      </c>
      <c r="Q73" s="6"/>
      <c r="R73" s="23">
        <f>10^(R7-'Standard Values'!$B$25)</f>
        <v>1.7378008287493765</v>
      </c>
      <c r="S73" s="6"/>
      <c r="T73" s="23">
        <f>10^(T7-'Standard Values'!$B$25)</f>
        <v>1.7378008287493765</v>
      </c>
      <c r="U73" s="6"/>
      <c r="V73" s="23">
        <f>10^(V7-'Standard Values'!$B$25)</f>
        <v>1.7378008287493765</v>
      </c>
      <c r="W73" s="6"/>
      <c r="X73" s="23">
        <f>10^(X7-'Standard Values'!$B$25)</f>
        <v>1.7378008287493765</v>
      </c>
      <c r="Z73" s="23">
        <f>10^(Z7-'Standard Values'!$B$25)</f>
        <v>1.7378008287493765</v>
      </c>
      <c r="AA73" s="6"/>
      <c r="AB73" s="23">
        <f>10^(AB7-'Standard Values'!$B$25)</f>
        <v>1.7378008287493765</v>
      </c>
      <c r="AC73" s="6"/>
      <c r="AD73" s="23">
        <f>10^(AD7-'Standard Values'!$B$25)</f>
        <v>1.7378008287493765</v>
      </c>
      <c r="AE73" s="6"/>
      <c r="AF73" s="23">
        <f>10^(AF7-'Standard Values'!$B$25)</f>
        <v>1.7378008287493765</v>
      </c>
      <c r="AG73" s="6"/>
      <c r="AH73" s="23">
        <f>10^(AH7-'Standard Values'!$B$25)</f>
        <v>1.7378008287493765</v>
      </c>
      <c r="AI73" s="6"/>
      <c r="AJ73" s="23">
        <f>10^(AJ7-'Standard Values'!$B$25)</f>
        <v>1.7378008287493765</v>
      </c>
      <c r="AK73" s="6"/>
      <c r="AL73" s="23">
        <f>10^(AL7-'Standard Values'!$B$25)</f>
        <v>13.803842646028869</v>
      </c>
      <c r="AM73" s="6"/>
      <c r="AN73" s="23">
        <f>10^(AN7-'Standard Values'!$B$25)</f>
        <v>13.803842646028869</v>
      </c>
      <c r="AO73" s="6"/>
      <c r="AP73" s="23">
        <f>10^(AP7-'Standard Values'!$B$25)</f>
        <v>13.803842646028869</v>
      </c>
      <c r="AQ73" s="6"/>
      <c r="AR73" s="23">
        <f>10^(AR7-'Standard Values'!$B$25)</f>
        <v>13.803842646028869</v>
      </c>
      <c r="AS73" s="6"/>
      <c r="AT73" s="23">
        <f>10^(AT7-'Standard Values'!$B$25)</f>
        <v>5.4954087385762493</v>
      </c>
      <c r="AV73" s="23">
        <f>10^(AV7-'Standard Values'!$B$25)</f>
        <v>5.4954087385762493</v>
      </c>
      <c r="AX73" s="23">
        <f>10^(AX7-'Standard Values'!$B$25)</f>
        <v>1.7378008287493765</v>
      </c>
      <c r="AZ73" s="23">
        <f>10^(AZ7-'Standard Values'!$B$25)</f>
        <v>1.7378008287493765</v>
      </c>
      <c r="BB73" s="23">
        <f>10^(BB7-'Standard Values'!$B$25)</f>
        <v>1.7378008287493765</v>
      </c>
      <c r="BD73" s="23">
        <f>10^(BD7-'Standard Values'!$B$25)</f>
        <v>27.542287033381701</v>
      </c>
      <c r="BF73" s="23">
        <f>10^(BF7-'Standard Values'!$B$25)</f>
        <v>27.542287033381701</v>
      </c>
      <c r="BH73" s="23">
        <f>10^(BH7-'Standard Values'!$B$25)</f>
        <v>27.542287033381701</v>
      </c>
      <c r="BJ73" s="23">
        <f>10^(BJ7-'Standard Values'!$B$25)</f>
        <v>27.542287033381701</v>
      </c>
      <c r="BL73" s="23">
        <f>10^(BL7-'Standard Values'!$B$25)</f>
        <v>27.542287033381701</v>
      </c>
      <c r="BN73" s="23">
        <f>10^(BN7-'Standard Values'!$B$25)</f>
        <v>27.542287033381701</v>
      </c>
      <c r="BP73" s="23">
        <f>10^(BP7-'Standard Values'!$B$25)</f>
        <v>27.542287033381701</v>
      </c>
      <c r="BR73" s="23">
        <f>10^(BR7-'Standard Values'!$B$25)</f>
        <v>27.542287033381701</v>
      </c>
      <c r="BT73" s="23">
        <f>10^(BT7-'Standard Values'!$B$25)</f>
        <v>27.542287033381701</v>
      </c>
      <c r="BV73" s="23">
        <f>10^(BV7-'Standard Values'!$B$25)</f>
        <v>27.542287033381701</v>
      </c>
      <c r="BX73" s="23">
        <f>10^(BX7-'Standard Values'!$B$25)</f>
        <v>5.4954087385762493</v>
      </c>
      <c r="BZ73" s="23">
        <f>10^(BZ7-'Standard Values'!$B$25)</f>
        <v>5.4954087385762493</v>
      </c>
    </row>
    <row r="74" spans="1:79" x14ac:dyDescent="0.25">
      <c r="A74" s="1" t="s">
        <v>171</v>
      </c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</row>
    <row r="75" spans="1:79" x14ac:dyDescent="0.25">
      <c r="A75" t="s">
        <v>172</v>
      </c>
      <c r="B75">
        <v>1.4</v>
      </c>
      <c r="D75">
        <v>1.4</v>
      </c>
      <c r="F75">
        <v>1.4</v>
      </c>
      <c r="H75">
        <v>1.4</v>
      </c>
      <c r="J75">
        <v>1.4</v>
      </c>
      <c r="L75">
        <v>1.4</v>
      </c>
      <c r="N75">
        <v>1.4</v>
      </c>
      <c r="P75">
        <v>1.4</v>
      </c>
      <c r="R75">
        <v>1.4</v>
      </c>
      <c r="T75">
        <v>1.4</v>
      </c>
      <c r="V75">
        <v>1.4</v>
      </c>
      <c r="X75">
        <v>1.4</v>
      </c>
      <c r="Z75">
        <v>1.4</v>
      </c>
      <c r="AB75">
        <v>1.4</v>
      </c>
      <c r="AD75">
        <v>1.4</v>
      </c>
      <c r="AF75">
        <v>1.4</v>
      </c>
      <c r="AH75">
        <v>1.4</v>
      </c>
      <c r="AJ75">
        <v>1.4</v>
      </c>
      <c r="AL75">
        <v>1.5</v>
      </c>
      <c r="AN75">
        <v>1.5</v>
      </c>
      <c r="AP75">
        <v>1.5</v>
      </c>
      <c r="AR75">
        <v>1.5</v>
      </c>
      <c r="AT75">
        <v>3</v>
      </c>
      <c r="AV75">
        <v>3</v>
      </c>
      <c r="AX75">
        <v>4</v>
      </c>
      <c r="AZ75">
        <v>4</v>
      </c>
      <c r="BB75">
        <v>4</v>
      </c>
      <c r="BD75">
        <v>1.5</v>
      </c>
      <c r="BF75">
        <v>1.5</v>
      </c>
      <c r="BH75">
        <v>1.5</v>
      </c>
      <c r="BJ75">
        <v>1.5</v>
      </c>
      <c r="BL75">
        <v>1.5</v>
      </c>
      <c r="BN75">
        <v>1.5</v>
      </c>
      <c r="BP75">
        <v>1.5</v>
      </c>
      <c r="BR75">
        <v>1.5</v>
      </c>
      <c r="BT75">
        <v>1.5</v>
      </c>
      <c r="BV75">
        <v>1.5</v>
      </c>
      <c r="BX75">
        <v>3</v>
      </c>
      <c r="BZ75">
        <v>3</v>
      </c>
    </row>
    <row r="76" spans="1:79" x14ac:dyDescent="0.25">
      <c r="A76" t="s">
        <v>173</v>
      </c>
      <c r="B76">
        <v>2</v>
      </c>
      <c r="D76">
        <v>2</v>
      </c>
      <c r="F76">
        <v>2</v>
      </c>
      <c r="H76">
        <v>2</v>
      </c>
      <c r="J76">
        <v>2</v>
      </c>
      <c r="L76">
        <v>2</v>
      </c>
      <c r="N76">
        <v>2</v>
      </c>
      <c r="P76">
        <v>2</v>
      </c>
      <c r="R76">
        <v>2</v>
      </c>
      <c r="T76">
        <v>2</v>
      </c>
      <c r="V76">
        <v>2</v>
      </c>
      <c r="X76">
        <v>2</v>
      </c>
      <c r="Z76">
        <v>2</v>
      </c>
      <c r="AB76">
        <v>2</v>
      </c>
      <c r="AD76">
        <v>2</v>
      </c>
      <c r="AF76">
        <v>2</v>
      </c>
      <c r="AH76">
        <v>2</v>
      </c>
      <c r="AJ76">
        <v>2</v>
      </c>
      <c r="AL76">
        <v>2</v>
      </c>
      <c r="AN76">
        <v>2</v>
      </c>
      <c r="AP76">
        <v>2</v>
      </c>
      <c r="AR76">
        <v>2</v>
      </c>
      <c r="AT76">
        <v>2</v>
      </c>
      <c r="AV76">
        <v>2</v>
      </c>
      <c r="AX76" t="s">
        <v>174</v>
      </c>
      <c r="AZ76" t="s">
        <v>174</v>
      </c>
      <c r="BB76" t="s">
        <v>174</v>
      </c>
      <c r="BD76">
        <v>2</v>
      </c>
      <c r="BF76">
        <v>2</v>
      </c>
      <c r="BH76">
        <v>2</v>
      </c>
      <c r="BJ76">
        <v>2</v>
      </c>
      <c r="BL76">
        <v>2</v>
      </c>
      <c r="BN76">
        <v>2</v>
      </c>
      <c r="BP76">
        <v>2</v>
      </c>
      <c r="BR76">
        <v>2</v>
      </c>
      <c r="BT76">
        <v>2</v>
      </c>
      <c r="BV76">
        <v>2</v>
      </c>
      <c r="BX76">
        <v>2</v>
      </c>
      <c r="BZ76">
        <v>2</v>
      </c>
    </row>
    <row r="77" spans="1:79" x14ac:dyDescent="0.25">
      <c r="A77" t="s">
        <v>175</v>
      </c>
      <c r="B77">
        <v>38</v>
      </c>
      <c r="D77">
        <v>38</v>
      </c>
      <c r="F77">
        <v>38</v>
      </c>
      <c r="H77">
        <v>38</v>
      </c>
      <c r="J77">
        <v>38</v>
      </c>
      <c r="L77">
        <v>38</v>
      </c>
      <c r="N77">
        <v>38</v>
      </c>
      <c r="P77">
        <v>38</v>
      </c>
      <c r="R77">
        <v>38</v>
      </c>
      <c r="T77">
        <v>38</v>
      </c>
      <c r="V77">
        <v>38</v>
      </c>
      <c r="X77">
        <v>38</v>
      </c>
      <c r="Z77">
        <v>38</v>
      </c>
      <c r="AB77">
        <v>38</v>
      </c>
      <c r="AD77">
        <v>38</v>
      </c>
      <c r="AF77">
        <v>38</v>
      </c>
      <c r="AH77">
        <v>38</v>
      </c>
      <c r="AJ77">
        <v>38</v>
      </c>
      <c r="AL77">
        <v>46</v>
      </c>
      <c r="AN77">
        <v>46</v>
      </c>
      <c r="AP77">
        <v>46</v>
      </c>
      <c r="AR77">
        <v>46</v>
      </c>
      <c r="AT77">
        <v>46</v>
      </c>
      <c r="AV77">
        <v>46</v>
      </c>
      <c r="AX77" t="s">
        <v>174</v>
      </c>
      <c r="AZ77" t="s">
        <v>174</v>
      </c>
      <c r="BB77" t="s">
        <v>174</v>
      </c>
      <c r="BD77">
        <v>46</v>
      </c>
      <c r="BF77">
        <v>46</v>
      </c>
      <c r="BH77">
        <v>46</v>
      </c>
      <c r="BJ77">
        <v>46</v>
      </c>
      <c r="BL77">
        <v>46</v>
      </c>
      <c r="BN77">
        <v>46</v>
      </c>
      <c r="BP77">
        <v>46</v>
      </c>
      <c r="BR77">
        <v>46</v>
      </c>
      <c r="BT77">
        <v>46</v>
      </c>
      <c r="BV77">
        <v>46</v>
      </c>
      <c r="BX77">
        <v>46</v>
      </c>
      <c r="BZ77">
        <v>46</v>
      </c>
    </row>
    <row r="78" spans="1:79" x14ac:dyDescent="0.25">
      <c r="A78" t="s">
        <v>326</v>
      </c>
      <c r="B78" t="s">
        <v>174</v>
      </c>
      <c r="D78" t="s">
        <v>174</v>
      </c>
      <c r="F78" t="s">
        <v>174</v>
      </c>
      <c r="H78" t="s">
        <v>174</v>
      </c>
      <c r="J78" t="s">
        <v>174</v>
      </c>
      <c r="L78" t="s">
        <v>174</v>
      </c>
      <c r="N78" t="s">
        <v>174</v>
      </c>
      <c r="P78" t="s">
        <v>174</v>
      </c>
      <c r="R78" t="s">
        <v>174</v>
      </c>
      <c r="T78" t="s">
        <v>174</v>
      </c>
      <c r="V78" t="s">
        <v>174</v>
      </c>
      <c r="X78" t="s">
        <v>174</v>
      </c>
      <c r="Z78" t="s">
        <v>174</v>
      </c>
      <c r="AB78" t="s">
        <v>174</v>
      </c>
      <c r="AD78" t="s">
        <v>174</v>
      </c>
      <c r="AF78" t="s">
        <v>174</v>
      </c>
      <c r="AH78" t="s">
        <v>174</v>
      </c>
      <c r="AJ78" t="s">
        <v>174</v>
      </c>
      <c r="AL78" t="s">
        <v>174</v>
      </c>
      <c r="AN78" t="s">
        <v>174</v>
      </c>
      <c r="AP78" t="s">
        <v>174</v>
      </c>
      <c r="AR78" t="s">
        <v>174</v>
      </c>
      <c r="AT78" t="s">
        <v>174</v>
      </c>
      <c r="AV78" t="s">
        <v>174</v>
      </c>
      <c r="AX78">
        <v>0.309</v>
      </c>
      <c r="AZ78">
        <v>0.35599999999999998</v>
      </c>
      <c r="BB78">
        <v>0.378</v>
      </c>
      <c r="BD78" t="s">
        <v>174</v>
      </c>
      <c r="BF78" t="s">
        <v>174</v>
      </c>
      <c r="BH78" t="s">
        <v>174</v>
      </c>
      <c r="BJ78" t="s">
        <v>174</v>
      </c>
      <c r="BL78" t="s">
        <v>174</v>
      </c>
      <c r="BN78" t="s">
        <v>174</v>
      </c>
      <c r="BP78" t="s">
        <v>174</v>
      </c>
      <c r="BR78" t="s">
        <v>174</v>
      </c>
      <c r="BT78" t="s">
        <v>174</v>
      </c>
      <c r="BV78" t="s">
        <v>174</v>
      </c>
      <c r="BX78" t="s">
        <v>174</v>
      </c>
      <c r="BZ78" t="s">
        <v>174</v>
      </c>
    </row>
    <row r="79" spans="1:79" x14ac:dyDescent="0.25">
      <c r="A79" t="s">
        <v>176</v>
      </c>
      <c r="B79" t="s">
        <v>174</v>
      </c>
      <c r="D79" t="s">
        <v>174</v>
      </c>
      <c r="F79" t="s">
        <v>174</v>
      </c>
      <c r="H79" t="s">
        <v>174</v>
      </c>
      <c r="J79" t="s">
        <v>174</v>
      </c>
      <c r="L79" t="s">
        <v>174</v>
      </c>
      <c r="N79" t="s">
        <v>174</v>
      </c>
      <c r="P79" t="s">
        <v>174</v>
      </c>
      <c r="R79" t="s">
        <v>174</v>
      </c>
      <c r="T79" t="s">
        <v>174</v>
      </c>
      <c r="V79" t="s">
        <v>174</v>
      </c>
      <c r="X79" t="s">
        <v>174</v>
      </c>
      <c r="Z79" t="s">
        <v>174</v>
      </c>
      <c r="AB79" t="s">
        <v>174</v>
      </c>
      <c r="AD79" t="s">
        <v>174</v>
      </c>
      <c r="AF79" t="s">
        <v>174</v>
      </c>
      <c r="AH79" t="s">
        <v>174</v>
      </c>
      <c r="AJ79" t="s">
        <v>174</v>
      </c>
      <c r="AL79" t="s">
        <v>174</v>
      </c>
      <c r="AN79" t="s">
        <v>174</v>
      </c>
      <c r="AP79" t="s">
        <v>174</v>
      </c>
      <c r="AR79" t="s">
        <v>174</v>
      </c>
      <c r="AT79" t="s">
        <v>174</v>
      </c>
      <c r="AV79" t="s">
        <v>174</v>
      </c>
      <c r="AX79">
        <v>3.3E-3</v>
      </c>
      <c r="AZ79">
        <v>4.1000000000000003E-3</v>
      </c>
      <c r="BB79">
        <v>4.7999999999999996E-3</v>
      </c>
      <c r="BD79" t="s">
        <v>174</v>
      </c>
      <c r="BF79" t="s">
        <v>174</v>
      </c>
      <c r="BH79" t="s">
        <v>174</v>
      </c>
      <c r="BJ79" t="s">
        <v>174</v>
      </c>
      <c r="BL79" t="s">
        <v>174</v>
      </c>
      <c r="BN79" t="s">
        <v>174</v>
      </c>
      <c r="BP79" t="s">
        <v>174</v>
      </c>
      <c r="BR79" t="s">
        <v>174</v>
      </c>
      <c r="BT79" t="s">
        <v>174</v>
      </c>
      <c r="BV79" t="s">
        <v>174</v>
      </c>
      <c r="BX79" t="s">
        <v>174</v>
      </c>
      <c r="BZ79" t="s">
        <v>174</v>
      </c>
    </row>
    <row r="115" spans="2:2" x14ac:dyDescent="0.25"/>
  </sheetData>
  <mergeCells count="48">
    <mergeCell ref="AV2:AW2"/>
    <mergeCell ref="AT1:AW1"/>
    <mergeCell ref="AX1:BC1"/>
    <mergeCell ref="BB2:BC2"/>
    <mergeCell ref="AZ2:BA2"/>
    <mergeCell ref="AX2:AY2"/>
    <mergeCell ref="AT2:AU2"/>
    <mergeCell ref="AL1:AS1"/>
    <mergeCell ref="AR2:AS2"/>
    <mergeCell ref="AL2:AM2"/>
    <mergeCell ref="AN2:AO2"/>
    <mergeCell ref="AP2:AQ2"/>
    <mergeCell ref="B1:G1"/>
    <mergeCell ref="H1:O1"/>
    <mergeCell ref="Z1:AK1"/>
    <mergeCell ref="P1:Y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Z2:AA2"/>
    <mergeCell ref="AB2:AC2"/>
    <mergeCell ref="T2:U2"/>
    <mergeCell ref="AJ2:AK2"/>
    <mergeCell ref="V2:W2"/>
    <mergeCell ref="X2:Y2"/>
    <mergeCell ref="AD2:AE2"/>
    <mergeCell ref="AF2:AG2"/>
    <mergeCell ref="AH2:AI2"/>
    <mergeCell ref="BZ2:CA2"/>
    <mergeCell ref="BD1:BW1"/>
    <mergeCell ref="BD2:BE2"/>
    <mergeCell ref="BF2:BG2"/>
    <mergeCell ref="BH2:BI2"/>
    <mergeCell ref="BJ2:BK2"/>
    <mergeCell ref="BL2:BM2"/>
    <mergeCell ref="BN2:BO2"/>
    <mergeCell ref="BP2:BQ2"/>
    <mergeCell ref="BR2:BS2"/>
    <mergeCell ref="BT2:BU2"/>
    <mergeCell ref="BV2:BW2"/>
    <mergeCell ref="BX1:CA1"/>
    <mergeCell ref="BX2:BY2"/>
  </mergeCells>
  <pageMargins left="0.7" right="0.7" top="0.75" bottom="0.75" header="0.3" footer="0.3"/>
  <pageSetup paperSize="9" orientation="portrait" horizontalDpi="429496729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35"/>
  <sheetViews>
    <sheetView workbookViewId="0">
      <selection activeCell="A8" sqref="A8"/>
    </sheetView>
  </sheetViews>
  <sheetFormatPr defaultRowHeight="15" x14ac:dyDescent="0.25"/>
  <cols>
    <col min="6" max="6" width="12" bestFit="1" customWidth="1"/>
  </cols>
  <sheetData>
    <row r="1" spans="1:8" x14ac:dyDescent="0.25">
      <c r="A1" s="15" t="s">
        <v>234</v>
      </c>
    </row>
    <row r="2" spans="1:8" x14ac:dyDescent="0.25">
      <c r="A2" t="s">
        <v>4</v>
      </c>
      <c r="B2" t="s">
        <v>235</v>
      </c>
      <c r="C2" t="s">
        <v>236</v>
      </c>
      <c r="D2" t="s">
        <v>7</v>
      </c>
    </row>
    <row r="3" spans="1:8" x14ac:dyDescent="0.25">
      <c r="A3" t="s">
        <v>237</v>
      </c>
      <c r="B3" t="s">
        <v>238</v>
      </c>
      <c r="C3" t="s">
        <v>238</v>
      </c>
      <c r="D3" t="s">
        <v>238</v>
      </c>
      <c r="E3" s="6"/>
    </row>
    <row r="4" spans="1:8" x14ac:dyDescent="0.25">
      <c r="A4" s="6">
        <v>0.44084000000000001</v>
      </c>
      <c r="B4" s="16">
        <v>3.9980000000000002</v>
      </c>
      <c r="C4" s="16">
        <v>0.4824</v>
      </c>
      <c r="D4" s="17">
        <v>3.6000000000000002E-4</v>
      </c>
      <c r="F4" s="6"/>
    </row>
    <row r="5" spans="1:8" x14ac:dyDescent="0.25">
      <c r="A5" s="26">
        <v>0.45279999999999998</v>
      </c>
      <c r="B5" s="26">
        <v>4.2686000000000002</v>
      </c>
      <c r="C5" s="26">
        <v>0.57520000000000004</v>
      </c>
      <c r="D5" s="27">
        <v>2.7999999999999998E-4</v>
      </c>
      <c r="F5" s="6"/>
    </row>
    <row r="6" spans="1:8" x14ac:dyDescent="0.25">
      <c r="A6" s="6">
        <v>0.49641000000000002</v>
      </c>
      <c r="B6" s="16">
        <v>4.4046000000000003</v>
      </c>
      <c r="C6" s="16">
        <v>0.5544</v>
      </c>
      <c r="D6" s="17">
        <v>3.6000000000000002E-4</v>
      </c>
      <c r="E6" s="6"/>
      <c r="G6" s="6"/>
      <c r="H6" s="6"/>
    </row>
    <row r="7" spans="1:8" x14ac:dyDescent="0.25">
      <c r="A7" s="6">
        <v>0.5</v>
      </c>
      <c r="B7" s="16">
        <v>4.6288</v>
      </c>
      <c r="C7" s="16">
        <v>0.47299999999999998</v>
      </c>
      <c r="D7" s="17">
        <v>1.1900000000000001E-3</v>
      </c>
      <c r="E7" s="6"/>
      <c r="F7" s="6"/>
    </row>
    <row r="8" spans="1:8" x14ac:dyDescent="0.25">
      <c r="A8" s="26">
        <v>0.51234999999999997</v>
      </c>
      <c r="B8" s="26">
        <v>4.4542999999999999</v>
      </c>
      <c r="C8" s="26">
        <v>0.65739999999999998</v>
      </c>
      <c r="D8" s="27">
        <v>7.9000000000000001E-4</v>
      </c>
      <c r="E8" s="6"/>
    </row>
    <row r="9" spans="1:8" x14ac:dyDescent="0.25">
      <c r="A9" s="6">
        <v>0.52063999999999999</v>
      </c>
      <c r="B9" s="16">
        <v>4.7793000000000001</v>
      </c>
      <c r="C9" s="16">
        <v>0.56999999999999995</v>
      </c>
      <c r="D9" s="17">
        <v>7.5000000000000002E-4</v>
      </c>
      <c r="E9" s="6"/>
      <c r="G9" s="6"/>
      <c r="H9" s="6"/>
    </row>
    <row r="10" spans="1:8" x14ac:dyDescent="0.25">
      <c r="A10" s="6">
        <v>0.73809999999999998</v>
      </c>
      <c r="B10" s="19">
        <v>6.5872999999999999</v>
      </c>
      <c r="C10" s="19">
        <v>1.0245</v>
      </c>
      <c r="D10" s="20">
        <v>8.3000000000000001E-4</v>
      </c>
      <c r="E10" s="6"/>
    </row>
    <row r="11" spans="1:8" x14ac:dyDescent="0.25">
      <c r="A11" s="6">
        <v>0.74846999999999997</v>
      </c>
      <c r="B11" s="19">
        <v>6.3939000000000004</v>
      </c>
      <c r="C11" s="19">
        <v>1.1355999999999999</v>
      </c>
      <c r="D11" s="20">
        <v>1.0399999999999999E-3</v>
      </c>
      <c r="E11" s="6"/>
      <c r="G11" s="6"/>
      <c r="H11" s="6"/>
    </row>
    <row r="12" spans="1:8" x14ac:dyDescent="0.25">
      <c r="A12" s="26">
        <v>1.1027</v>
      </c>
      <c r="B12" s="26">
        <v>8.0287000000000006</v>
      </c>
      <c r="C12" s="26">
        <v>2.9157000000000002</v>
      </c>
      <c r="D12" s="27">
        <v>2.9829999999999999E-2</v>
      </c>
      <c r="E12" s="6"/>
    </row>
    <row r="13" spans="1:8" x14ac:dyDescent="0.25">
      <c r="A13" s="6">
        <v>1.1380999999999999</v>
      </c>
      <c r="B13" s="16">
        <v>8.5789000000000009</v>
      </c>
      <c r="C13" s="16">
        <v>2.8788999999999998</v>
      </c>
      <c r="D13" s="17">
        <v>3.2759999999999997E-2</v>
      </c>
      <c r="E13" s="6"/>
    </row>
    <row r="14" spans="1:8" x14ac:dyDescent="0.25">
      <c r="A14" s="6">
        <v>1.1951000000000001</v>
      </c>
      <c r="B14" s="16">
        <v>7.7427999999999999</v>
      </c>
      <c r="C14" s="16">
        <v>3.3754</v>
      </c>
      <c r="D14" s="17">
        <v>5.3539999999999997E-2</v>
      </c>
      <c r="E14" s="6"/>
      <c r="G14" s="6"/>
      <c r="H14" s="6"/>
    </row>
    <row r="15" spans="1:8" x14ac:dyDescent="0.25">
      <c r="A15" s="26">
        <v>1.3205</v>
      </c>
      <c r="B15" s="26">
        <v>7.9669999999999996</v>
      </c>
      <c r="C15" s="26">
        <v>5.2125000000000004</v>
      </c>
      <c r="D15" s="27">
        <v>0.27929999999999999</v>
      </c>
      <c r="E15" s="6"/>
    </row>
    <row r="16" spans="1:8" x14ac:dyDescent="0.25">
      <c r="A16" s="6">
        <v>1.3831</v>
      </c>
      <c r="B16" s="19">
        <v>8.2245000000000008</v>
      </c>
      <c r="C16" s="19">
        <v>5.3213999999999997</v>
      </c>
      <c r="D16" s="20">
        <v>0.18640000000000001</v>
      </c>
      <c r="E16" s="6"/>
      <c r="F16" s="6"/>
      <c r="G16" s="6"/>
      <c r="H16" s="6"/>
    </row>
    <row r="17" spans="1:8" x14ac:dyDescent="0.25">
      <c r="A17" s="26">
        <v>1.4</v>
      </c>
      <c r="B17" s="26">
        <v>7.7744299999999997</v>
      </c>
      <c r="C17" s="26">
        <v>5.6826999999999996</v>
      </c>
      <c r="D17" s="27">
        <v>0.2707</v>
      </c>
      <c r="E17" s="6"/>
    </row>
    <row r="18" spans="1:8" x14ac:dyDescent="0.25">
      <c r="A18" s="6">
        <v>1.4806999999999999</v>
      </c>
      <c r="B18" s="19">
        <v>8.4459</v>
      </c>
      <c r="C18" s="19">
        <v>5.6593</v>
      </c>
      <c r="D18" s="20">
        <v>0.3483</v>
      </c>
      <c r="E18" s="6"/>
      <c r="F18" s="6"/>
      <c r="G18" s="6"/>
      <c r="H18" s="6"/>
    </row>
    <row r="21" spans="1:8" x14ac:dyDescent="0.25">
      <c r="A21" s="6"/>
    </row>
    <row r="22" spans="1:8" x14ac:dyDescent="0.25">
      <c r="A22" s="6"/>
    </row>
    <row r="23" spans="1:8" x14ac:dyDescent="0.25">
      <c r="A23" s="6"/>
    </row>
    <row r="24" spans="1:8" x14ac:dyDescent="0.25">
      <c r="A24" s="6"/>
    </row>
    <row r="25" spans="1:8" x14ac:dyDescent="0.25">
      <c r="A25" s="6"/>
    </row>
    <row r="26" spans="1:8" x14ac:dyDescent="0.25">
      <c r="A26" s="6"/>
    </row>
    <row r="27" spans="1:8" x14ac:dyDescent="0.25">
      <c r="A27" s="6"/>
    </row>
    <row r="28" spans="1:8" x14ac:dyDescent="0.25">
      <c r="A28" s="6"/>
    </row>
    <row r="29" spans="1:8" x14ac:dyDescent="0.25">
      <c r="A29" s="6"/>
    </row>
    <row r="30" spans="1:8" x14ac:dyDescent="0.25">
      <c r="A30" s="6"/>
    </row>
    <row r="31" spans="1:8" x14ac:dyDescent="0.25">
      <c r="A31" s="6"/>
    </row>
    <row r="32" spans="1:8" x14ac:dyDescent="0.25">
      <c r="A32" s="6"/>
    </row>
    <row r="33" spans="1:1" x14ac:dyDescent="0.25">
      <c r="A33" s="6"/>
    </row>
    <row r="34" spans="1:1" x14ac:dyDescent="0.25">
      <c r="A34" s="6"/>
    </row>
    <row r="35" spans="1:1" x14ac:dyDescent="0.25">
      <c r="A35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40"/>
  <sheetViews>
    <sheetView zoomScale="85" zoomScaleNormal="85" workbookViewId="0">
      <selection activeCell="B5" sqref="B5"/>
    </sheetView>
  </sheetViews>
  <sheetFormatPr defaultRowHeight="15" x14ac:dyDescent="0.25"/>
  <sheetData>
    <row r="1" spans="1:7" x14ac:dyDescent="0.25">
      <c r="A1" s="36" t="s">
        <v>227</v>
      </c>
      <c r="B1" s="36" t="s">
        <v>228</v>
      </c>
      <c r="C1" s="36" t="s">
        <v>229</v>
      </c>
      <c r="D1" s="36" t="s">
        <v>230</v>
      </c>
      <c r="E1" s="36" t="s">
        <v>231</v>
      </c>
      <c r="F1" s="36" t="s">
        <v>232</v>
      </c>
      <c r="G1" s="36" t="s">
        <v>233</v>
      </c>
    </row>
    <row r="2" spans="1:7" s="18" customFormat="1" x14ac:dyDescent="0.25">
      <c r="A2" s="18">
        <v>1</v>
      </c>
      <c r="B2" s="34">
        <v>1.5233273186575949E-2</v>
      </c>
      <c r="C2" s="34">
        <v>0.58166637880741234</v>
      </c>
      <c r="D2" s="34">
        <v>0.18830714121482439</v>
      </c>
      <c r="E2" s="34">
        <v>0.21479320679109651</v>
      </c>
      <c r="F2" s="18">
        <v>34.253641106493589</v>
      </c>
      <c r="G2" s="37">
        <v>13.966922161172761</v>
      </c>
    </row>
    <row r="3" spans="1:7" s="18" customFormat="1" x14ac:dyDescent="0.25">
      <c r="A3" s="18">
        <v>2</v>
      </c>
      <c r="B3" s="37">
        <v>1.175415808824033E-8</v>
      </c>
      <c r="C3" s="34">
        <v>0.66344652963189654</v>
      </c>
      <c r="D3" s="34">
        <v>0.22231945630181249</v>
      </c>
      <c r="E3" s="34">
        <v>0.1142340022727005</v>
      </c>
      <c r="F3" s="18">
        <v>68.700613558445937</v>
      </c>
      <c r="G3" s="37">
        <v>28.01267517845633</v>
      </c>
    </row>
    <row r="4" spans="1:7" s="18" customFormat="1" x14ac:dyDescent="0.25">
      <c r="A4" s="18">
        <v>3</v>
      </c>
      <c r="B4" s="34">
        <v>2.280774696916376E-2</v>
      </c>
      <c r="C4" s="34">
        <v>0.58134466936931206</v>
      </c>
      <c r="D4" s="34">
        <v>0.20097506841483001</v>
      </c>
      <c r="E4" s="34">
        <v>0.19487251524590229</v>
      </c>
      <c r="F4" s="18">
        <v>37.75519296936389</v>
      </c>
      <c r="G4" s="37">
        <v>15.39467993325813</v>
      </c>
    </row>
    <row r="5" spans="1:7" x14ac:dyDescent="0.25">
      <c r="A5">
        <v>4</v>
      </c>
      <c r="B5" s="5">
        <v>0.54184689674049313</v>
      </c>
      <c r="C5" s="5">
        <v>1.8730313911982589E-3</v>
      </c>
      <c r="D5" s="5">
        <v>4.3493833090731841E-2</v>
      </c>
      <c r="E5" s="5">
        <v>0.41278623879183268</v>
      </c>
      <c r="F5">
        <v>110.508011415859</v>
      </c>
      <c r="G5" s="7">
        <v>45.05964165481651</v>
      </c>
    </row>
    <row r="6" spans="1:7" x14ac:dyDescent="0.25">
      <c r="A6">
        <v>5</v>
      </c>
      <c r="B6" s="5">
        <v>0.33577368494096432</v>
      </c>
      <c r="C6" s="5">
        <v>4.6799126906687492E-3</v>
      </c>
      <c r="D6" s="5">
        <v>0.2043113698799999</v>
      </c>
      <c r="E6" s="5">
        <v>0.45523503248842861</v>
      </c>
      <c r="F6">
        <v>100.2035940410145</v>
      </c>
      <c r="G6" s="7">
        <v>40.858015470223677</v>
      </c>
    </row>
    <row r="7" spans="1:7" x14ac:dyDescent="0.25">
      <c r="A7">
        <v>6</v>
      </c>
      <c r="B7" s="5">
        <v>9.9319075687884825E-2</v>
      </c>
      <c r="C7" s="5">
        <v>0.41465070078046101</v>
      </c>
      <c r="D7" s="5">
        <v>7.6049294827394776E-3</v>
      </c>
      <c r="E7" s="5">
        <v>0.47842529404349909</v>
      </c>
      <c r="F7">
        <v>95.346519000209426</v>
      </c>
      <c r="G7" s="7">
        <v>38.877543122335403</v>
      </c>
    </row>
    <row r="8" spans="1:7" x14ac:dyDescent="0.25">
      <c r="A8">
        <v>7</v>
      </c>
      <c r="B8" s="5">
        <v>6.8886893275473884E-2</v>
      </c>
      <c r="C8" s="5">
        <v>0.41452735967977289</v>
      </c>
      <c r="D8" s="5">
        <v>2.153487233178078E-2</v>
      </c>
      <c r="E8" s="5">
        <v>0.49505087471297232</v>
      </c>
      <c r="F8">
        <v>217.97609828770749</v>
      </c>
      <c r="G8" s="7">
        <v>88.879754076812731</v>
      </c>
    </row>
    <row r="9" spans="1:7" s="18" customFormat="1" x14ac:dyDescent="0.25">
      <c r="A9" s="18">
        <v>8</v>
      </c>
      <c r="B9" s="34">
        <v>0.47697700177737662</v>
      </c>
      <c r="C9" s="34">
        <v>0.17713796970991399</v>
      </c>
      <c r="D9" s="34">
        <v>0.23649480868088421</v>
      </c>
      <c r="E9" s="34">
        <v>0.1093902198317913</v>
      </c>
      <c r="F9" s="18">
        <v>104.2510620667513</v>
      </c>
      <c r="G9" s="37">
        <v>42.508370557717853</v>
      </c>
    </row>
    <row r="10" spans="1:7" s="18" customFormat="1" x14ac:dyDescent="0.25">
      <c r="A10" s="18">
        <v>9</v>
      </c>
      <c r="B10" s="34">
        <v>0.47438418459497972</v>
      </c>
      <c r="C10" s="34">
        <v>0.17563875495798051</v>
      </c>
      <c r="D10" s="34">
        <v>0.23990919569306751</v>
      </c>
      <c r="E10" s="34">
        <v>0.1100678647539291</v>
      </c>
      <c r="F10" s="18">
        <v>103.6092289304863</v>
      </c>
      <c r="G10" s="37">
        <v>42.24666309640579</v>
      </c>
    </row>
    <row r="11" spans="1:7" s="18" customFormat="1" x14ac:dyDescent="0.25">
      <c r="A11" s="18">
        <v>10</v>
      </c>
      <c r="B11" s="34">
        <v>0.40208368539977729</v>
      </c>
      <c r="C11" s="34">
        <v>0.13739212277666929</v>
      </c>
      <c r="D11" s="34">
        <v>0.33363126051911568</v>
      </c>
      <c r="E11" s="34">
        <v>0.12689293131131979</v>
      </c>
      <c r="F11" s="18">
        <v>89.871409536579677</v>
      </c>
      <c r="G11" s="37">
        <v>36.645067238540371</v>
      </c>
    </row>
    <row r="12" spans="1:7" s="18" customFormat="1" x14ac:dyDescent="0.25">
      <c r="A12" s="18">
        <v>11</v>
      </c>
      <c r="B12" s="34">
        <v>0.31469086033913368</v>
      </c>
      <c r="C12" s="34">
        <v>0.12623717015535019</v>
      </c>
      <c r="D12" s="34">
        <v>0.42373008198113071</v>
      </c>
      <c r="E12" s="34">
        <v>0.13534188752438939</v>
      </c>
      <c r="F12" s="18">
        <v>84.261028169306186</v>
      </c>
      <c r="G12" s="37">
        <v>34.357434236034599</v>
      </c>
    </row>
    <row r="13" spans="1:7" s="18" customFormat="1" x14ac:dyDescent="0.25">
      <c r="A13" s="18">
        <v>12</v>
      </c>
      <c r="B13" s="34">
        <v>0.31091656549479768</v>
      </c>
      <c r="C13" s="34">
        <v>0.1242596338702202</v>
      </c>
      <c r="D13" s="34">
        <v>0.42891370550122793</v>
      </c>
      <c r="E13" s="34">
        <v>0.13591009513376409</v>
      </c>
      <c r="F13" s="18">
        <v>83.908752958753112</v>
      </c>
      <c r="G13" s="37">
        <v>34.21379401893158</v>
      </c>
    </row>
    <row r="14" spans="1:7" x14ac:dyDescent="0.25">
      <c r="A14">
        <v>13</v>
      </c>
      <c r="B14" s="5">
        <v>0.30617779877500872</v>
      </c>
      <c r="C14" s="5">
        <v>3.154013632703621E-3</v>
      </c>
      <c r="D14" s="5">
        <v>0.2267682365828515</v>
      </c>
      <c r="E14" s="5">
        <v>0.46389995101253478</v>
      </c>
      <c r="F14">
        <v>105.7332786444592</v>
      </c>
      <c r="G14" s="7">
        <v>43.112744367278232</v>
      </c>
    </row>
    <row r="15" spans="1:7" x14ac:dyDescent="0.25">
      <c r="A15">
        <v>14</v>
      </c>
      <c r="B15" s="5">
        <v>0.2471922451267303</v>
      </c>
      <c r="C15" s="5">
        <v>2.1082408592352649E-3</v>
      </c>
      <c r="D15" s="5">
        <v>0.27795544774116338</v>
      </c>
      <c r="E15" s="5">
        <v>0.47274406627287102</v>
      </c>
      <c r="F15">
        <v>149.4075112675649</v>
      </c>
      <c r="G15" s="7">
        <v>60.92091271934958</v>
      </c>
    </row>
    <row r="16" spans="1:7" x14ac:dyDescent="0.25">
      <c r="A16">
        <v>15</v>
      </c>
      <c r="B16" s="5">
        <v>0.13950583148463311</v>
      </c>
      <c r="C16" s="5">
        <v>2.4234451139860261E-3</v>
      </c>
      <c r="D16" s="5">
        <v>0.35988946340988609</v>
      </c>
      <c r="E16" s="5">
        <v>0.49818125999149482</v>
      </c>
      <c r="F16">
        <v>141.77874617271689</v>
      </c>
      <c r="G16" s="7">
        <v>57.810283751925333</v>
      </c>
    </row>
    <row r="17" spans="1:7" x14ac:dyDescent="0.25">
      <c r="A17">
        <v>16</v>
      </c>
      <c r="B17" s="5">
        <v>0.32112469176056929</v>
      </c>
      <c r="C17" s="5">
        <v>0.15873850742614981</v>
      </c>
      <c r="D17" s="5">
        <v>0.39277335163968041</v>
      </c>
      <c r="E17" s="5">
        <v>0.1273634491788023</v>
      </c>
      <c r="F17">
        <v>96.278922838191278</v>
      </c>
      <c r="G17" s="7">
        <v>39.257730787272493</v>
      </c>
    </row>
    <row r="18" spans="1:7" x14ac:dyDescent="0.25">
      <c r="A18">
        <v>17</v>
      </c>
      <c r="B18" s="5">
        <v>0.19393692983392849</v>
      </c>
      <c r="C18" s="5">
        <v>0.1036554322876366</v>
      </c>
      <c r="D18" s="5">
        <v>0.55365456282247127</v>
      </c>
      <c r="E18" s="5">
        <v>0.1487530750559643</v>
      </c>
      <c r="F18">
        <v>118.70597361057111</v>
      </c>
      <c r="G18" s="7">
        <v>48.402360739710389</v>
      </c>
    </row>
    <row r="19" spans="1:7" x14ac:dyDescent="0.25">
      <c r="A19">
        <v>18</v>
      </c>
      <c r="B19" s="5">
        <v>0.1219816374871741</v>
      </c>
      <c r="C19" s="5">
        <v>0.12446871861558791</v>
      </c>
      <c r="D19" s="5">
        <v>0.60540760072561284</v>
      </c>
      <c r="E19" s="5">
        <v>0.1481420431716261</v>
      </c>
      <c r="F19">
        <v>119.1955924465517</v>
      </c>
      <c r="G19" s="7">
        <v>48.602002820081459</v>
      </c>
    </row>
    <row r="20" spans="1:7" s="18" customFormat="1" x14ac:dyDescent="0.25">
      <c r="A20" s="18">
        <v>19</v>
      </c>
      <c r="B20" s="34">
        <v>0.17139458960504991</v>
      </c>
      <c r="C20" s="34">
        <v>5.0931981735768102E-8</v>
      </c>
      <c r="D20" s="34">
        <v>0.22785501780222031</v>
      </c>
      <c r="E20" s="34">
        <v>0.6007503417106731</v>
      </c>
      <c r="F20" s="18">
        <v>20.411833075770542</v>
      </c>
      <c r="G20" s="37">
        <v>8.322924936645439</v>
      </c>
    </row>
    <row r="21" spans="1:7" s="18" customFormat="1" x14ac:dyDescent="0.25">
      <c r="A21" s="18">
        <v>20</v>
      </c>
      <c r="B21" s="34">
        <v>0.1180986912228318</v>
      </c>
      <c r="C21" s="34">
        <v>8.1718388953355536E-9</v>
      </c>
      <c r="D21" s="34">
        <v>0.2557471787788288</v>
      </c>
      <c r="E21" s="34">
        <v>0.62615412189597508</v>
      </c>
      <c r="F21" s="18">
        <v>19.58370194648186</v>
      </c>
      <c r="G21" s="37">
        <v>7.9852544686779767</v>
      </c>
    </row>
    <row r="22" spans="1:7" s="18" customFormat="1" x14ac:dyDescent="0.25">
      <c r="A22" s="18">
        <v>21</v>
      </c>
      <c r="B22" s="34">
        <v>0.1302473389541971</v>
      </c>
      <c r="C22" s="34">
        <v>2.5481373455483498E-8</v>
      </c>
      <c r="D22" s="34">
        <v>0.24676126863470671</v>
      </c>
      <c r="E22" s="34">
        <v>0.62299136693410762</v>
      </c>
      <c r="F22" s="18">
        <v>19.683122988105431</v>
      </c>
      <c r="G22" s="37">
        <v>8.0257933983999887</v>
      </c>
    </row>
    <row r="23" spans="1:7" s="18" customFormat="1" x14ac:dyDescent="0.25">
      <c r="A23" s="18">
        <v>22</v>
      </c>
      <c r="B23" s="34">
        <v>0.26422918162617232</v>
      </c>
      <c r="C23" s="34">
        <v>7.753505789620691E-8</v>
      </c>
      <c r="D23" s="34">
        <v>0.16560807685200529</v>
      </c>
      <c r="E23" s="34">
        <v>0.5701626640793318</v>
      </c>
      <c r="F23" s="18">
        <v>21.506872456582769</v>
      </c>
      <c r="G23" s="37">
        <v>8.7694272441716237</v>
      </c>
    </row>
    <row r="24" spans="1:7" x14ac:dyDescent="0.25">
      <c r="A24">
        <v>23</v>
      </c>
      <c r="B24" s="5">
        <v>6.4085965592091412E-2</v>
      </c>
      <c r="C24" s="5">
        <v>1.2413030618234381E-3</v>
      </c>
      <c r="D24" s="5">
        <v>2.006846762362656E-2</v>
      </c>
      <c r="E24" s="5">
        <v>0.91460426786263671</v>
      </c>
      <c r="F24">
        <v>241.33222452790781</v>
      </c>
      <c r="G24" s="7">
        <v>98.403214551254408</v>
      </c>
    </row>
    <row r="25" spans="1:7" x14ac:dyDescent="0.25">
      <c r="A25">
        <v>24</v>
      </c>
      <c r="B25" s="5">
        <v>6.4163735687181478E-2</v>
      </c>
      <c r="C25" s="5">
        <v>4.8929821040142908E-29</v>
      </c>
      <c r="D25" s="5">
        <v>1.9386569104507149E-2</v>
      </c>
      <c r="E25" s="5">
        <v>0.91644969520833408</v>
      </c>
      <c r="F25">
        <v>240.84626104423671</v>
      </c>
      <c r="G25" s="7">
        <v>98.205062940787542</v>
      </c>
    </row>
    <row r="26" spans="1:7" s="18" customFormat="1" x14ac:dyDescent="0.25">
      <c r="A26" s="18">
        <v>25</v>
      </c>
      <c r="B26" s="34">
        <v>0.24800542691530189</v>
      </c>
      <c r="C26" s="34">
        <v>4.5713987696820789E-28</v>
      </c>
      <c r="D26" s="34">
        <v>0.41312871998841771</v>
      </c>
      <c r="E26" s="34">
        <v>0.33886585309628248</v>
      </c>
      <c r="F26" s="18">
        <v>1085.5991169232341</v>
      </c>
      <c r="G26" s="37">
        <v>442.65303992544892</v>
      </c>
    </row>
    <row r="27" spans="1:7" s="18" customFormat="1" x14ac:dyDescent="0.25">
      <c r="A27" s="18">
        <v>26</v>
      </c>
      <c r="B27" s="34">
        <v>0.25133431132665329</v>
      </c>
      <c r="C27" s="34">
        <v>5.6309805530526214E-28</v>
      </c>
      <c r="D27" s="34">
        <v>0.41192355705403533</v>
      </c>
      <c r="E27" s="34">
        <v>0.33674213161931132</v>
      </c>
      <c r="F27" s="18">
        <v>1310.934758681082</v>
      </c>
      <c r="G27" s="37">
        <v>534.53364785221129</v>
      </c>
    </row>
    <row r="28" spans="1:7" s="18" customFormat="1" x14ac:dyDescent="0.25">
      <c r="A28" s="18">
        <v>27</v>
      </c>
      <c r="B28" s="34">
        <v>0.26586927767833152</v>
      </c>
      <c r="C28" s="34">
        <v>4.4294194104121223E-28</v>
      </c>
      <c r="D28" s="34">
        <v>0.4005360530647849</v>
      </c>
      <c r="E28" s="34">
        <v>0.33359466925691988</v>
      </c>
      <c r="F28" s="18">
        <v>1543.853984161902</v>
      </c>
      <c r="G28" s="37">
        <v>629.50646204201564</v>
      </c>
    </row>
    <row r="29" spans="1:7" x14ac:dyDescent="0.25">
      <c r="A29">
        <v>28</v>
      </c>
      <c r="B29" s="5">
        <v>1.350278671333497E-14</v>
      </c>
      <c r="C29" s="5">
        <v>2.6158173093859818E-7</v>
      </c>
      <c r="D29" s="5">
        <v>0.49639471891104409</v>
      </c>
      <c r="E29" s="5">
        <v>0.50360501951038972</v>
      </c>
      <c r="F29">
        <v>4.869854437832795</v>
      </c>
      <c r="G29" s="7">
        <v>1.985683147026323</v>
      </c>
    </row>
    <row r="30" spans="1:7" x14ac:dyDescent="0.25">
      <c r="A30">
        <v>29</v>
      </c>
      <c r="B30" s="5">
        <v>0.1246876491852396</v>
      </c>
      <c r="C30" s="5">
        <v>1.7369762082277029E-6</v>
      </c>
      <c r="D30" s="5">
        <v>0.40159435335604737</v>
      </c>
      <c r="E30" s="5">
        <v>0.47371626064411038</v>
      </c>
      <c r="F30">
        <v>5.1771141142705552</v>
      </c>
      <c r="G30" s="7">
        <v>2.110968280093819</v>
      </c>
    </row>
    <row r="31" spans="1:7" x14ac:dyDescent="0.25">
      <c r="A31">
        <v>30</v>
      </c>
      <c r="B31" s="5">
        <v>3.3126032313478632E-27</v>
      </c>
      <c r="C31" s="5">
        <v>6.3660470177461169E-6</v>
      </c>
      <c r="D31" s="5">
        <v>0.99994926521783412</v>
      </c>
      <c r="E31" s="5">
        <v>6.366047017736703E-6</v>
      </c>
      <c r="F31">
        <v>2.443274303031298</v>
      </c>
      <c r="G31" s="7">
        <v>0.99624509706101205</v>
      </c>
    </row>
    <row r="32" spans="1:7" x14ac:dyDescent="0.25">
      <c r="A32">
        <v>31</v>
      </c>
      <c r="B32" s="5">
        <v>0.1365540126468239</v>
      </c>
      <c r="C32" s="5">
        <v>2.6148933732368929E-2</v>
      </c>
      <c r="D32" s="5">
        <v>0.83725318868907139</v>
      </c>
      <c r="E32" s="5">
        <v>4.3882225261237131E-5</v>
      </c>
      <c r="F32">
        <v>2.1628790524489752</v>
      </c>
      <c r="G32" s="7">
        <v>0.88191393363606951</v>
      </c>
    </row>
    <row r="33" spans="1:7" x14ac:dyDescent="0.25">
      <c r="A33">
        <v>32</v>
      </c>
      <c r="B33" s="5">
        <v>0.18526040190938139</v>
      </c>
      <c r="C33" s="5">
        <v>0.120071462227146</v>
      </c>
      <c r="D33" s="5">
        <v>0.69464348318325098</v>
      </c>
      <c r="E33" s="5">
        <v>2.4657405100918689E-5</v>
      </c>
      <c r="F33">
        <v>1.971390731035664</v>
      </c>
      <c r="G33" s="7">
        <v>0.80383457057979202</v>
      </c>
    </row>
    <row r="34" spans="1:7" x14ac:dyDescent="0.25">
      <c r="A34">
        <v>33</v>
      </c>
      <c r="B34" s="5">
        <v>0.14676581913247011</v>
      </c>
      <c r="C34" s="5">
        <v>0.31659124101008479</v>
      </c>
      <c r="D34" s="5">
        <v>0.53657934606966606</v>
      </c>
      <c r="E34" s="5">
        <v>6.3607588470576009E-5</v>
      </c>
      <c r="F34">
        <v>1.30598152612147</v>
      </c>
      <c r="G34" s="7">
        <v>0.5325139672760294</v>
      </c>
    </row>
    <row r="35" spans="1:7" x14ac:dyDescent="0.25">
      <c r="A35">
        <v>34</v>
      </c>
      <c r="B35" s="5">
        <v>0.21959904289949339</v>
      </c>
      <c r="C35" s="5">
        <v>3.8991167620136467E-6</v>
      </c>
      <c r="D35" s="5">
        <v>0.33173852273927851</v>
      </c>
      <c r="E35" s="5">
        <v>0.44865853612834178</v>
      </c>
      <c r="F35">
        <v>5.4662576135847516</v>
      </c>
      <c r="G35" s="7">
        <v>2.228866541939182</v>
      </c>
    </row>
    <row r="36" spans="1:7" x14ac:dyDescent="0.25">
      <c r="A36">
        <v>35</v>
      </c>
      <c r="B36" s="5">
        <v>0.25563123898937862</v>
      </c>
      <c r="C36" s="5">
        <v>3.743946402000467E-6</v>
      </c>
      <c r="D36" s="5">
        <v>0.30519051668465091</v>
      </c>
      <c r="E36" s="5">
        <v>0.43917450124568808</v>
      </c>
      <c r="F36">
        <v>5.5843022125366746</v>
      </c>
      <c r="G36" s="7">
        <v>2.2769992271618298</v>
      </c>
    </row>
    <row r="37" spans="1:7" x14ac:dyDescent="0.25">
      <c r="A37">
        <v>36</v>
      </c>
      <c r="B37" s="5">
        <v>0.29567521424990872</v>
      </c>
      <c r="C37" s="5">
        <v>3.2539737983433538E-6</v>
      </c>
      <c r="D37" s="5">
        <v>0.27608541216661048</v>
      </c>
      <c r="E37" s="5">
        <v>0.42823612030346281</v>
      </c>
      <c r="F37">
        <v>5.7269413362282444</v>
      </c>
      <c r="G37" s="7">
        <v>2.3351603298470671</v>
      </c>
    </row>
    <row r="38" spans="1:7" x14ac:dyDescent="0.25">
      <c r="A38">
        <v>37</v>
      </c>
      <c r="B38" s="5">
        <v>0.27663944727206008</v>
      </c>
      <c r="C38" s="5">
        <v>3.4919329881391169E-6</v>
      </c>
      <c r="D38" s="5">
        <v>0.29153827194555693</v>
      </c>
      <c r="E38" s="5">
        <v>0.43181878963343878</v>
      </c>
      <c r="F38">
        <v>5.6794266435105598</v>
      </c>
      <c r="G38" s="7">
        <v>2.3157862138914309</v>
      </c>
    </row>
    <row r="39" spans="1:7" x14ac:dyDescent="0.25">
      <c r="A39">
        <v>38</v>
      </c>
      <c r="B39" s="5">
        <v>0.17147455399916611</v>
      </c>
      <c r="C39" s="5">
        <v>2.130687748362301E-3</v>
      </c>
      <c r="D39" s="5">
        <v>1.7418526563881331E-2</v>
      </c>
      <c r="E39" s="5">
        <v>0.80897623168859056</v>
      </c>
      <c r="F39">
        <v>242.52708973259271</v>
      </c>
      <c r="G39" s="7">
        <v>98.890420838464664</v>
      </c>
    </row>
    <row r="40" spans="1:7" x14ac:dyDescent="0.25">
      <c r="A40">
        <v>39</v>
      </c>
      <c r="B40" s="5">
        <v>0.16975920223318991</v>
      </c>
      <c r="C40" s="5">
        <v>1.72107813261481E-17</v>
      </c>
      <c r="D40" s="5">
        <v>1.7317714289372201E-2</v>
      </c>
      <c r="E40" s="5">
        <v>0.81292308626483301</v>
      </c>
      <c r="F40">
        <v>241.34958700182011</v>
      </c>
      <c r="G40" s="7">
        <v>98.410294099992157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E40"/>
  <sheetViews>
    <sheetView tabSelected="1" workbookViewId="0">
      <selection activeCell="K1" sqref="K1"/>
    </sheetView>
  </sheetViews>
  <sheetFormatPr defaultRowHeight="15" x14ac:dyDescent="0.25"/>
  <sheetData>
    <row r="1" spans="1:57" x14ac:dyDescent="0.25">
      <c r="A1" s="36" t="s">
        <v>227</v>
      </c>
      <c r="B1" s="36" t="s">
        <v>253</v>
      </c>
      <c r="C1" s="36" t="s">
        <v>254</v>
      </c>
      <c r="D1" s="36" t="s">
        <v>255</v>
      </c>
      <c r="E1" s="36" t="s">
        <v>256</v>
      </c>
      <c r="F1" s="36" t="s">
        <v>257</v>
      </c>
      <c r="G1" s="36" t="s">
        <v>258</v>
      </c>
      <c r="H1" s="36" t="s">
        <v>259</v>
      </c>
      <c r="I1" s="36" t="s">
        <v>260</v>
      </c>
      <c r="J1" s="36" t="s">
        <v>261</v>
      </c>
      <c r="K1" s="36" t="s">
        <v>262</v>
      </c>
      <c r="L1" s="36" t="s">
        <v>263</v>
      </c>
      <c r="M1" s="36" t="s">
        <v>264</v>
      </c>
      <c r="N1" s="36" t="s">
        <v>265</v>
      </c>
      <c r="O1" s="36" t="s">
        <v>266</v>
      </c>
      <c r="P1" s="36" t="s">
        <v>267</v>
      </c>
      <c r="Q1" s="36" t="s">
        <v>268</v>
      </c>
      <c r="R1" s="36" t="s">
        <v>269</v>
      </c>
      <c r="S1" s="36" t="s">
        <v>270</v>
      </c>
      <c r="T1" s="36" t="s">
        <v>271</v>
      </c>
      <c r="U1" s="36" t="s">
        <v>272</v>
      </c>
      <c r="V1" s="36" t="s">
        <v>273</v>
      </c>
      <c r="W1" s="36" t="s">
        <v>274</v>
      </c>
      <c r="X1" s="36" t="s">
        <v>275</v>
      </c>
      <c r="Y1" s="36" t="s">
        <v>276</v>
      </c>
      <c r="Z1" s="36" t="s">
        <v>277</v>
      </c>
      <c r="AA1" s="36" t="s">
        <v>278</v>
      </c>
      <c r="AB1" s="36" t="s">
        <v>279</v>
      </c>
      <c r="AC1" s="36" t="s">
        <v>280</v>
      </c>
      <c r="AD1" s="36" t="s">
        <v>281</v>
      </c>
      <c r="AE1" s="36" t="s">
        <v>282</v>
      </c>
      <c r="AF1" s="36" t="s">
        <v>283</v>
      </c>
      <c r="AG1" s="36" t="s">
        <v>284</v>
      </c>
      <c r="AH1" s="36" t="s">
        <v>285</v>
      </c>
      <c r="AI1" s="36" t="s">
        <v>286</v>
      </c>
      <c r="AJ1" s="36" t="s">
        <v>141</v>
      </c>
      <c r="AK1" s="36" t="s">
        <v>287</v>
      </c>
      <c r="AL1" s="36" t="s">
        <v>288</v>
      </c>
      <c r="AM1" s="36" t="s">
        <v>289</v>
      </c>
      <c r="AN1" s="36" t="s">
        <v>178</v>
      </c>
      <c r="AO1" s="36" t="s">
        <v>290</v>
      </c>
      <c r="AP1" s="36" t="s">
        <v>291</v>
      </c>
      <c r="AQ1" s="36" t="s">
        <v>292</v>
      </c>
      <c r="AR1" s="36" t="s">
        <v>293</v>
      </c>
      <c r="AS1" s="36" t="s">
        <v>294</v>
      </c>
      <c r="AT1" s="36" t="s">
        <v>295</v>
      </c>
      <c r="AU1" s="36" t="s">
        <v>296</v>
      </c>
      <c r="AV1" s="36" t="s">
        <v>297</v>
      </c>
      <c r="AW1" s="36" t="s">
        <v>298</v>
      </c>
      <c r="AX1" s="36" t="s">
        <v>299</v>
      </c>
      <c r="AY1" s="36" t="s">
        <v>300</v>
      </c>
      <c r="AZ1" s="36" t="s">
        <v>301</v>
      </c>
      <c r="BA1" s="36" t="s">
        <v>302</v>
      </c>
      <c r="BB1" s="36" t="s">
        <v>303</v>
      </c>
      <c r="BC1" s="36" t="s">
        <v>304</v>
      </c>
      <c r="BD1" s="36" t="s">
        <v>253</v>
      </c>
      <c r="BE1" s="36" t="s">
        <v>254</v>
      </c>
    </row>
    <row r="2" spans="1:57" x14ac:dyDescent="0.25">
      <c r="A2">
        <v>1</v>
      </c>
      <c r="B2">
        <v>110.0012031688598</v>
      </c>
      <c r="C2">
        <v>106.6676802229824</v>
      </c>
      <c r="D2">
        <v>-9.7566250000000007E-2</v>
      </c>
      <c r="E2">
        <v>2.1925E-3</v>
      </c>
      <c r="F2">
        <v>-9.8240032004542885E-2</v>
      </c>
      <c r="G2">
        <v>1.2620943594630431E-2</v>
      </c>
      <c r="H2">
        <v>-2.86230875</v>
      </c>
      <c r="I2">
        <v>6.248625E-2</v>
      </c>
      <c r="J2">
        <v>-2.8860021135330629</v>
      </c>
      <c r="K2">
        <v>0.32202144970667751</v>
      </c>
      <c r="L2">
        <v>-1.0348599999999999</v>
      </c>
      <c r="M2">
        <v>2.521375E-2</v>
      </c>
      <c r="N2">
        <v>-1.083255980815983</v>
      </c>
      <c r="O2">
        <v>0.12047430896665801</v>
      </c>
      <c r="P2">
        <v>0.33545249999999999</v>
      </c>
      <c r="Q2">
        <v>2.959875E-2</v>
      </c>
      <c r="R2">
        <v>0.31314680856304022</v>
      </c>
      <c r="S2">
        <v>4.1197520161686187E-2</v>
      </c>
      <c r="T2">
        <v>0.26638875000000001</v>
      </c>
      <c r="U2">
        <v>1.754E-2</v>
      </c>
      <c r="V2">
        <v>0.25658662605752941</v>
      </c>
      <c r="W2">
        <v>3.552528797519422E-2</v>
      </c>
      <c r="X2">
        <v>0</v>
      </c>
      <c r="Y2">
        <v>0</v>
      </c>
      <c r="Z2">
        <v>0</v>
      </c>
      <c r="AB2">
        <v>4.2000000000000003E-2</v>
      </c>
      <c r="AC2">
        <v>8.0000000000000004E-4</v>
      </c>
      <c r="AD2">
        <v>4.20291435793868E-2</v>
      </c>
      <c r="AE2">
        <v>5.3926653877967743E-3</v>
      </c>
      <c r="AF2">
        <v>103.9767300512286</v>
      </c>
      <c r="AG2">
        <v>9.3340279586697932</v>
      </c>
      <c r="AH2">
        <v>96.03548981183296</v>
      </c>
      <c r="AI2">
        <v>8.8360175785186001</v>
      </c>
      <c r="AJ2">
        <v>83.760740691400784</v>
      </c>
      <c r="AK2">
        <v>5.6617598081662566</v>
      </c>
      <c r="AL2">
        <v>78.689680490995173</v>
      </c>
      <c r="AM2">
        <v>7.9965177171245543</v>
      </c>
      <c r="AN2">
        <v>0</v>
      </c>
      <c r="AO2">
        <v>0</v>
      </c>
      <c r="AP2">
        <v>0</v>
      </c>
      <c r="AR2">
        <v>12.9228430254656</v>
      </c>
      <c r="AS2">
        <v>0.7601672367920943</v>
      </c>
      <c r="AT2">
        <v>12.889447631735051</v>
      </c>
      <c r="AU2">
        <v>1.1251795611940389</v>
      </c>
      <c r="AV2">
        <v>3.125E-2</v>
      </c>
      <c r="AW2">
        <v>1.593443597997745E-3</v>
      </c>
      <c r="AX2">
        <v>3.0978142315459901E-2</v>
      </c>
      <c r="AY2">
        <v>1.1268007419071161E-3</v>
      </c>
      <c r="AZ2">
        <v>3.125E-2</v>
      </c>
      <c r="BA2">
        <v>1.593443597997745E-3</v>
      </c>
      <c r="BB2">
        <v>3.1521857684540099E-2</v>
      </c>
      <c r="BC2">
        <v>1.1268007419071161E-3</v>
      </c>
      <c r="BD2">
        <v>100</v>
      </c>
      <c r="BE2">
        <v>100</v>
      </c>
    </row>
    <row r="3" spans="1:57" x14ac:dyDescent="0.25">
      <c r="A3">
        <v>2</v>
      </c>
      <c r="B3">
        <v>114.1348874530174</v>
      </c>
      <c r="C3">
        <v>117.310864673414</v>
      </c>
      <c r="D3">
        <v>0</v>
      </c>
      <c r="E3">
        <v>0</v>
      </c>
      <c r="F3">
        <v>0</v>
      </c>
      <c r="H3">
        <v>-1.2387625</v>
      </c>
      <c r="I3">
        <v>0.17320749999999999</v>
      </c>
      <c r="J3">
        <v>-1.3730754725568031</v>
      </c>
      <c r="K3">
        <v>0.22415081187322711</v>
      </c>
      <c r="L3">
        <v>-0.50317875000000001</v>
      </c>
      <c r="M3">
        <v>8.4411250000000007E-2</v>
      </c>
      <c r="N3">
        <v>-0.54451817848271711</v>
      </c>
      <c r="O3">
        <v>8.7690285208489704E-2</v>
      </c>
      <c r="P3">
        <v>0.153475</v>
      </c>
      <c r="Q3">
        <v>1.3155E-2</v>
      </c>
      <c r="R3">
        <v>0.1432000107075215</v>
      </c>
      <c r="S3">
        <v>2.755971956157369E-2</v>
      </c>
      <c r="T3">
        <v>0.12387624999999999</v>
      </c>
      <c r="U3">
        <v>9.86625E-3</v>
      </c>
      <c r="V3">
        <v>0.11922197093519191</v>
      </c>
      <c r="W3">
        <v>2.370639154558515E-2</v>
      </c>
      <c r="X3">
        <v>0</v>
      </c>
      <c r="Y3">
        <v>0</v>
      </c>
      <c r="Z3">
        <v>0</v>
      </c>
      <c r="AB3">
        <v>1.9599999999999999E-2</v>
      </c>
      <c r="AC3">
        <v>4.0000000000000002E-4</v>
      </c>
      <c r="AD3">
        <v>1.9674215197290401E-2</v>
      </c>
      <c r="AE3">
        <v>3.6605277224601748E-3</v>
      </c>
      <c r="AF3">
        <v>51.228618563862113</v>
      </c>
      <c r="AG3">
        <v>5.4267604410870893</v>
      </c>
      <c r="AH3">
        <v>49.48977382812636</v>
      </c>
      <c r="AI3">
        <v>6.8596784025196804</v>
      </c>
      <c r="AJ3">
        <v>41.797109172050888</v>
      </c>
      <c r="AK3">
        <v>6.9939385865583157</v>
      </c>
      <c r="AL3">
        <v>41.202988378102077</v>
      </c>
      <c r="AM3">
        <v>6.0711376070869374</v>
      </c>
      <c r="AN3">
        <v>0</v>
      </c>
      <c r="AO3">
        <v>0</v>
      </c>
      <c r="AP3">
        <v>0</v>
      </c>
      <c r="AR3">
        <v>6.8415051311288479</v>
      </c>
      <c r="AS3">
        <v>0.7601672367920943</v>
      </c>
      <c r="AT3">
        <v>6.7993881812513486</v>
      </c>
      <c r="AU3">
        <v>0.88104082664090011</v>
      </c>
      <c r="AV3">
        <v>1.4687499999999999E-2</v>
      </c>
      <c r="AW3">
        <v>7.9809954932013346E-4</v>
      </c>
      <c r="AX3">
        <v>1.4619338602032199E-2</v>
      </c>
      <c r="AY3">
        <v>5.6436909409303599E-4</v>
      </c>
      <c r="AZ3">
        <v>1.4687499999999999E-2</v>
      </c>
      <c r="BA3">
        <v>7.9809954932013346E-4</v>
      </c>
      <c r="BB3">
        <v>1.4755661397967801E-2</v>
      </c>
      <c r="BC3">
        <v>5.6436909409303599E-4</v>
      </c>
      <c r="BD3">
        <v>100</v>
      </c>
      <c r="BE3">
        <v>99.999999999999986</v>
      </c>
    </row>
    <row r="4" spans="1:57" x14ac:dyDescent="0.25">
      <c r="A4">
        <v>3</v>
      </c>
      <c r="B4">
        <v>103.6857516319096</v>
      </c>
      <c r="C4">
        <v>98.999604694008909</v>
      </c>
      <c r="D4">
        <v>-3.9465E-2</v>
      </c>
      <c r="E4">
        <v>4.385E-3</v>
      </c>
      <c r="F4">
        <v>-3.995506700564852E-2</v>
      </c>
      <c r="G4">
        <v>5.9335896657198182E-3</v>
      </c>
      <c r="H4">
        <v>-1.7123425000000001</v>
      </c>
      <c r="I4">
        <v>2.631E-2</v>
      </c>
      <c r="J4">
        <v>-1.6937395030768281</v>
      </c>
      <c r="K4">
        <v>0.15446741251258281</v>
      </c>
      <c r="L4">
        <v>-0.58978249999999999</v>
      </c>
      <c r="M4">
        <v>2.1925E-2</v>
      </c>
      <c r="N4">
        <v>-0.61101681474070058</v>
      </c>
      <c r="O4">
        <v>5.6836847362725783E-2</v>
      </c>
      <c r="P4">
        <v>0.21596124999999999</v>
      </c>
      <c r="Q4">
        <v>8.77E-3</v>
      </c>
      <c r="R4">
        <v>0.21714460576314151</v>
      </c>
      <c r="S4">
        <v>2.158683893201558E-2</v>
      </c>
      <c r="T4">
        <v>9.9758749999999993E-2</v>
      </c>
      <c r="U4">
        <v>1.644375E-2</v>
      </c>
      <c r="V4">
        <v>9.7764647874597946E-2</v>
      </c>
      <c r="W4">
        <v>1.6107476737414798E-2</v>
      </c>
      <c r="X4">
        <v>0</v>
      </c>
      <c r="Y4">
        <v>0</v>
      </c>
      <c r="Z4">
        <v>0</v>
      </c>
      <c r="AB4">
        <v>2.1000000000000001E-2</v>
      </c>
      <c r="AC4">
        <v>4.0000000000000002E-4</v>
      </c>
      <c r="AD4">
        <v>2.1153374470870359E-2</v>
      </c>
      <c r="AE4">
        <v>2.148901880389029E-3</v>
      </c>
      <c r="AF4">
        <v>210.34123469653559</v>
      </c>
      <c r="AG4">
        <v>8.4657462880958594</v>
      </c>
      <c r="AH4">
        <v>209.09124137695741</v>
      </c>
      <c r="AI4">
        <v>13.51230041582037</v>
      </c>
      <c r="AJ4">
        <v>99.413841337507492</v>
      </c>
      <c r="AK4">
        <v>16.319190035302739</v>
      </c>
      <c r="AL4">
        <v>94.13879527441901</v>
      </c>
      <c r="AM4">
        <v>13.783715975382041</v>
      </c>
      <c r="AN4">
        <v>0</v>
      </c>
      <c r="AO4">
        <v>0</v>
      </c>
      <c r="AP4">
        <v>0</v>
      </c>
      <c r="AR4">
        <v>20.524515393386551</v>
      </c>
      <c r="AS4">
        <v>0.38008361839604721</v>
      </c>
      <c r="AT4">
        <v>20.36884734889734</v>
      </c>
      <c r="AU4">
        <v>1.383480402271922</v>
      </c>
      <c r="AV4">
        <v>1.5625E-2</v>
      </c>
      <c r="AW4">
        <v>8.414320011147664E-4</v>
      </c>
      <c r="AX4">
        <v>1.5384969146847231E-2</v>
      </c>
      <c r="AY4">
        <v>5.9504841837571454E-4</v>
      </c>
      <c r="AZ4">
        <v>1.5625E-2</v>
      </c>
      <c r="BA4">
        <v>8.414320011147664E-4</v>
      </c>
      <c r="BB4">
        <v>1.5865030853152769E-2</v>
      </c>
      <c r="BC4">
        <v>5.9504841837571454E-4</v>
      </c>
      <c r="BD4">
        <v>100</v>
      </c>
      <c r="BE4">
        <v>100</v>
      </c>
    </row>
    <row r="5" spans="1:57" x14ac:dyDescent="0.25">
      <c r="A5">
        <v>4</v>
      </c>
      <c r="B5">
        <v>123.5779022436561</v>
      </c>
      <c r="C5">
        <v>110.13907572094161</v>
      </c>
      <c r="D5">
        <v>-0.57333875000000001</v>
      </c>
      <c r="E5">
        <v>1.3155E-2</v>
      </c>
      <c r="F5">
        <v>-0.63310032124696347</v>
      </c>
      <c r="G5">
        <v>6.3294906141213789E-2</v>
      </c>
      <c r="H5">
        <v>1.53475E-2</v>
      </c>
      <c r="I5">
        <v>1.09625E-3</v>
      </c>
      <c r="J5">
        <v>1.5334010495485859E-2</v>
      </c>
      <c r="K5">
        <v>2.0507868650911408E-3</v>
      </c>
      <c r="L5">
        <v>0.43192249999999999</v>
      </c>
      <c r="M5">
        <v>6.5775E-3</v>
      </c>
      <c r="N5">
        <v>0.35607245892185962</v>
      </c>
      <c r="O5">
        <v>3.5376918971079432E-2</v>
      </c>
      <c r="P5">
        <v>3.398375E-2</v>
      </c>
      <c r="Q5">
        <v>1.09625E-3</v>
      </c>
      <c r="R5">
        <v>3.4356389920532138E-2</v>
      </c>
      <c r="S5">
        <v>3.9406649531433047E-3</v>
      </c>
      <c r="T5">
        <v>8.3315E-2</v>
      </c>
      <c r="U5">
        <v>5.48125E-3</v>
      </c>
      <c r="V5">
        <v>8.3315067326209274E-2</v>
      </c>
      <c r="W5">
        <v>9.7325632080850679E-3</v>
      </c>
      <c r="X5">
        <v>0</v>
      </c>
      <c r="Y5">
        <v>0</v>
      </c>
      <c r="Z5">
        <v>0</v>
      </c>
      <c r="AB5">
        <v>4.2000000000000003E-2</v>
      </c>
      <c r="AC5">
        <v>1E-3</v>
      </c>
      <c r="AD5">
        <v>4.1684947831621168E-2</v>
      </c>
      <c r="AE5">
        <v>4.8314007116938467E-3</v>
      </c>
      <c r="AF5">
        <v>13.67543631153946</v>
      </c>
      <c r="AG5">
        <v>1.0853520882174179</v>
      </c>
      <c r="AH5">
        <v>14.833719453574981</v>
      </c>
      <c r="AI5">
        <v>1.133465894992705</v>
      </c>
      <c r="AJ5">
        <v>35.302737627389597</v>
      </c>
      <c r="AK5">
        <v>2.9974022513821348</v>
      </c>
      <c r="AL5">
        <v>35.972124481976337</v>
      </c>
      <c r="AM5">
        <v>2.861710340039735</v>
      </c>
      <c r="AN5">
        <v>0</v>
      </c>
      <c r="AO5">
        <v>0</v>
      </c>
      <c r="AP5">
        <v>0</v>
      </c>
      <c r="AR5">
        <v>17.863930064614209</v>
      </c>
      <c r="AS5">
        <v>0.7601672367920943</v>
      </c>
      <c r="AT5">
        <v>17.997898586010681</v>
      </c>
      <c r="AU5">
        <v>1.4075410772758401</v>
      </c>
      <c r="AV5">
        <v>3.125E-2</v>
      </c>
      <c r="AW5">
        <v>1.593443597997745E-3</v>
      </c>
      <c r="AX5">
        <v>3.1236289126284119E-2</v>
      </c>
      <c r="AY5">
        <v>1.1267352512386701E-3</v>
      </c>
      <c r="AZ5">
        <v>3.125E-2</v>
      </c>
      <c r="BA5">
        <v>1.593443597997745E-3</v>
      </c>
      <c r="BB5">
        <v>3.1263710873715878E-2</v>
      </c>
      <c r="BC5">
        <v>1.1267352512386701E-3</v>
      </c>
      <c r="BD5">
        <v>100</v>
      </c>
      <c r="BE5">
        <v>100</v>
      </c>
    </row>
    <row r="6" spans="1:57" x14ac:dyDescent="0.25">
      <c r="A6">
        <v>5</v>
      </c>
      <c r="B6">
        <v>111.153484025889</v>
      </c>
      <c r="C6">
        <v>103.57840081173239</v>
      </c>
      <c r="D6">
        <v>-0.81140040000000002</v>
      </c>
      <c r="E6">
        <v>2.262659999999999E-2</v>
      </c>
      <c r="F6">
        <v>-0.8883563800833002</v>
      </c>
      <c r="G6">
        <v>9.4804044038333132E-2</v>
      </c>
      <c r="H6">
        <v>1.136592E-2</v>
      </c>
      <c r="I6">
        <v>2.6046900000000011E-3</v>
      </c>
      <c r="J6">
        <v>1.197834478184687E-2</v>
      </c>
      <c r="K6">
        <v>3.09023193512795E-3</v>
      </c>
      <c r="L6">
        <v>0.55566720000000003</v>
      </c>
      <c r="M6">
        <v>1.2365699999999971E-2</v>
      </c>
      <c r="N6">
        <v>0.52293967709136124</v>
      </c>
      <c r="O6">
        <v>5.6022785700050468E-2</v>
      </c>
      <c r="P6">
        <v>6.7906110000000006E-2</v>
      </c>
      <c r="Q6">
        <v>1.868010000000005E-3</v>
      </c>
      <c r="R6">
        <v>7.2351228966009123E-2</v>
      </c>
      <c r="S6">
        <v>8.6712703901777703E-3</v>
      </c>
      <c r="T6">
        <v>8.1482070000000004E-2</v>
      </c>
      <c r="U6">
        <v>2.3942100000000051E-3</v>
      </c>
      <c r="V6">
        <v>8.5601092185457653E-2</v>
      </c>
      <c r="W6">
        <v>1.063820037868988E-2</v>
      </c>
      <c r="X6">
        <v>1.8640635E-3</v>
      </c>
      <c r="Y6">
        <v>2.6625720000000012E-4</v>
      </c>
      <c r="Z6">
        <v>1.9493157092636711E-3</v>
      </c>
      <c r="AA6">
        <v>3.6844135137564321E-4</v>
      </c>
      <c r="AB6">
        <v>0.04</v>
      </c>
      <c r="AC6">
        <v>1E-3</v>
      </c>
      <c r="AD6">
        <v>4.1714797851950911E-2</v>
      </c>
      <c r="AE6">
        <v>5.3059367256393514E-3</v>
      </c>
      <c r="AF6">
        <v>84.223322045671623</v>
      </c>
      <c r="AG6">
        <v>3.2560562646522531</v>
      </c>
      <c r="AH6">
        <v>90.535466951497696</v>
      </c>
      <c r="AI6">
        <v>6.8191267222578196</v>
      </c>
      <c r="AJ6">
        <v>104.57603410377671</v>
      </c>
      <c r="AK6">
        <v>7.1604609338573244</v>
      </c>
      <c r="AL6">
        <v>107.115455581405</v>
      </c>
      <c r="AM6">
        <v>8.8029033491458932</v>
      </c>
      <c r="AN6">
        <v>2.4078738584791561</v>
      </c>
      <c r="AO6">
        <v>0.1109619289621732</v>
      </c>
      <c r="AP6">
        <v>2.4392427122003459</v>
      </c>
      <c r="AQ6">
        <v>0.40106197290520268</v>
      </c>
      <c r="AR6">
        <v>54.351957430634727</v>
      </c>
      <c r="AS6">
        <v>3.0406689471683772</v>
      </c>
      <c r="AT6">
        <v>52.199095389077662</v>
      </c>
      <c r="AU6">
        <v>4.5169145468705381</v>
      </c>
      <c r="AV6">
        <v>3.125E-2</v>
      </c>
      <c r="AW6">
        <v>1.593443597997745E-3</v>
      </c>
      <c r="AX6">
        <v>3.121390161103681E-2</v>
      </c>
      <c r="AY6">
        <v>1.1267402332497849E-3</v>
      </c>
      <c r="AZ6">
        <v>3.125E-2</v>
      </c>
      <c r="BA6">
        <v>1.593443597997745E-3</v>
      </c>
      <c r="BB6">
        <v>3.1286098388963193E-2</v>
      </c>
      <c r="BC6">
        <v>1.1267402332497849E-3</v>
      </c>
      <c r="BD6">
        <v>100</v>
      </c>
      <c r="BE6">
        <v>100</v>
      </c>
    </row>
    <row r="7" spans="1:57" x14ac:dyDescent="0.25">
      <c r="A7">
        <v>6</v>
      </c>
      <c r="B7">
        <v>119.22828011767579</v>
      </c>
      <c r="C7">
        <v>115.7454859849387</v>
      </c>
      <c r="D7">
        <v>-0.52729625000000002</v>
      </c>
      <c r="E7">
        <v>3.28875E-2</v>
      </c>
      <c r="F7">
        <v>-0.61282503931867749</v>
      </c>
      <c r="G7">
        <v>8.1901867299920245E-2</v>
      </c>
      <c r="H7">
        <v>-0.86932624999999997</v>
      </c>
      <c r="I7">
        <v>7.893E-2</v>
      </c>
      <c r="J7">
        <v>-0.94557566850687025</v>
      </c>
      <c r="K7">
        <v>0.13316623328654989</v>
      </c>
      <c r="L7">
        <v>5.590875E-2</v>
      </c>
      <c r="M7">
        <v>4.385E-3</v>
      </c>
      <c r="N7">
        <v>5.8190378021621941E-2</v>
      </c>
      <c r="O7">
        <v>1.0230671629596771E-2</v>
      </c>
      <c r="P7">
        <v>0.23788624999999999</v>
      </c>
      <c r="Q7">
        <v>5.48125E-3</v>
      </c>
      <c r="R7">
        <v>0.22707392205836399</v>
      </c>
      <c r="S7">
        <v>3.2316742988827238E-2</v>
      </c>
      <c r="T7">
        <v>2.85025E-2</v>
      </c>
      <c r="U7">
        <v>3.28875E-3</v>
      </c>
      <c r="V7">
        <v>2.9341496568114932E-2</v>
      </c>
      <c r="W7">
        <v>5.7742875955448516E-3</v>
      </c>
      <c r="X7">
        <v>0</v>
      </c>
      <c r="Y7">
        <v>0</v>
      </c>
      <c r="Z7">
        <v>0</v>
      </c>
      <c r="AB7">
        <v>0.04</v>
      </c>
      <c r="AC7">
        <v>1E-3</v>
      </c>
      <c r="AD7">
        <v>4.1803824044097687E-2</v>
      </c>
      <c r="AE7">
        <v>6.6628345247875063E-3</v>
      </c>
      <c r="AF7">
        <v>96.81340626899366</v>
      </c>
      <c r="AG7">
        <v>8.8998871233828254</v>
      </c>
      <c r="AH7">
        <v>90.248260887336045</v>
      </c>
      <c r="AI7">
        <v>7.5229897275908186</v>
      </c>
      <c r="AJ7">
        <v>11.490041963631519</v>
      </c>
      <c r="AK7">
        <v>1.1656564310930531</v>
      </c>
      <c r="AL7">
        <v>11.66148456458818</v>
      </c>
      <c r="AM7">
        <v>1.859371724078742</v>
      </c>
      <c r="AN7">
        <v>0</v>
      </c>
      <c r="AO7">
        <v>0</v>
      </c>
      <c r="AP7">
        <v>0</v>
      </c>
      <c r="AR7">
        <v>17.48384644621817</v>
      </c>
      <c r="AS7">
        <v>1.5203344735841891</v>
      </c>
      <c r="AT7">
        <v>16.61451206823445</v>
      </c>
      <c r="AU7">
        <v>1.827392113483213</v>
      </c>
      <c r="AV7">
        <v>3.125E-2</v>
      </c>
      <c r="AW7">
        <v>1.593443597997745E-3</v>
      </c>
      <c r="AX7">
        <v>3.1147131966926731E-2</v>
      </c>
      <c r="AY7">
        <v>1.1267560375712879E-3</v>
      </c>
      <c r="AZ7">
        <v>3.125E-2</v>
      </c>
      <c r="BA7">
        <v>1.593443597997745E-3</v>
      </c>
      <c r="BB7">
        <v>3.1352868033073272E-2</v>
      </c>
      <c r="BC7">
        <v>1.1267560375712879E-3</v>
      </c>
      <c r="BD7">
        <v>100</v>
      </c>
      <c r="BE7">
        <v>100</v>
      </c>
    </row>
    <row r="8" spans="1:57" x14ac:dyDescent="0.25">
      <c r="A8">
        <v>7</v>
      </c>
      <c r="B8">
        <v>124.0424209498989</v>
      </c>
      <c r="C8">
        <v>115.21957930346269</v>
      </c>
      <c r="D8">
        <v>-0.54172290000000001</v>
      </c>
      <c r="E8">
        <v>2.1048000000000022E-2</v>
      </c>
      <c r="F8">
        <v>-0.65195150821275183</v>
      </c>
      <c r="G8">
        <v>6.1595493691151477E-2</v>
      </c>
      <c r="H8">
        <v>-0.77903909999999998</v>
      </c>
      <c r="I8">
        <v>4.4463900000000042E-2</v>
      </c>
      <c r="J8">
        <v>-0.79516367946967181</v>
      </c>
      <c r="K8">
        <v>8.1961684379070532E-2</v>
      </c>
      <c r="L8">
        <v>0.11639544</v>
      </c>
      <c r="M8">
        <v>1.762769999999981E-3</v>
      </c>
      <c r="N8">
        <v>0.1202469255053587</v>
      </c>
      <c r="O8">
        <v>1.2738429687750919E-2</v>
      </c>
      <c r="P8">
        <v>0.20771745</v>
      </c>
      <c r="Q8">
        <v>1.3049760000000009E-2</v>
      </c>
      <c r="R8">
        <v>0.1943757652858929</v>
      </c>
      <c r="S8">
        <v>2.022728313567853E-2</v>
      </c>
      <c r="T8">
        <v>5.0067929999999997E-2</v>
      </c>
      <c r="U8">
        <v>4.262219999999998E-3</v>
      </c>
      <c r="V8">
        <v>5.0453574800518437E-2</v>
      </c>
      <c r="W8">
        <v>6.9316360560167526E-3</v>
      </c>
      <c r="X8">
        <v>0</v>
      </c>
      <c r="Y8">
        <v>0</v>
      </c>
      <c r="Z8">
        <v>0</v>
      </c>
      <c r="AB8">
        <v>0.04</v>
      </c>
      <c r="AC8">
        <v>1E-3</v>
      </c>
      <c r="AD8">
        <v>4.2045902534570433E-2</v>
      </c>
      <c r="AE8">
        <v>4.5373631534081308E-3</v>
      </c>
      <c r="AF8">
        <v>250.71633237822351</v>
      </c>
      <c r="AG8">
        <v>8.8998871233828254</v>
      </c>
      <c r="AH8">
        <v>240.62146605481331</v>
      </c>
      <c r="AI8">
        <v>15.951434814630289</v>
      </c>
      <c r="AJ8">
        <v>63.944581362818887</v>
      </c>
      <c r="AK8">
        <v>5.4952374608672487</v>
      </c>
      <c r="AL8">
        <v>62.4574422554725</v>
      </c>
      <c r="AM8">
        <v>6.9663658320247217</v>
      </c>
      <c r="AN8">
        <v>0</v>
      </c>
      <c r="AO8">
        <v>0</v>
      </c>
      <c r="AP8">
        <v>0</v>
      </c>
      <c r="AR8">
        <v>55.112124667426833</v>
      </c>
      <c r="AS8">
        <v>1.5203344735841891</v>
      </c>
      <c r="AT8">
        <v>52.04942444643531</v>
      </c>
      <c r="AU8">
        <v>3.75737548740033</v>
      </c>
      <c r="AV8">
        <v>3.125E-2</v>
      </c>
      <c r="AW8">
        <v>1.593443597997745E-3</v>
      </c>
      <c r="AX8">
        <v>3.0965573099072181E-2</v>
      </c>
      <c r="AY8">
        <v>1.1268198925626111E-3</v>
      </c>
      <c r="AZ8">
        <v>3.125E-2</v>
      </c>
      <c r="BA8">
        <v>1.593443597997745E-3</v>
      </c>
      <c r="BB8">
        <v>3.1534426900927823E-2</v>
      </c>
      <c r="BC8">
        <v>1.1268198925626111E-3</v>
      </c>
      <c r="BD8">
        <v>100</v>
      </c>
      <c r="BE8">
        <v>100</v>
      </c>
    </row>
    <row r="9" spans="1:57" x14ac:dyDescent="0.25">
      <c r="A9">
        <v>8</v>
      </c>
      <c r="B9">
        <v>125.8848123057661</v>
      </c>
      <c r="C9">
        <v>112.8737734066201</v>
      </c>
      <c r="D9">
        <v>-0.50778299999999998</v>
      </c>
      <c r="E9">
        <v>2.5389149999999999E-2</v>
      </c>
      <c r="F9">
        <v>-0.57352327379041601</v>
      </c>
      <c r="G9">
        <v>6.1440548711219622E-2</v>
      </c>
      <c r="H9">
        <v>-0.34203</v>
      </c>
      <c r="I9">
        <v>1.7101499999999999E-2</v>
      </c>
      <c r="J9">
        <v>-0.34131095062662492</v>
      </c>
      <c r="K9">
        <v>4.0068355426551981E-2</v>
      </c>
      <c r="L9">
        <v>0.14996699999999999</v>
      </c>
      <c r="M9">
        <v>7.4983500000000008E-3</v>
      </c>
      <c r="N9">
        <v>0.14519091052411151</v>
      </c>
      <c r="O9">
        <v>1.8500832700330962E-2</v>
      </c>
      <c r="P9">
        <v>3.1572000000000003E-2</v>
      </c>
      <c r="Q9">
        <v>1.5786000000000001E-3</v>
      </c>
      <c r="R9">
        <v>3.1490021194926082E-2</v>
      </c>
      <c r="S9">
        <v>4.0993881486682754E-3</v>
      </c>
      <c r="T9">
        <v>0.17364599999999999</v>
      </c>
      <c r="U9">
        <v>8.6823000000000004E-3</v>
      </c>
      <c r="V9">
        <v>0.16263222499897459</v>
      </c>
      <c r="W9">
        <v>1.893308585884752E-2</v>
      </c>
      <c r="X9">
        <v>0</v>
      </c>
      <c r="Y9">
        <v>0</v>
      </c>
      <c r="Z9">
        <v>0</v>
      </c>
      <c r="AB9">
        <v>0.04</v>
      </c>
      <c r="AC9">
        <v>1E-3</v>
      </c>
      <c r="AD9">
        <v>4.0087870878503219E-2</v>
      </c>
      <c r="AE9">
        <v>4.9737461279569456E-3</v>
      </c>
      <c r="AF9">
        <v>12.48589042285318</v>
      </c>
      <c r="AG9">
        <v>0.62429452114265882</v>
      </c>
      <c r="AH9">
        <v>13.32187779321799</v>
      </c>
      <c r="AI9">
        <v>1.2481392788160519</v>
      </c>
      <c r="AJ9">
        <v>71.081729168054352</v>
      </c>
      <c r="AK9">
        <v>3.5540864584027179</v>
      </c>
      <c r="AL9">
        <v>68.801688422634825</v>
      </c>
      <c r="AM9">
        <v>5.0482982421529439</v>
      </c>
      <c r="AN9">
        <v>0</v>
      </c>
      <c r="AO9">
        <v>0</v>
      </c>
      <c r="AP9">
        <v>0</v>
      </c>
      <c r="AR9">
        <v>17.10376282782212</v>
      </c>
      <c r="AS9">
        <v>0.8551881413911061</v>
      </c>
      <c r="AT9">
        <v>16.95920474387524</v>
      </c>
      <c r="AU9">
        <v>1.441498011604456</v>
      </c>
      <c r="AV9">
        <v>0.03</v>
      </c>
      <c r="AW9">
        <v>1.6770509831248431E-3</v>
      </c>
      <c r="AX9">
        <v>2.9934096841122589E-2</v>
      </c>
      <c r="AY9">
        <v>1.1858601048209899E-3</v>
      </c>
      <c r="AZ9">
        <v>0.03</v>
      </c>
      <c r="BA9">
        <v>1.6770509831248431E-3</v>
      </c>
      <c r="BB9">
        <v>3.0065903158877409E-2</v>
      </c>
      <c r="BC9">
        <v>1.1858601048209899E-3</v>
      </c>
      <c r="BD9">
        <v>99.999999999999986</v>
      </c>
      <c r="BE9">
        <v>99.999999999999986</v>
      </c>
    </row>
    <row r="10" spans="1:57" x14ac:dyDescent="0.25">
      <c r="A10">
        <v>9</v>
      </c>
      <c r="B10">
        <v>126.93176750853689</v>
      </c>
      <c r="C10">
        <v>112.97779937815829</v>
      </c>
      <c r="D10">
        <v>-0.48147299999999998</v>
      </c>
      <c r="E10">
        <v>2.4073649999999999E-2</v>
      </c>
      <c r="F10">
        <v>-0.54625794925343296</v>
      </c>
      <c r="G10">
        <v>5.8504752142697347E-2</v>
      </c>
      <c r="H10">
        <v>-0.32098199999999999</v>
      </c>
      <c r="I10">
        <v>1.60491E-2</v>
      </c>
      <c r="J10">
        <v>-0.32001555562557299</v>
      </c>
      <c r="K10">
        <v>3.7654516658859653E-2</v>
      </c>
      <c r="L10">
        <v>0.14733599999999999</v>
      </c>
      <c r="M10">
        <v>7.3667999999999989E-3</v>
      </c>
      <c r="N10">
        <v>0.14220779798883329</v>
      </c>
      <c r="O10">
        <v>1.808933116817453E-2</v>
      </c>
      <c r="P10">
        <v>3.1572000000000003E-2</v>
      </c>
      <c r="Q10">
        <v>1.5786000000000001E-3</v>
      </c>
      <c r="R10">
        <v>3.1492183553549713E-2</v>
      </c>
      <c r="S10">
        <v>4.0934540176095977E-3</v>
      </c>
      <c r="T10">
        <v>0.16049099999999999</v>
      </c>
      <c r="U10">
        <v>8.0245500000000001E-3</v>
      </c>
      <c r="V10">
        <v>0.1504863722566965</v>
      </c>
      <c r="W10">
        <v>1.7594891221551681E-2</v>
      </c>
      <c r="X10">
        <v>0</v>
      </c>
      <c r="Y10">
        <v>0</v>
      </c>
      <c r="Z10">
        <v>0</v>
      </c>
      <c r="AB10">
        <v>0.04</v>
      </c>
      <c r="AC10">
        <v>1E-3</v>
      </c>
      <c r="AD10">
        <v>4.0093039644107133E-2</v>
      </c>
      <c r="AE10">
        <v>4.9748531087634267E-3</v>
      </c>
      <c r="AF10">
        <v>14.270209255882611</v>
      </c>
      <c r="AG10">
        <v>0.71351046279413055</v>
      </c>
      <c r="AH10">
        <v>15.087954398553419</v>
      </c>
      <c r="AI10">
        <v>1.409331507109179</v>
      </c>
      <c r="AJ10">
        <v>74.174049157396922</v>
      </c>
      <c r="AK10">
        <v>3.7087024578698462</v>
      </c>
      <c r="AL10">
        <v>72.098256329286627</v>
      </c>
      <c r="AM10">
        <v>5.3468049139790796</v>
      </c>
      <c r="AN10">
        <v>0</v>
      </c>
      <c r="AO10">
        <v>0</v>
      </c>
      <c r="AP10">
        <v>0</v>
      </c>
      <c r="AR10">
        <v>19.384264538198401</v>
      </c>
      <c r="AS10">
        <v>0.96921322690992029</v>
      </c>
      <c r="AT10">
        <v>19.208638004445319</v>
      </c>
      <c r="AU10">
        <v>1.6328355677208319</v>
      </c>
      <c r="AV10">
        <v>0.03</v>
      </c>
      <c r="AW10">
        <v>1.6770509831248431E-3</v>
      </c>
      <c r="AX10">
        <v>2.993022026691966E-2</v>
      </c>
      <c r="AY10">
        <v>1.185860862613664E-3</v>
      </c>
      <c r="AZ10">
        <v>0.03</v>
      </c>
      <c r="BA10">
        <v>1.6770509831248431E-3</v>
      </c>
      <c r="BB10">
        <v>3.0069779733080341E-2</v>
      </c>
      <c r="BC10">
        <v>1.185860862613664E-3</v>
      </c>
      <c r="BD10">
        <v>99.999999999999986</v>
      </c>
      <c r="BE10">
        <v>99.999999999999972</v>
      </c>
    </row>
    <row r="11" spans="1:57" x14ac:dyDescent="0.25">
      <c r="A11">
        <v>10</v>
      </c>
      <c r="B11">
        <v>106.66877027411439</v>
      </c>
      <c r="C11">
        <v>104.4965736127716</v>
      </c>
      <c r="D11">
        <v>-0.64722600000000008</v>
      </c>
      <c r="E11">
        <v>3.2361300000000003E-2</v>
      </c>
      <c r="F11">
        <v>-0.67092780991090673</v>
      </c>
      <c r="G11">
        <v>7.1631034347366979E-2</v>
      </c>
      <c r="H11">
        <v>-0.32887499999999997</v>
      </c>
      <c r="I11">
        <v>1.644375E-2</v>
      </c>
      <c r="J11">
        <v>-0.33605073846384909</v>
      </c>
      <c r="K11">
        <v>4.0231777364886631E-2</v>
      </c>
      <c r="L11">
        <v>0.22889699999999999</v>
      </c>
      <c r="M11">
        <v>1.1444849999999999E-2</v>
      </c>
      <c r="N11">
        <v>0.23052876350187201</v>
      </c>
      <c r="O11">
        <v>2.8126464315894821E-2</v>
      </c>
      <c r="P11">
        <v>6.5775E-2</v>
      </c>
      <c r="Q11">
        <v>3.28875E-3</v>
      </c>
      <c r="R11">
        <v>6.510433224087471E-2</v>
      </c>
      <c r="S11">
        <v>8.1291173153472916E-3</v>
      </c>
      <c r="T11">
        <v>0.13681199999999999</v>
      </c>
      <c r="U11">
        <v>6.8405999999999996E-3</v>
      </c>
      <c r="V11">
        <v>0.13446843252386401</v>
      </c>
      <c r="W11">
        <v>1.6427524679703331E-2</v>
      </c>
      <c r="X11">
        <v>2.631E-4</v>
      </c>
      <c r="Y11">
        <v>1.3155E-5</v>
      </c>
      <c r="Z11">
        <v>2.6500376450685581E-4</v>
      </c>
      <c r="AA11">
        <v>3.4731718122294597E-5</v>
      </c>
      <c r="AB11">
        <v>0.04</v>
      </c>
      <c r="AC11">
        <v>1E-3</v>
      </c>
      <c r="AD11">
        <v>4.0193501821529802E-2</v>
      </c>
      <c r="AE11">
        <v>4.9721257624669828E-3</v>
      </c>
      <c r="AF11">
        <v>63.291221672310513</v>
      </c>
      <c r="AG11">
        <v>3.164561083615526</v>
      </c>
      <c r="AH11">
        <v>67.226283386661549</v>
      </c>
      <c r="AI11">
        <v>5.8076302006788332</v>
      </c>
      <c r="AJ11">
        <v>133.69579697595421</v>
      </c>
      <c r="AK11">
        <v>6.6847898487977089</v>
      </c>
      <c r="AL11">
        <v>138.85117380458991</v>
      </c>
      <c r="AM11">
        <v>11.447424763324671</v>
      </c>
      <c r="AN11">
        <v>0.33099943409416233</v>
      </c>
      <c r="AO11">
        <v>1.6549971704708111E-2</v>
      </c>
      <c r="AP11">
        <v>0.27364105518134801</v>
      </c>
      <c r="AQ11">
        <v>2.603102149629383E-2</v>
      </c>
      <c r="AR11">
        <v>41.809198023565187</v>
      </c>
      <c r="AS11">
        <v>2.0904599011782601</v>
      </c>
      <c r="AT11">
        <v>41.503532111493122</v>
      </c>
      <c r="AU11">
        <v>3.5156247223052821</v>
      </c>
      <c r="AV11">
        <v>0.03</v>
      </c>
      <c r="AW11">
        <v>1.6770509831248431E-3</v>
      </c>
      <c r="AX11">
        <v>2.9854873633852651E-2</v>
      </c>
      <c r="AY11">
        <v>1.185885092682606E-3</v>
      </c>
      <c r="AZ11">
        <v>0.03</v>
      </c>
      <c r="BA11">
        <v>1.6770509831248431E-3</v>
      </c>
      <c r="BB11">
        <v>3.014512636614735E-2</v>
      </c>
      <c r="BC11">
        <v>1.185885092682606E-3</v>
      </c>
      <c r="BD11">
        <v>99.999999999999986</v>
      </c>
      <c r="BE11">
        <v>100</v>
      </c>
    </row>
    <row r="12" spans="1:57" x14ac:dyDescent="0.25">
      <c r="A12">
        <v>11</v>
      </c>
      <c r="B12">
        <v>94.547243174247001</v>
      </c>
      <c r="C12">
        <v>97.604165854984657</v>
      </c>
      <c r="D12">
        <v>-0.83139600000000002</v>
      </c>
      <c r="E12">
        <v>4.1569799999999997E-2</v>
      </c>
      <c r="F12">
        <v>-0.81412338662019734</v>
      </c>
      <c r="G12">
        <v>8.7046678895932483E-2</v>
      </c>
      <c r="H12">
        <v>-0.32361299999999998</v>
      </c>
      <c r="I12">
        <v>1.6180650000000001E-2</v>
      </c>
      <c r="J12">
        <v>-0.32483791313769839</v>
      </c>
      <c r="K12">
        <v>4.0157872269601533E-2</v>
      </c>
      <c r="L12">
        <v>0.33939900000000001</v>
      </c>
      <c r="M12">
        <v>1.6969950000000001E-2</v>
      </c>
      <c r="N12">
        <v>0.34417730339883268</v>
      </c>
      <c r="O12">
        <v>4.0710629990725111E-2</v>
      </c>
      <c r="P12">
        <v>9.7347000000000003E-2</v>
      </c>
      <c r="Q12">
        <v>4.8673500000000003E-3</v>
      </c>
      <c r="R12">
        <v>9.8378952404981318E-2</v>
      </c>
      <c r="S12">
        <v>1.1682329840791631E-2</v>
      </c>
      <c r="T12">
        <v>0.110502</v>
      </c>
      <c r="U12">
        <v>5.5251000000000007E-3</v>
      </c>
      <c r="V12">
        <v>0.1117328583557685</v>
      </c>
      <c r="W12">
        <v>1.4044012102867889E-2</v>
      </c>
      <c r="X12">
        <v>2.3679E-3</v>
      </c>
      <c r="Y12">
        <v>1.1839499999999999E-4</v>
      </c>
      <c r="Z12">
        <v>2.378713767008002E-3</v>
      </c>
      <c r="AA12">
        <v>3.1134281474941939E-4</v>
      </c>
      <c r="AB12">
        <v>0.04</v>
      </c>
      <c r="AC12">
        <v>1E-3</v>
      </c>
      <c r="AD12">
        <v>4.0207606631832808E-2</v>
      </c>
      <c r="AE12">
        <v>4.9630872556909672E-3</v>
      </c>
      <c r="AF12">
        <v>113.14795519666581</v>
      </c>
      <c r="AG12">
        <v>5.657397759833291</v>
      </c>
      <c r="AH12">
        <v>122.2362699185218</v>
      </c>
      <c r="AI12">
        <v>9.4732063744129746</v>
      </c>
      <c r="AJ12">
        <v>132.66835409311929</v>
      </c>
      <c r="AK12">
        <v>6.6334177046559644</v>
      </c>
      <c r="AL12">
        <v>138.82855528406839</v>
      </c>
      <c r="AM12">
        <v>12.18503439499559</v>
      </c>
      <c r="AN12">
        <v>3.0991666759134939</v>
      </c>
      <c r="AO12">
        <v>0.1549583337956747</v>
      </c>
      <c r="AP12">
        <v>2.955562048332721</v>
      </c>
      <c r="AQ12">
        <v>0.28095544831913971</v>
      </c>
      <c r="AR12">
        <v>50.171037628278221</v>
      </c>
      <c r="AS12">
        <v>2.5085518814139109</v>
      </c>
      <c r="AT12">
        <v>49.958123530268487</v>
      </c>
      <c r="AU12">
        <v>4.2218436319583894</v>
      </c>
      <c r="AV12">
        <v>0.03</v>
      </c>
      <c r="AW12">
        <v>1.6770509831248431E-3</v>
      </c>
      <c r="AX12">
        <v>2.98442950261254E-2</v>
      </c>
      <c r="AY12">
        <v>1.185893991720032E-3</v>
      </c>
      <c r="AZ12">
        <v>0.03</v>
      </c>
      <c r="BA12">
        <v>1.6770509831248431E-3</v>
      </c>
      <c r="BB12">
        <v>3.0155704973874611E-2</v>
      </c>
      <c r="BC12">
        <v>1.185893991720032E-3</v>
      </c>
      <c r="BD12">
        <v>100</v>
      </c>
      <c r="BE12">
        <v>100</v>
      </c>
    </row>
    <row r="13" spans="1:57" x14ac:dyDescent="0.25">
      <c r="A13">
        <v>12</v>
      </c>
      <c r="B13">
        <v>99.312267089564301</v>
      </c>
      <c r="C13">
        <v>102.7937440640834</v>
      </c>
      <c r="D13">
        <v>-0.77877600000000002</v>
      </c>
      <c r="E13">
        <v>3.8938800000000003E-2</v>
      </c>
      <c r="F13">
        <v>-0.78067593667796209</v>
      </c>
      <c r="G13">
        <v>8.3522450891598432E-2</v>
      </c>
      <c r="H13">
        <v>-0.30256499999999997</v>
      </c>
      <c r="I13">
        <v>1.5128249999999999E-2</v>
      </c>
      <c r="J13">
        <v>-0.3124969581008108</v>
      </c>
      <c r="K13">
        <v>3.8480120520982097E-2</v>
      </c>
      <c r="L13">
        <v>0.32098199999999999</v>
      </c>
      <c r="M13">
        <v>1.60491E-2</v>
      </c>
      <c r="N13">
        <v>0.33268541977922628</v>
      </c>
      <c r="O13">
        <v>3.9229362042537533E-2</v>
      </c>
      <c r="P13">
        <v>9.9977999999999997E-2</v>
      </c>
      <c r="Q13">
        <v>4.9988999999999997E-3</v>
      </c>
      <c r="R13">
        <v>9.7435570615493419E-2</v>
      </c>
      <c r="S13">
        <v>1.1585427448653981E-2</v>
      </c>
      <c r="T13">
        <v>0.10260900000000001</v>
      </c>
      <c r="U13">
        <v>5.1304499999999999E-3</v>
      </c>
      <c r="V13">
        <v>0.10169219633838909</v>
      </c>
      <c r="W13">
        <v>1.2954953409742001E-2</v>
      </c>
      <c r="X13">
        <v>2.3679E-3</v>
      </c>
      <c r="Y13">
        <v>1.1839499999999999E-4</v>
      </c>
      <c r="Z13">
        <v>2.3818729049514551E-3</v>
      </c>
      <c r="AA13">
        <v>3.1226903346778302E-4</v>
      </c>
      <c r="AB13">
        <v>0.04</v>
      </c>
      <c r="AC13">
        <v>1E-3</v>
      </c>
      <c r="AD13">
        <v>4.0207491371164757E-2</v>
      </c>
      <c r="AE13">
        <v>4.9735046756338823E-3</v>
      </c>
      <c r="AF13">
        <v>123.35460623426241</v>
      </c>
      <c r="AG13">
        <v>6.167730311713119</v>
      </c>
      <c r="AH13">
        <v>128.0209509063782</v>
      </c>
      <c r="AI13">
        <v>9.9255025783844868</v>
      </c>
      <c r="AJ13">
        <v>129.46163325118229</v>
      </c>
      <c r="AK13">
        <v>6.4730816625591157</v>
      </c>
      <c r="AL13">
        <v>133.6137469382106</v>
      </c>
      <c r="AM13">
        <v>12.026786703647399</v>
      </c>
      <c r="AN13">
        <v>3.0037394170060252</v>
      </c>
      <c r="AO13">
        <v>0.15018697085030119</v>
      </c>
      <c r="AP13">
        <v>3.129551480058097</v>
      </c>
      <c r="AQ13">
        <v>0.29789528076705341</v>
      </c>
      <c r="AR13">
        <v>53.211706575446591</v>
      </c>
      <c r="AS13">
        <v>2.66058532877233</v>
      </c>
      <c r="AT13">
        <v>52.828769271640219</v>
      </c>
      <c r="AU13">
        <v>4.4744455745875591</v>
      </c>
      <c r="AV13">
        <v>0.03</v>
      </c>
      <c r="AW13">
        <v>1.6770509831248431E-3</v>
      </c>
      <c r="AX13">
        <v>2.9844381471626429E-2</v>
      </c>
      <c r="AY13">
        <v>1.1858933384694241E-3</v>
      </c>
      <c r="AZ13">
        <v>0.03</v>
      </c>
      <c r="BA13">
        <v>1.6770509831248431E-3</v>
      </c>
      <c r="BB13">
        <v>3.0155618528373569E-2</v>
      </c>
      <c r="BC13">
        <v>1.1858933384694249E-3</v>
      </c>
      <c r="BD13">
        <v>100</v>
      </c>
      <c r="BE13">
        <v>99.999999999999986</v>
      </c>
    </row>
    <row r="14" spans="1:57" x14ac:dyDescent="0.25">
      <c r="A14">
        <v>13</v>
      </c>
      <c r="B14">
        <v>121.53000752351539</v>
      </c>
      <c r="C14">
        <v>111.0143565674926</v>
      </c>
      <c r="D14">
        <v>-0.83165909999999998</v>
      </c>
      <c r="E14">
        <v>3.5255400000000089E-2</v>
      </c>
      <c r="F14">
        <v>-0.91804687828029041</v>
      </c>
      <c r="G14">
        <v>9.1511985701504858E-2</v>
      </c>
      <c r="H14">
        <v>7.3668000000000006E-3</v>
      </c>
      <c r="I14">
        <v>1.8416999999999991E-3</v>
      </c>
      <c r="J14">
        <v>7.4306889392434213E-3</v>
      </c>
      <c r="K14">
        <v>2.015324426049243E-3</v>
      </c>
      <c r="L14">
        <v>0.62407319999999999</v>
      </c>
      <c r="M14">
        <v>3.7360200000000038E-2</v>
      </c>
      <c r="N14">
        <v>0.5342539454730828</v>
      </c>
      <c r="O14">
        <v>5.4125465293679488E-2</v>
      </c>
      <c r="P14">
        <v>7.093176000000001E-2</v>
      </c>
      <c r="Q14">
        <v>9.1558799999999965E-3</v>
      </c>
      <c r="R14">
        <v>7.1138928173143212E-2</v>
      </c>
      <c r="S14">
        <v>9.5965885819773427E-3</v>
      </c>
      <c r="T14">
        <v>9.724176000000001E-2</v>
      </c>
      <c r="U14">
        <v>7.6035899999999934E-3</v>
      </c>
      <c r="V14">
        <v>9.5567941627508299E-2</v>
      </c>
      <c r="W14">
        <v>1.2281137390731309E-2</v>
      </c>
      <c r="X14">
        <v>1.9487816999999999E-3</v>
      </c>
      <c r="Y14">
        <v>4.3569360000000011E-4</v>
      </c>
      <c r="Z14">
        <v>1.953439817544287E-3</v>
      </c>
      <c r="AA14">
        <v>4.8530037844654827E-4</v>
      </c>
      <c r="AB14">
        <v>4.2500000000000003E-2</v>
      </c>
      <c r="AC14">
        <v>4.1666666666666669E-4</v>
      </c>
      <c r="AD14">
        <v>4.2565433935727322E-2</v>
      </c>
      <c r="AE14">
        <v>4.6394661455026569E-3</v>
      </c>
      <c r="AF14">
        <v>92.580533124945731</v>
      </c>
      <c r="AG14">
        <v>8.3572110792741316</v>
      </c>
      <c r="AH14">
        <v>100.00809920843029</v>
      </c>
      <c r="AI14">
        <v>10.796607720176921</v>
      </c>
      <c r="AJ14">
        <v>135.1328848331446</v>
      </c>
      <c r="AK14">
        <v>13.13861320189169</v>
      </c>
      <c r="AL14">
        <v>134.35074765489031</v>
      </c>
      <c r="AM14">
        <v>13.415574896564239</v>
      </c>
      <c r="AN14">
        <v>2.848392716458982</v>
      </c>
      <c r="AO14">
        <v>0.54704230978351331</v>
      </c>
      <c r="AP14">
        <v>2.746172989775526</v>
      </c>
      <c r="AQ14">
        <v>0.6450660637971638</v>
      </c>
      <c r="AR14">
        <v>60.053211706575453</v>
      </c>
      <c r="AS14">
        <v>2.2805017103762828</v>
      </c>
      <c r="AT14">
        <v>59.839081768752187</v>
      </c>
      <c r="AU14">
        <v>4.3715818975563163</v>
      </c>
      <c r="AV14">
        <v>3.1875000000000001E-2</v>
      </c>
      <c r="AW14">
        <v>1.624098307523286E-3</v>
      </c>
      <c r="AX14">
        <v>3.1825924548204508E-2</v>
      </c>
      <c r="AY14">
        <v>1.1484246257135291E-3</v>
      </c>
      <c r="AZ14">
        <v>3.1875000000000001E-2</v>
      </c>
      <c r="BA14">
        <v>1.624098307523286E-3</v>
      </c>
      <c r="BB14">
        <v>3.1924075451795493E-2</v>
      </c>
      <c r="BC14">
        <v>1.1484246257135291E-3</v>
      </c>
      <c r="BD14">
        <v>100</v>
      </c>
      <c r="BE14">
        <v>99.999999999999972</v>
      </c>
    </row>
    <row r="15" spans="1:57" x14ac:dyDescent="0.25">
      <c r="A15">
        <v>14</v>
      </c>
      <c r="B15">
        <v>107.6108963445611</v>
      </c>
      <c r="C15">
        <v>88.00456782248169</v>
      </c>
      <c r="D15">
        <v>-1.4762541</v>
      </c>
      <c r="E15">
        <v>2.7888600000000058E-2</v>
      </c>
      <c r="F15">
        <v>-1.448772151401962</v>
      </c>
      <c r="G15">
        <v>0.13318270989302089</v>
      </c>
      <c r="H15">
        <v>5.5250999999999998E-3</v>
      </c>
      <c r="I15">
        <v>4.7358000000000009E-3</v>
      </c>
      <c r="J15">
        <v>6.6122600445729053E-3</v>
      </c>
      <c r="K15">
        <v>4.7084748196108807E-3</v>
      </c>
      <c r="L15">
        <v>1.0631870999999999</v>
      </c>
      <c r="M15">
        <v>2.631E-2</v>
      </c>
      <c r="N15">
        <v>0.87177596109058642</v>
      </c>
      <c r="O15">
        <v>8.0860615898661448E-2</v>
      </c>
      <c r="P15">
        <v>0.11828975999999999</v>
      </c>
      <c r="Q15">
        <v>8.7875399999999895E-3</v>
      </c>
      <c r="R15">
        <v>0.14028846596753669</v>
      </c>
      <c r="S15">
        <v>1.4264724741126261E-2</v>
      </c>
      <c r="T15">
        <v>9.1216770000000003E-2</v>
      </c>
      <c r="U15">
        <v>4.0780499999999954E-3</v>
      </c>
      <c r="V15">
        <v>9.4050388454169909E-2</v>
      </c>
      <c r="W15">
        <v>1.003598098676531E-2</v>
      </c>
      <c r="X15">
        <v>5.4566939999999998E-3</v>
      </c>
      <c r="Y15">
        <v>1.1707950000000001E-3</v>
      </c>
      <c r="Z15">
        <v>5.9163208550920112E-3</v>
      </c>
      <c r="AA15">
        <v>1.2818800580288231E-3</v>
      </c>
      <c r="AB15">
        <v>8.458333333333333E-2</v>
      </c>
      <c r="AC15">
        <v>2.5000000000000001E-3</v>
      </c>
      <c r="AD15">
        <v>8.4653198047594108E-2</v>
      </c>
      <c r="AE15">
        <v>8.7841755705070409E-3</v>
      </c>
      <c r="AF15">
        <v>82.291395328644612</v>
      </c>
      <c r="AG15">
        <v>6.4252843622471092</v>
      </c>
      <c r="AH15">
        <v>105.2592002367343</v>
      </c>
      <c r="AI15">
        <v>7.0980596661937678</v>
      </c>
      <c r="AJ15">
        <v>66.908679144741214</v>
      </c>
      <c r="AK15">
        <v>2.1314860454272981</v>
      </c>
      <c r="AL15">
        <v>70.566518796569738</v>
      </c>
      <c r="AM15">
        <v>5.2783429548811833</v>
      </c>
      <c r="AN15">
        <v>4.3818865747162139</v>
      </c>
      <c r="AO15">
        <v>0.65689461945606487</v>
      </c>
      <c r="AP15">
        <v>4.4390477667280441</v>
      </c>
      <c r="AQ15">
        <v>0.90051936589304005</v>
      </c>
      <c r="AR15">
        <v>62.713797035347767</v>
      </c>
      <c r="AS15">
        <v>0.38008361839604721</v>
      </c>
      <c r="AT15">
        <v>63.515755643329683</v>
      </c>
      <c r="AU15">
        <v>4.4803444115614237</v>
      </c>
      <c r="AV15">
        <v>6.3437499999999994E-2</v>
      </c>
      <c r="AW15">
        <v>3.6846188426518421E-3</v>
      </c>
      <c r="AX15">
        <v>6.33851014643044E-2</v>
      </c>
      <c r="AY15">
        <v>2.605423250482331E-3</v>
      </c>
      <c r="AZ15">
        <v>6.3437499999999994E-2</v>
      </c>
      <c r="BA15">
        <v>3.6846188426518421E-3</v>
      </c>
      <c r="BB15">
        <v>6.3489898535695588E-2</v>
      </c>
      <c r="BC15">
        <v>2.605423250482331E-3</v>
      </c>
      <c r="BD15">
        <v>100</v>
      </c>
      <c r="BE15">
        <v>100</v>
      </c>
    </row>
    <row r="16" spans="1:57" x14ac:dyDescent="0.25">
      <c r="A16">
        <v>15</v>
      </c>
      <c r="B16">
        <v>101.46076810564369</v>
      </c>
      <c r="C16">
        <v>96.239073033288676</v>
      </c>
      <c r="D16">
        <v>-1.8293343</v>
      </c>
      <c r="E16">
        <v>2.8151699999999821E-2</v>
      </c>
      <c r="F16">
        <v>-1.8272954586133641</v>
      </c>
      <c r="G16">
        <v>0.15832441867437899</v>
      </c>
      <c r="H16">
        <v>7.1037000000000001E-3</v>
      </c>
      <c r="I16">
        <v>3.9464999999999986E-3</v>
      </c>
      <c r="J16">
        <v>7.2862743633558833E-3</v>
      </c>
      <c r="K16">
        <v>3.9925584588519107E-3</v>
      </c>
      <c r="L16">
        <v>1.1360657999999999</v>
      </c>
      <c r="M16">
        <v>2.236350000000004E-2</v>
      </c>
      <c r="N16">
        <v>1.0820353866287229</v>
      </c>
      <c r="O16">
        <v>9.4211457647896305E-2</v>
      </c>
      <c r="P16">
        <v>0.15843882000000001</v>
      </c>
      <c r="Q16">
        <v>9.9451800000000031E-3</v>
      </c>
      <c r="R16">
        <v>0.16639377662036511</v>
      </c>
      <c r="S16">
        <v>1.6443567385310671E-2</v>
      </c>
      <c r="T16">
        <v>0.13641734999999999</v>
      </c>
      <c r="U16">
        <v>1.207629000000001E-2</v>
      </c>
      <c r="V16">
        <v>0.14094558423011069</v>
      </c>
      <c r="W16">
        <v>1.6955915333073401E-2</v>
      </c>
      <c r="X16">
        <v>3.507123E-3</v>
      </c>
      <c r="Y16">
        <v>7.8140700000000013E-4</v>
      </c>
      <c r="Z16">
        <v>3.554956630470616E-3</v>
      </c>
      <c r="AA16">
        <v>8.4778229159706664E-4</v>
      </c>
      <c r="AB16">
        <v>0.11625000000000001</v>
      </c>
      <c r="AC16">
        <v>1.25E-3</v>
      </c>
      <c r="AD16">
        <v>0.1163615237618075</v>
      </c>
      <c r="AE16">
        <v>1.1191141821977941E-2</v>
      </c>
      <c r="AF16">
        <v>82.703829122167235</v>
      </c>
      <c r="AG16">
        <v>5.1445688981505526</v>
      </c>
      <c r="AH16">
        <v>89.90942391947199</v>
      </c>
      <c r="AI16">
        <v>6.0605947893549521</v>
      </c>
      <c r="AJ16">
        <v>72.487177779257976</v>
      </c>
      <c r="AK16">
        <v>6.2612402584426876</v>
      </c>
      <c r="AL16">
        <v>76.158715425007628</v>
      </c>
      <c r="AM16">
        <v>7.3247691524483196</v>
      </c>
      <c r="AN16">
        <v>1.861941167985264</v>
      </c>
      <c r="AO16">
        <v>0.32844730972803221</v>
      </c>
      <c r="AP16">
        <v>1.920889766409696</v>
      </c>
      <c r="AQ16">
        <v>0.43655357714716247</v>
      </c>
      <c r="AR16">
        <v>62.713797035347767</v>
      </c>
      <c r="AS16">
        <v>0.7601672367920943</v>
      </c>
      <c r="AT16">
        <v>62.874933067272011</v>
      </c>
      <c r="AU16">
        <v>3.9902217604679362</v>
      </c>
      <c r="AV16">
        <v>8.7187500000000001E-2</v>
      </c>
      <c r="AW16">
        <v>4.4590421214230538E-3</v>
      </c>
      <c r="AX16">
        <v>8.7103857178644356E-2</v>
      </c>
      <c r="AY16">
        <v>3.1530301750256769E-3</v>
      </c>
      <c r="AZ16">
        <v>8.7187500000000001E-2</v>
      </c>
      <c r="BA16">
        <v>4.4590421214230538E-3</v>
      </c>
      <c r="BB16">
        <v>8.7271142821355632E-2</v>
      </c>
      <c r="BC16">
        <v>3.1530301750256769E-3</v>
      </c>
      <c r="BD16">
        <v>100</v>
      </c>
      <c r="BE16">
        <v>100</v>
      </c>
    </row>
    <row r="17" spans="1:57" x14ac:dyDescent="0.25">
      <c r="A17">
        <v>16</v>
      </c>
      <c r="B17">
        <v>117.7588727298679</v>
      </c>
      <c r="C17">
        <v>130.08526114312161</v>
      </c>
      <c r="D17">
        <v>-0.64906770000000003</v>
      </c>
      <c r="E17">
        <v>9.734699999999933E-3</v>
      </c>
      <c r="F17">
        <v>-0.67720356178905095</v>
      </c>
      <c r="G17">
        <v>6.6120730760894655E-2</v>
      </c>
      <c r="H17">
        <v>-0.19011606</v>
      </c>
      <c r="I17">
        <v>2.1126929999999999E-2</v>
      </c>
      <c r="J17">
        <v>-0.20590818306631339</v>
      </c>
      <c r="K17">
        <v>2.8770780245239849E-2</v>
      </c>
      <c r="L17">
        <v>0.25733811000000001</v>
      </c>
      <c r="M17">
        <v>6.3380789999999979E-2</v>
      </c>
      <c r="N17">
        <v>0.29612845989218328</v>
      </c>
      <c r="O17">
        <v>3.4181319960055953E-2</v>
      </c>
      <c r="P17">
        <v>8.2797570000000001E-2</v>
      </c>
      <c r="Q17">
        <v>1.278666000000001E-2</v>
      </c>
      <c r="R17">
        <v>5.8910456473824188E-2</v>
      </c>
      <c r="S17">
        <v>1.023330029333743E-2</v>
      </c>
      <c r="T17">
        <v>0.12113124</v>
      </c>
      <c r="U17">
        <v>1.278665999999999E-2</v>
      </c>
      <c r="V17">
        <v>0.10501479092849481</v>
      </c>
      <c r="W17">
        <v>1.517015500721608E-2</v>
      </c>
      <c r="X17">
        <v>2.8388490000000001E-3</v>
      </c>
      <c r="Y17">
        <v>7.1036999999999988E-4</v>
      </c>
      <c r="Z17">
        <v>2.7378106221403122E-3</v>
      </c>
      <c r="AA17">
        <v>7.6759045749892564E-4</v>
      </c>
      <c r="AB17">
        <v>4.2083333333333327E-2</v>
      </c>
      <c r="AC17">
        <v>8.3333333333333339E-4</v>
      </c>
      <c r="AD17">
        <v>4.2273364603668401E-2</v>
      </c>
      <c r="AE17">
        <v>4.3290967508349421E-3</v>
      </c>
      <c r="AF17">
        <v>106.6901102717722</v>
      </c>
      <c r="AG17">
        <v>13.45836589389598</v>
      </c>
      <c r="AH17">
        <v>83.395119840027249</v>
      </c>
      <c r="AI17">
        <v>13.02618978012147</v>
      </c>
      <c r="AJ17">
        <v>170.68540598148269</v>
      </c>
      <c r="AK17">
        <v>11.32351961633251</v>
      </c>
      <c r="AL17">
        <v>148.66157213275989</v>
      </c>
      <c r="AM17">
        <v>18.26234670036952</v>
      </c>
      <c r="AN17">
        <v>3.6850456608337678</v>
      </c>
      <c r="AO17">
        <v>0.85995494945684148</v>
      </c>
      <c r="AP17">
        <v>3.875713389424182</v>
      </c>
      <c r="AQ17">
        <v>1.0459285511363601</v>
      </c>
      <c r="AR17">
        <v>60.433295324971503</v>
      </c>
      <c r="AS17">
        <v>1.140250855188141</v>
      </c>
      <c r="AT17">
        <v>59.843235279131427</v>
      </c>
      <c r="AU17">
        <v>4.1071112624599362</v>
      </c>
      <c r="AV17">
        <v>3.15625E-2</v>
      </c>
      <c r="AW17">
        <v>1.6973813701183949E-3</v>
      </c>
      <c r="AX17">
        <v>3.1419976547248693E-2</v>
      </c>
      <c r="AY17">
        <v>1.200294219507245E-3</v>
      </c>
      <c r="AZ17">
        <v>3.15625E-2</v>
      </c>
      <c r="BA17">
        <v>1.6973813701183949E-3</v>
      </c>
      <c r="BB17">
        <v>3.1705023452751301E-2</v>
      </c>
      <c r="BC17">
        <v>1.200294219507245E-3</v>
      </c>
      <c r="BD17">
        <v>100</v>
      </c>
      <c r="BE17">
        <v>100</v>
      </c>
    </row>
    <row r="18" spans="1:57" x14ac:dyDescent="0.25">
      <c r="A18">
        <v>17</v>
      </c>
      <c r="B18">
        <v>106.1667953483814</v>
      </c>
      <c r="C18">
        <v>92.578955408492831</v>
      </c>
      <c r="D18">
        <v>-1.4346843</v>
      </c>
      <c r="E18">
        <v>6.1302299999999962E-2</v>
      </c>
      <c r="F18">
        <v>-1.4581112352701839</v>
      </c>
      <c r="G18">
        <v>0.16577412851803061</v>
      </c>
      <c r="H18">
        <v>-0.54356459999999995</v>
      </c>
      <c r="I18">
        <v>3.2624399999999963E-2</v>
      </c>
      <c r="J18">
        <v>-0.51408018622165963</v>
      </c>
      <c r="K18">
        <v>7.0436285246357824E-2</v>
      </c>
      <c r="L18">
        <v>0.74694090000000002</v>
      </c>
      <c r="M18">
        <v>4.8147299999999962E-2</v>
      </c>
      <c r="N18">
        <v>0.67928984315639696</v>
      </c>
      <c r="O18">
        <v>8.5344143507658468E-2</v>
      </c>
      <c r="P18">
        <v>0.17746095000000001</v>
      </c>
      <c r="Q18">
        <v>1.8443309999999991E-2</v>
      </c>
      <c r="R18">
        <v>0.19865039753532171</v>
      </c>
      <c r="S18">
        <v>2.4956598893752839E-2</v>
      </c>
      <c r="T18">
        <v>0.12823493999999999</v>
      </c>
      <c r="U18">
        <v>5.6829600000000051E-3</v>
      </c>
      <c r="V18">
        <v>0.13047934382886481</v>
      </c>
      <c r="W18">
        <v>1.7032625488514259E-2</v>
      </c>
      <c r="X18">
        <v>8.7533369999999999E-3</v>
      </c>
      <c r="Y18">
        <v>2.1311099999999999E-3</v>
      </c>
      <c r="Z18">
        <v>9.1135837126081337E-3</v>
      </c>
      <c r="AA18">
        <v>2.390887998771218E-3</v>
      </c>
      <c r="AB18">
        <v>8.3749999999999991E-2</v>
      </c>
      <c r="AC18">
        <v>2.9166666666666668E-3</v>
      </c>
      <c r="AD18">
        <v>8.4107574534981175E-2</v>
      </c>
      <c r="AE18">
        <v>1.090019687967721E-2</v>
      </c>
      <c r="AF18">
        <v>115.589997395155</v>
      </c>
      <c r="AG18">
        <v>12.242771555092469</v>
      </c>
      <c r="AH18">
        <v>140.96204394693569</v>
      </c>
      <c r="AI18">
        <v>11.84048521429443</v>
      </c>
      <c r="AJ18">
        <v>89.955372010923867</v>
      </c>
      <c r="AK18">
        <v>6.09471791114367</v>
      </c>
      <c r="AL18">
        <v>92.587959687829994</v>
      </c>
      <c r="AM18">
        <v>8.4417273838312301</v>
      </c>
      <c r="AN18">
        <v>6.1417427680562797</v>
      </c>
      <c r="AO18">
        <v>1.5967421577656711</v>
      </c>
      <c r="AP18">
        <v>6.4669862419093338</v>
      </c>
      <c r="AQ18">
        <v>1.5853557060473009</v>
      </c>
      <c r="AR18">
        <v>59.673128088179404</v>
      </c>
      <c r="AS18">
        <v>3.0406689471683772</v>
      </c>
      <c r="AT18">
        <v>59.682617125204061</v>
      </c>
      <c r="AU18">
        <v>5.360894133105468</v>
      </c>
      <c r="AV18">
        <v>6.2812499999999993E-2</v>
      </c>
      <c r="AW18">
        <v>3.827359617363516E-3</v>
      </c>
      <c r="AX18">
        <v>6.2544319098764081E-2</v>
      </c>
      <c r="AY18">
        <v>2.7064212945997418E-3</v>
      </c>
      <c r="AZ18">
        <v>6.2812499999999993E-2</v>
      </c>
      <c r="BA18">
        <v>3.827359617363516E-3</v>
      </c>
      <c r="BB18">
        <v>6.3080680901235878E-2</v>
      </c>
      <c r="BC18">
        <v>2.7064212945997418E-3</v>
      </c>
      <c r="BD18">
        <v>99.999999999999972</v>
      </c>
      <c r="BE18">
        <v>99.999999999999986</v>
      </c>
    </row>
    <row r="19" spans="1:57" x14ac:dyDescent="0.25">
      <c r="A19">
        <v>18</v>
      </c>
      <c r="B19">
        <v>86.085228514052616</v>
      </c>
      <c r="C19">
        <v>90.497046838101326</v>
      </c>
      <c r="D19">
        <v>-1.9069488000000001</v>
      </c>
      <c r="E19">
        <v>4.0254300000000028E-2</v>
      </c>
      <c r="F19">
        <v>-1.80291192288208</v>
      </c>
      <c r="G19">
        <v>0.16733344652170101</v>
      </c>
      <c r="H19">
        <v>-0.51857010000000003</v>
      </c>
      <c r="I19">
        <v>3.4466099999999958E-2</v>
      </c>
      <c r="J19">
        <v>-0.50065244412365684</v>
      </c>
      <c r="K19">
        <v>5.9133913419417442E-2</v>
      </c>
      <c r="L19">
        <v>0.90453780000000006</v>
      </c>
      <c r="M19">
        <v>2.1047999999999921E-2</v>
      </c>
      <c r="N19">
        <v>0.90075436824097632</v>
      </c>
      <c r="O19">
        <v>8.7758667366549359E-2</v>
      </c>
      <c r="P19">
        <v>0.21671546999999999</v>
      </c>
      <c r="Q19">
        <v>1.3260239999999991E-2</v>
      </c>
      <c r="R19">
        <v>0.23115255049875899</v>
      </c>
      <c r="S19">
        <v>2.34584974446405E-2</v>
      </c>
      <c r="T19">
        <v>0.12349913999999999</v>
      </c>
      <c r="U19">
        <v>9.9451800000000031E-3</v>
      </c>
      <c r="V19">
        <v>0.12768409440613601</v>
      </c>
      <c r="W19">
        <v>1.5935069610941689E-2</v>
      </c>
      <c r="X19">
        <v>1.6562145E-2</v>
      </c>
      <c r="Y19">
        <v>2.1284790000000021E-3</v>
      </c>
      <c r="Z19">
        <v>1.6977663363727039E-2</v>
      </c>
      <c r="AA19">
        <v>2.7068184836756591E-3</v>
      </c>
      <c r="AB19">
        <v>0.11625000000000001</v>
      </c>
      <c r="AC19">
        <v>2.9166666666666668E-3</v>
      </c>
      <c r="AD19">
        <v>0.11657361137640471</v>
      </c>
      <c r="AE19">
        <v>1.226157595916885E-2</v>
      </c>
      <c r="AF19">
        <v>96.835113310758018</v>
      </c>
      <c r="AG19">
        <v>4.0809238516974853</v>
      </c>
      <c r="AH19">
        <v>108.1491317976832</v>
      </c>
      <c r="AI19">
        <v>7.0880971893133653</v>
      </c>
      <c r="AJ19">
        <v>56.967295010990469</v>
      </c>
      <c r="AK19">
        <v>4.5960167854526119</v>
      </c>
      <c r="AL19">
        <v>59.739440142890217</v>
      </c>
      <c r="AM19">
        <v>5.8445607087257248</v>
      </c>
      <c r="AN19">
        <v>7.7384849258219504</v>
      </c>
      <c r="AO19">
        <v>0.73678720830882938</v>
      </c>
      <c r="AP19">
        <v>7.9433237867313533</v>
      </c>
      <c r="AQ19">
        <v>1.106819990725137</v>
      </c>
      <c r="AR19">
        <v>54.351957430634727</v>
      </c>
      <c r="AS19">
        <v>1.140250855188141</v>
      </c>
      <c r="AT19">
        <v>54.541188637874797</v>
      </c>
      <c r="AU19">
        <v>3.8796368219461299</v>
      </c>
      <c r="AV19">
        <v>8.7187500000000001E-2</v>
      </c>
      <c r="AW19">
        <v>4.8774282814435122E-3</v>
      </c>
      <c r="AX19">
        <v>8.6944791467696458E-2</v>
      </c>
      <c r="AY19">
        <v>3.448899810736187E-3</v>
      </c>
      <c r="AZ19">
        <v>8.7187500000000001E-2</v>
      </c>
      <c r="BA19">
        <v>4.8774282814435122E-3</v>
      </c>
      <c r="BB19">
        <v>8.7430208532303544E-2</v>
      </c>
      <c r="BC19">
        <v>3.448899810736187E-3</v>
      </c>
      <c r="BD19">
        <v>99.999999999999972</v>
      </c>
      <c r="BE19">
        <v>100</v>
      </c>
    </row>
    <row r="20" spans="1:57" x14ac:dyDescent="0.25">
      <c r="A20">
        <v>19</v>
      </c>
      <c r="B20">
        <v>95.062342763026919</v>
      </c>
      <c r="C20">
        <v>94.838156775442982</v>
      </c>
      <c r="D20">
        <v>-0.44200800000000001</v>
      </c>
      <c r="E20">
        <v>2.631E-2</v>
      </c>
      <c r="F20">
        <v>-0.42686226514351128</v>
      </c>
      <c r="G20">
        <v>4.6445590015387839E-2</v>
      </c>
      <c r="H20">
        <v>0</v>
      </c>
      <c r="I20">
        <v>0</v>
      </c>
      <c r="J20">
        <v>0</v>
      </c>
      <c r="L20">
        <v>0.223635</v>
      </c>
      <c r="M20">
        <v>1.5786000000000001E-2</v>
      </c>
      <c r="N20">
        <v>0.22653174796508091</v>
      </c>
      <c r="O20">
        <v>2.4457234118922509E-2</v>
      </c>
      <c r="P20">
        <v>9.4716000000000002E-3</v>
      </c>
      <c r="Q20">
        <v>5.262E-4</v>
      </c>
      <c r="R20">
        <v>9.5126961987484458E-3</v>
      </c>
      <c r="S20">
        <v>1.1939482642399459E-3</v>
      </c>
      <c r="T20">
        <v>7.893E-2</v>
      </c>
      <c r="U20">
        <v>5.2620000000000002E-3</v>
      </c>
      <c r="V20">
        <v>8.0752841003636111E-2</v>
      </c>
      <c r="W20">
        <v>9.3432410934583387E-3</v>
      </c>
      <c r="X20">
        <v>2.73624E-3</v>
      </c>
      <c r="Y20">
        <v>1.5786000000000001E-4</v>
      </c>
      <c r="Z20">
        <v>2.7447619316071882E-3</v>
      </c>
      <c r="AA20">
        <v>3.481340513986148E-4</v>
      </c>
      <c r="AB20">
        <v>8.8000000000000005E-3</v>
      </c>
      <c r="AC20">
        <v>4.0000000000000002E-4</v>
      </c>
      <c r="AD20">
        <v>8.8203950472325269E-3</v>
      </c>
      <c r="AE20">
        <v>1.075365137117514E-3</v>
      </c>
      <c r="AF20">
        <v>21.924112181991841</v>
      </c>
      <c r="AG20">
        <v>0.43414083528696712</v>
      </c>
      <c r="AH20">
        <v>22.142523765576541</v>
      </c>
      <c r="AI20">
        <v>2.0059807590186032</v>
      </c>
      <c r="AJ20">
        <v>179.5110903883301</v>
      </c>
      <c r="AK20">
        <v>1.4987011256910681</v>
      </c>
      <c r="AL20">
        <v>187.9668669852073</v>
      </c>
      <c r="AM20">
        <v>14.36581790220762</v>
      </c>
      <c r="AN20">
        <v>6.3803109153249506</v>
      </c>
      <c r="AO20">
        <v>0.12205812185839041</v>
      </c>
      <c r="AP20">
        <v>6.3889306492788061</v>
      </c>
      <c r="AQ20">
        <v>0.59046927324637766</v>
      </c>
      <c r="AR20">
        <v>20.562523755226149</v>
      </c>
      <c r="AS20">
        <v>0.45610034207525663</v>
      </c>
      <c r="AT20">
        <v>20.531067415021159</v>
      </c>
      <c r="AU20">
        <v>1.7563686276666091</v>
      </c>
      <c r="AV20">
        <v>8.8000000000000005E-3</v>
      </c>
      <c r="AW20">
        <v>5.9464274989274029E-4</v>
      </c>
      <c r="AX20">
        <v>8.7796049527674724E-3</v>
      </c>
      <c r="AY20">
        <v>4.2047763224438439E-4</v>
      </c>
      <c r="AZ20">
        <v>8.8000000000000005E-3</v>
      </c>
      <c r="BA20">
        <v>5.9464274989274029E-4</v>
      </c>
      <c r="BB20">
        <v>8.8203950472325269E-3</v>
      </c>
      <c r="BC20">
        <v>4.2047763224438439E-4</v>
      </c>
      <c r="BD20">
        <v>100</v>
      </c>
      <c r="BE20">
        <v>100</v>
      </c>
    </row>
    <row r="21" spans="1:57" x14ac:dyDescent="0.25">
      <c r="A21">
        <v>20</v>
      </c>
      <c r="B21">
        <v>93.991669834030134</v>
      </c>
      <c r="C21">
        <v>96.971931880569258</v>
      </c>
      <c r="D21">
        <v>-0.56829600000000002</v>
      </c>
      <c r="E21">
        <v>3.6833999999999999E-2</v>
      </c>
      <c r="F21">
        <v>-0.54633207416554264</v>
      </c>
      <c r="G21">
        <v>6.2852807099149713E-2</v>
      </c>
      <c r="H21">
        <v>0</v>
      </c>
      <c r="I21">
        <v>0</v>
      </c>
      <c r="J21">
        <v>0</v>
      </c>
      <c r="L21">
        <v>0.26046900000000001</v>
      </c>
      <c r="M21">
        <v>1.8416999999999999E-2</v>
      </c>
      <c r="N21">
        <v>0.2750150440459555</v>
      </c>
      <c r="O21">
        <v>3.1614252193917378E-2</v>
      </c>
      <c r="P21">
        <v>1.7627700000000001E-3</v>
      </c>
      <c r="Q21">
        <v>1.5786000000000001E-4</v>
      </c>
      <c r="R21">
        <v>1.7644057974101021E-3</v>
      </c>
      <c r="S21">
        <v>2.6665681848765899E-4</v>
      </c>
      <c r="T21">
        <v>0.12102599999999999</v>
      </c>
      <c r="U21">
        <v>7.892999999999999E-3</v>
      </c>
      <c r="V21">
        <v>0.1198444107374259</v>
      </c>
      <c r="W21">
        <v>1.421782988909588E-2</v>
      </c>
      <c r="X21">
        <v>1.0260899999999999E-3</v>
      </c>
      <c r="Y21">
        <v>3.9465000000000002E-4</v>
      </c>
      <c r="Z21">
        <v>1.0175660854994111E-3</v>
      </c>
      <c r="AA21">
        <v>4.1286999375402439E-4</v>
      </c>
      <c r="AB21">
        <v>2.4E-2</v>
      </c>
      <c r="AC21">
        <v>1E-3</v>
      </c>
      <c r="AD21">
        <v>2.4029132707917629E-2</v>
      </c>
      <c r="AE21">
        <v>3.0893970031727969E-3</v>
      </c>
      <c r="AF21">
        <v>1.3675436311539459</v>
      </c>
      <c r="AG21">
        <v>8.6828167057393421E-2</v>
      </c>
      <c r="AH21">
        <v>1.337240653110201</v>
      </c>
      <c r="AI21">
        <v>0.1603693497170588</v>
      </c>
      <c r="AJ21">
        <v>92.919469792846201</v>
      </c>
      <c r="AK21">
        <v>0.99913408379404511</v>
      </c>
      <c r="AL21">
        <v>90.829909038704599</v>
      </c>
      <c r="AM21">
        <v>6.8067499416381407</v>
      </c>
      <c r="AN21">
        <v>0.77673350273521158</v>
      </c>
      <c r="AO21">
        <v>0.33288578688651921</v>
      </c>
      <c r="AP21">
        <v>0.77121189397211465</v>
      </c>
      <c r="AQ21">
        <v>0.30476886917733709</v>
      </c>
      <c r="AR21">
        <v>18.244013683010259</v>
      </c>
      <c r="AS21">
        <v>0.7601672367920943</v>
      </c>
      <c r="AT21">
        <v>18.211645622097691</v>
      </c>
      <c r="AU21">
        <v>1.63615526311588</v>
      </c>
      <c r="AV21">
        <v>2.4E-2</v>
      </c>
      <c r="AW21">
        <v>1.5620499351813311E-3</v>
      </c>
      <c r="AX21">
        <v>2.3970867292082379E-2</v>
      </c>
      <c r="AY21">
        <v>1.104537193469891E-3</v>
      </c>
      <c r="AZ21">
        <v>2.4E-2</v>
      </c>
      <c r="BA21">
        <v>1.5620499351813311E-3</v>
      </c>
      <c r="BB21">
        <v>2.4029132707917629E-2</v>
      </c>
      <c r="BC21">
        <v>1.104537193469891E-3</v>
      </c>
      <c r="BD21">
        <v>100</v>
      </c>
      <c r="BE21">
        <v>100</v>
      </c>
    </row>
    <row r="22" spans="1:57" x14ac:dyDescent="0.25">
      <c r="A22">
        <v>21</v>
      </c>
      <c r="B22">
        <v>97.07811762543804</v>
      </c>
      <c r="C22">
        <v>96.142025970988357</v>
      </c>
      <c r="D22">
        <v>-0.71826299999999998</v>
      </c>
      <c r="E22">
        <v>4.2096000000000001E-2</v>
      </c>
      <c r="F22">
        <v>-0.70432284586667748</v>
      </c>
      <c r="G22">
        <v>8.1272836880835225E-2</v>
      </c>
      <c r="H22">
        <v>0</v>
      </c>
      <c r="I22">
        <v>0</v>
      </c>
      <c r="J22">
        <v>0</v>
      </c>
      <c r="L22">
        <v>0.35255399999999998</v>
      </c>
      <c r="M22">
        <v>2.1048000000000001E-2</v>
      </c>
      <c r="N22">
        <v>0.35271781920321432</v>
      </c>
      <c r="O22">
        <v>4.069322216396476E-2</v>
      </c>
      <c r="P22">
        <v>2.8941000000000001E-3</v>
      </c>
      <c r="Q22">
        <v>5.262E-4</v>
      </c>
      <c r="R22">
        <v>2.8981333823169799E-3</v>
      </c>
      <c r="S22">
        <v>6.2806240209642569E-4</v>
      </c>
      <c r="T22">
        <v>0.14996699999999999</v>
      </c>
      <c r="U22">
        <v>1.3155E-2</v>
      </c>
      <c r="V22">
        <v>0.15338990401240321</v>
      </c>
      <c r="W22">
        <v>1.823228142810138E-2</v>
      </c>
      <c r="X22">
        <v>0</v>
      </c>
      <c r="Y22">
        <v>0</v>
      </c>
      <c r="Z22">
        <v>0</v>
      </c>
      <c r="AB22">
        <v>3.9E-2</v>
      </c>
      <c r="AC22">
        <v>2E-3</v>
      </c>
      <c r="AD22">
        <v>3.9028951874022652E-2</v>
      </c>
      <c r="AE22">
        <v>5.0510292115719391E-3</v>
      </c>
      <c r="AF22">
        <v>0.97681687939567596</v>
      </c>
      <c r="AG22">
        <v>0.19536337587913519</v>
      </c>
      <c r="AH22">
        <v>1.0225276976546791</v>
      </c>
      <c r="AI22">
        <v>0.20094822147105129</v>
      </c>
      <c r="AJ22">
        <v>52.121494704589352</v>
      </c>
      <c r="AK22">
        <v>2.8308799040831278</v>
      </c>
      <c r="AL22">
        <v>54.119464048918701</v>
      </c>
      <c r="AM22">
        <v>4.1160584494887438</v>
      </c>
      <c r="AN22">
        <v>0</v>
      </c>
      <c r="AO22">
        <v>0</v>
      </c>
      <c r="AP22">
        <v>0</v>
      </c>
      <c r="AR22">
        <v>13.759026985936909</v>
      </c>
      <c r="AS22">
        <v>0.38008361839604721</v>
      </c>
      <c r="AT22">
        <v>13.770306275453111</v>
      </c>
      <c r="AU22">
        <v>1.262445352980865</v>
      </c>
      <c r="AV22">
        <v>3.9E-2</v>
      </c>
      <c r="AW22">
        <v>2.7932955446926849E-3</v>
      </c>
      <c r="AX22">
        <v>3.8971048125977348E-2</v>
      </c>
      <c r="AY22">
        <v>1.9751587466512359E-3</v>
      </c>
      <c r="AZ22">
        <v>3.9E-2</v>
      </c>
      <c r="BA22">
        <v>2.7932955446926849E-3</v>
      </c>
      <c r="BB22">
        <v>3.9028951874022652E-2</v>
      </c>
      <c r="BC22">
        <v>1.9751587466512359E-3</v>
      </c>
      <c r="BD22">
        <v>100</v>
      </c>
      <c r="BE22">
        <v>100</v>
      </c>
    </row>
    <row r="23" spans="1:57" x14ac:dyDescent="0.25">
      <c r="A23">
        <v>22</v>
      </c>
      <c r="B23">
        <v>85.226885398658666</v>
      </c>
      <c r="C23">
        <v>70.832996162381534</v>
      </c>
      <c r="D23">
        <v>-0.81560999999999995</v>
      </c>
      <c r="E23">
        <v>5.262E-2</v>
      </c>
      <c r="F23">
        <v>-0.64227948844792437</v>
      </c>
      <c r="G23">
        <v>7.5375963186924161E-2</v>
      </c>
      <c r="H23">
        <v>0</v>
      </c>
      <c r="I23">
        <v>0</v>
      </c>
      <c r="J23">
        <v>0</v>
      </c>
      <c r="L23">
        <v>0.43148399999999998</v>
      </c>
      <c r="M23">
        <v>4.2096000000000001E-2</v>
      </c>
      <c r="N23">
        <v>0.34767907726426911</v>
      </c>
      <c r="O23">
        <v>4.0573492637452108E-2</v>
      </c>
      <c r="P23">
        <v>2.7625500000000001E-2</v>
      </c>
      <c r="Q23">
        <v>1.8416999999999999E-3</v>
      </c>
      <c r="R23">
        <v>2.894015941094203E-2</v>
      </c>
      <c r="S23">
        <v>3.8872799820858562E-3</v>
      </c>
      <c r="T23">
        <v>8.4192000000000003E-2</v>
      </c>
      <c r="U23">
        <v>7.892999999999999E-3</v>
      </c>
      <c r="V23">
        <v>9.8353159758925973E-2</v>
      </c>
      <c r="W23">
        <v>1.30559593247573E-2</v>
      </c>
      <c r="X23">
        <v>0</v>
      </c>
      <c r="Y23">
        <v>0</v>
      </c>
      <c r="Z23">
        <v>0</v>
      </c>
      <c r="AB23">
        <v>0.04</v>
      </c>
      <c r="AC23">
        <v>2E-3</v>
      </c>
      <c r="AD23">
        <v>4.001377284391934E-2</v>
      </c>
      <c r="AE23">
        <v>5.2562012009858749E-3</v>
      </c>
      <c r="AF23">
        <v>6.9028392810627768</v>
      </c>
      <c r="AG23">
        <v>0.1302422505860901</v>
      </c>
      <c r="AH23">
        <v>7.4092053865074359</v>
      </c>
      <c r="AI23">
        <v>0.71887066138373679</v>
      </c>
      <c r="AJ23">
        <v>189.5024312262706</v>
      </c>
      <c r="AK23">
        <v>1.8317458202890831</v>
      </c>
      <c r="AL23">
        <v>194.0840198168784</v>
      </c>
      <c r="AM23">
        <v>13.15088033758164</v>
      </c>
      <c r="AN23">
        <v>0</v>
      </c>
      <c r="AO23">
        <v>0</v>
      </c>
      <c r="AP23">
        <v>0</v>
      </c>
      <c r="AR23">
        <v>10.034207525655651</v>
      </c>
      <c r="AS23">
        <v>0.38008361839604721</v>
      </c>
      <c r="AT23">
        <v>10.24425114871894</v>
      </c>
      <c r="AU23">
        <v>0.95149399330360851</v>
      </c>
      <c r="AV23">
        <v>0.04</v>
      </c>
      <c r="AW23">
        <v>2.8284271247461901E-3</v>
      </c>
      <c r="AX23">
        <v>3.9986227156080661E-2</v>
      </c>
      <c r="AY23">
        <v>2.000000254475135E-3</v>
      </c>
      <c r="AZ23">
        <v>0.04</v>
      </c>
      <c r="BA23">
        <v>2.8284271247461901E-3</v>
      </c>
      <c r="BB23">
        <v>4.001377284391934E-2</v>
      </c>
      <c r="BC23">
        <v>2.000000254475135E-3</v>
      </c>
      <c r="BD23">
        <v>100</v>
      </c>
      <c r="BE23">
        <v>100</v>
      </c>
    </row>
    <row r="24" spans="1:57" x14ac:dyDescent="0.25">
      <c r="A24">
        <v>23</v>
      </c>
      <c r="B24">
        <v>99.81558905922266</v>
      </c>
      <c r="C24">
        <v>90.41256669059787</v>
      </c>
      <c r="D24">
        <v>-0.28414800000000001</v>
      </c>
      <c r="E24">
        <v>1.42074E-2</v>
      </c>
      <c r="F24">
        <v>-0.28599881722012083</v>
      </c>
      <c r="G24">
        <v>3.4302547378361262E-2</v>
      </c>
      <c r="H24">
        <v>9.2084999999999997E-3</v>
      </c>
      <c r="I24">
        <v>2.1048E-3</v>
      </c>
      <c r="J24">
        <v>9.4577018189191866E-3</v>
      </c>
      <c r="K24">
        <v>2.3931333439319198E-3</v>
      </c>
      <c r="L24">
        <v>0.1647006</v>
      </c>
      <c r="M24">
        <v>9.2084999999999997E-3</v>
      </c>
      <c r="N24">
        <v>0.152905111228747</v>
      </c>
      <c r="O24">
        <v>1.8181116519214179E-2</v>
      </c>
      <c r="P24">
        <v>5.5250999999999998E-3</v>
      </c>
      <c r="Q24">
        <v>1.0524E-3</v>
      </c>
      <c r="R24">
        <v>5.7776014444513666E-3</v>
      </c>
      <c r="S24">
        <v>1.246856742539444E-3</v>
      </c>
      <c r="T24">
        <v>4.8936599999999997E-2</v>
      </c>
      <c r="U24">
        <v>7.6298999999999994E-3</v>
      </c>
      <c r="V24">
        <v>5.5763003757699207E-2</v>
      </c>
      <c r="W24">
        <v>7.2836183031394939E-3</v>
      </c>
      <c r="X24">
        <v>0</v>
      </c>
      <c r="Y24">
        <v>0</v>
      </c>
      <c r="Z24">
        <v>0</v>
      </c>
      <c r="AB24">
        <v>0.01</v>
      </c>
      <c r="AC24">
        <v>5.0000000000000001E-4</v>
      </c>
      <c r="AD24">
        <v>1.001249558707264E-2</v>
      </c>
      <c r="AE24">
        <v>1.3380404161568041E-3</v>
      </c>
      <c r="AF24">
        <v>11.070591299817661</v>
      </c>
      <c r="AG24">
        <v>1.9536337587913519</v>
      </c>
      <c r="AH24">
        <v>11.42333161986476</v>
      </c>
      <c r="AI24">
        <v>2.2162693780145371</v>
      </c>
      <c r="AJ24">
        <v>99.080796642909476</v>
      </c>
      <c r="AK24">
        <v>15.4865782988077</v>
      </c>
      <c r="AL24">
        <v>110.2532409285029</v>
      </c>
      <c r="AM24">
        <v>9.9401482917394155</v>
      </c>
      <c r="AN24">
        <v>0</v>
      </c>
      <c r="AO24">
        <v>0</v>
      </c>
      <c r="AP24">
        <v>0</v>
      </c>
      <c r="AR24">
        <v>19.764348156594451</v>
      </c>
      <c r="AS24">
        <v>0.7601672367920943</v>
      </c>
      <c r="AT24">
        <v>19.796460266986141</v>
      </c>
      <c r="AU24">
        <v>1.870353767002958</v>
      </c>
      <c r="AV24">
        <v>1.6E-2</v>
      </c>
      <c r="AW24">
        <v>1.1313708498984761E-3</v>
      </c>
      <c r="AX24">
        <v>1.5980007060683778E-2</v>
      </c>
      <c r="AY24">
        <v>8.0000208870066516E-4</v>
      </c>
      <c r="AZ24">
        <v>1.6E-2</v>
      </c>
      <c r="BA24">
        <v>1.1313708498984761E-3</v>
      </c>
      <c r="BB24">
        <v>1.6019992939316219E-2</v>
      </c>
      <c r="BC24">
        <v>8.0000208870066516E-4</v>
      </c>
      <c r="BD24">
        <v>100</v>
      </c>
      <c r="BE24">
        <v>100</v>
      </c>
    </row>
    <row r="25" spans="1:57" x14ac:dyDescent="0.25">
      <c r="A25">
        <v>24</v>
      </c>
      <c r="B25">
        <v>107.4120164304168</v>
      </c>
      <c r="C25">
        <v>92.533575660757052</v>
      </c>
      <c r="D25">
        <v>-0.25915349999999998</v>
      </c>
      <c r="E25">
        <v>1.21026E-2</v>
      </c>
      <c r="F25">
        <v>-0.25173455082441948</v>
      </c>
      <c r="G25">
        <v>3.0966506380344049E-2</v>
      </c>
      <c r="H25">
        <v>0</v>
      </c>
      <c r="I25">
        <v>0</v>
      </c>
      <c r="J25">
        <v>0</v>
      </c>
      <c r="L25">
        <v>0.16206960000000001</v>
      </c>
      <c r="M25">
        <v>1.9995599999999999E-2</v>
      </c>
      <c r="N25">
        <v>0.12957381584068989</v>
      </c>
      <c r="O25">
        <v>1.5906732179572169E-2</v>
      </c>
      <c r="P25">
        <v>4.2096E-3</v>
      </c>
      <c r="Q25">
        <v>5.262E-4</v>
      </c>
      <c r="R25">
        <v>4.3074515768187311E-3</v>
      </c>
      <c r="S25">
        <v>7.6623951085009535E-4</v>
      </c>
      <c r="T25">
        <v>4.8936599999999997E-2</v>
      </c>
      <c r="U25">
        <v>2.3679E-3</v>
      </c>
      <c r="V25">
        <v>5.1765323012224702E-2</v>
      </c>
      <c r="W25">
        <v>6.6219617780378139E-3</v>
      </c>
      <c r="X25">
        <v>0</v>
      </c>
      <c r="Y25">
        <v>0</v>
      </c>
      <c r="Z25">
        <v>0</v>
      </c>
      <c r="AB25">
        <v>0.01</v>
      </c>
      <c r="AC25">
        <v>5.0000000000000001E-4</v>
      </c>
      <c r="AD25">
        <v>1.0015185805642739E-2</v>
      </c>
      <c r="AE25">
        <v>1.413927026011572E-3</v>
      </c>
      <c r="AF25">
        <v>9.44</v>
      </c>
      <c r="AG25">
        <v>0.47199999999999998</v>
      </c>
      <c r="AH25">
        <v>9.6864586301228908</v>
      </c>
      <c r="AI25">
        <v>1.4260603105859659</v>
      </c>
      <c r="AJ25">
        <v>109.74</v>
      </c>
      <c r="AK25">
        <v>5.487000000000001</v>
      </c>
      <c r="AL25">
        <v>116.40819423980361</v>
      </c>
      <c r="AM25">
        <v>9.3088603960955716</v>
      </c>
      <c r="AN25">
        <v>0</v>
      </c>
      <c r="AO25">
        <v>0</v>
      </c>
      <c r="AP25">
        <v>0</v>
      </c>
      <c r="AR25">
        <v>22.424933485366779</v>
      </c>
      <c r="AS25">
        <v>1.140250855188141</v>
      </c>
      <c r="AT25">
        <v>22.52182787182959</v>
      </c>
      <c r="AU25">
        <v>2.2478853489290591</v>
      </c>
      <c r="AV25">
        <v>1.6E-2</v>
      </c>
      <c r="AW25">
        <v>1.1313708498984761E-3</v>
      </c>
      <c r="AX25">
        <v>1.5975702710971609E-2</v>
      </c>
      <c r="AY25">
        <v>8.0000125744332658E-4</v>
      </c>
      <c r="AZ25">
        <v>1.6E-2</v>
      </c>
      <c r="BA25">
        <v>1.1313708498984761E-3</v>
      </c>
      <c r="BB25">
        <v>1.6024297289028391E-2</v>
      </c>
      <c r="BC25">
        <v>8.0000125744332648E-4</v>
      </c>
      <c r="BD25">
        <v>100</v>
      </c>
      <c r="BE25">
        <v>100</v>
      </c>
    </row>
    <row r="26" spans="1:57" x14ac:dyDescent="0.25">
      <c r="A26">
        <v>25</v>
      </c>
      <c r="B26">
        <v>100.41738686379659</v>
      </c>
      <c r="C26">
        <v>85.991672754109771</v>
      </c>
      <c r="D26">
        <v>-1.0708169999999999</v>
      </c>
      <c r="E26">
        <v>5.3540850000000001E-2</v>
      </c>
      <c r="F26">
        <v>-0.97340753477822672</v>
      </c>
      <c r="G26">
        <v>0.1141524995741917</v>
      </c>
      <c r="H26">
        <v>0</v>
      </c>
      <c r="I26">
        <v>0</v>
      </c>
      <c r="J26">
        <v>0</v>
      </c>
      <c r="L26">
        <v>0.69635299145299157</v>
      </c>
      <c r="M26">
        <v>3.481764957264958E-2</v>
      </c>
      <c r="N26">
        <v>0.57530380624678901</v>
      </c>
      <c r="O26">
        <v>6.7908633740612609E-2</v>
      </c>
      <c r="P26">
        <v>8.155841160855487E-2</v>
      </c>
      <c r="Q26">
        <v>4.0779205804277437E-3</v>
      </c>
      <c r="R26">
        <v>8.873897184282499E-2</v>
      </c>
      <c r="S26">
        <v>1.1410152897675521E-2</v>
      </c>
      <c r="T26">
        <v>7.1771843319835063E-2</v>
      </c>
      <c r="U26">
        <v>3.588592165991754E-3</v>
      </c>
      <c r="V26">
        <v>7.417145445314749E-2</v>
      </c>
      <c r="W26">
        <v>1.00539795992757E-2</v>
      </c>
      <c r="X26">
        <v>2.4432370458823791E-3</v>
      </c>
      <c r="Y26">
        <v>1.221618522941189E-4</v>
      </c>
      <c r="Z26">
        <v>2.412666420241526E-3</v>
      </c>
      <c r="AA26">
        <v>3.3701676511291751E-4</v>
      </c>
      <c r="AB26">
        <v>6.25E-2</v>
      </c>
      <c r="AC26">
        <v>3.1250000000000002E-3</v>
      </c>
      <c r="AD26">
        <v>6.2632210258526652E-2</v>
      </c>
      <c r="AE26">
        <v>8.6826416129294516E-3</v>
      </c>
      <c r="AF26">
        <v>174.0904749500738</v>
      </c>
      <c r="AG26">
        <v>8.704523747503691</v>
      </c>
      <c r="AH26">
        <v>192.5145209411088</v>
      </c>
      <c r="AI26">
        <v>16.013271947641929</v>
      </c>
      <c r="AJ26">
        <v>153.20055951508689</v>
      </c>
      <c r="AK26">
        <v>7.6600279757543452</v>
      </c>
      <c r="AL26">
        <v>160.9110599888869</v>
      </c>
      <c r="AM26">
        <v>15.060182420965219</v>
      </c>
      <c r="AN26">
        <v>5.2152106612221338</v>
      </c>
      <c r="AO26">
        <v>0.26076053306110669</v>
      </c>
      <c r="AP26">
        <v>5.2341525987722184</v>
      </c>
      <c r="AQ26">
        <v>0.52074013884861081</v>
      </c>
      <c r="AR26">
        <v>133.40935005701249</v>
      </c>
      <c r="AS26">
        <v>6.6704675028506264</v>
      </c>
      <c r="AT26">
        <v>135.87727807754601</v>
      </c>
      <c r="AU26">
        <v>13.315798306802931</v>
      </c>
      <c r="AV26">
        <v>0.16250000000000001</v>
      </c>
      <c r="AW26">
        <v>1.14904851942814E-2</v>
      </c>
      <c r="AX26">
        <v>0.16215625332783079</v>
      </c>
      <c r="AY26">
        <v>8.1250568883654041E-3</v>
      </c>
      <c r="AZ26">
        <v>0.16250000000000001</v>
      </c>
      <c r="BA26">
        <v>1.14904851942814E-2</v>
      </c>
      <c r="BB26">
        <v>0.1628437466721693</v>
      </c>
      <c r="BC26">
        <v>8.1250568883654041E-3</v>
      </c>
      <c r="BD26">
        <v>100</v>
      </c>
      <c r="BE26">
        <v>100</v>
      </c>
    </row>
    <row r="27" spans="1:57" x14ac:dyDescent="0.25">
      <c r="A27">
        <v>26</v>
      </c>
      <c r="B27">
        <v>101.8359900290055</v>
      </c>
      <c r="C27">
        <v>87.37818734743594</v>
      </c>
      <c r="D27">
        <v>-1.120806</v>
      </c>
      <c r="E27">
        <v>5.6040300000000008E-2</v>
      </c>
      <c r="F27">
        <v>-1.037961958792553</v>
      </c>
      <c r="G27">
        <v>0.12226072098791151</v>
      </c>
      <c r="H27">
        <v>0</v>
      </c>
      <c r="I27">
        <v>0</v>
      </c>
      <c r="J27">
        <v>0</v>
      </c>
      <c r="L27">
        <v>0.75152153846153846</v>
      </c>
      <c r="M27">
        <v>3.7576076923076927E-2</v>
      </c>
      <c r="N27">
        <v>0.62775847315375488</v>
      </c>
      <c r="O27">
        <v>7.4508016545454928E-2</v>
      </c>
      <c r="P27">
        <v>9.7381963785975259E-2</v>
      </c>
      <c r="Q27">
        <v>4.869098189298763E-3</v>
      </c>
      <c r="R27">
        <v>0.1064030101149134</v>
      </c>
      <c r="S27">
        <v>1.3555016347258539E-2</v>
      </c>
      <c r="T27">
        <v>5.8064981503210038E-2</v>
      </c>
      <c r="U27">
        <v>2.9032490751605021E-3</v>
      </c>
      <c r="V27">
        <v>5.9219641799697437E-2</v>
      </c>
      <c r="W27">
        <v>8.1337845829866206E-3</v>
      </c>
      <c r="X27">
        <v>4.1171143411464764E-3</v>
      </c>
      <c r="Y27">
        <v>2.058557170573239E-4</v>
      </c>
      <c r="Z27">
        <v>4.0873416960571186E-3</v>
      </c>
      <c r="AA27">
        <v>5.7117709766884943E-4</v>
      </c>
      <c r="AB27">
        <v>6.25E-2</v>
      </c>
      <c r="AC27">
        <v>3.1250000000000002E-3</v>
      </c>
      <c r="AD27">
        <v>6.2608815025348277E-2</v>
      </c>
      <c r="AE27">
        <v>8.7061425178412491E-3</v>
      </c>
      <c r="AF27">
        <v>230.96292437266649</v>
      </c>
      <c r="AG27">
        <v>11.548146218633329</v>
      </c>
      <c r="AH27">
        <v>255.84086118010339</v>
      </c>
      <c r="AI27">
        <v>20.71581944119535</v>
      </c>
      <c r="AJ27">
        <v>137.71398121627919</v>
      </c>
      <c r="AK27">
        <v>6.8856990608139608</v>
      </c>
      <c r="AL27">
        <v>142.3907475967948</v>
      </c>
      <c r="AM27">
        <v>13.651875212323519</v>
      </c>
      <c r="AN27">
        <v>9.7646497486712303</v>
      </c>
      <c r="AO27">
        <v>0.48823248743356162</v>
      </c>
      <c r="AP27">
        <v>9.8278142538190441</v>
      </c>
      <c r="AQ27">
        <v>0.97565260453005942</v>
      </c>
      <c r="AR27">
        <v>148.23261117445841</v>
      </c>
      <c r="AS27">
        <v>7.4116305587229192</v>
      </c>
      <c r="AT27">
        <v>150.53984973030231</v>
      </c>
      <c r="AU27">
        <v>14.79890670395034</v>
      </c>
      <c r="AV27">
        <v>0.16250000000000001</v>
      </c>
      <c r="AW27">
        <v>1.14904851942814E-2</v>
      </c>
      <c r="AX27">
        <v>0.16221708093409451</v>
      </c>
      <c r="AY27">
        <v>8.1250564778562392E-3</v>
      </c>
      <c r="AZ27">
        <v>0.16250000000000001</v>
      </c>
      <c r="BA27">
        <v>1.14904851942814E-2</v>
      </c>
      <c r="BB27">
        <v>0.1627829190659055</v>
      </c>
      <c r="BC27">
        <v>8.1250564778562392E-3</v>
      </c>
      <c r="BD27">
        <v>100</v>
      </c>
      <c r="BE27">
        <v>99.999999999999986</v>
      </c>
    </row>
    <row r="28" spans="1:57" x14ac:dyDescent="0.25">
      <c r="A28">
        <v>27</v>
      </c>
      <c r="B28">
        <v>100.6047891139241</v>
      </c>
      <c r="C28">
        <v>82.919937438352989</v>
      </c>
      <c r="D28">
        <v>-1.1286989999999999</v>
      </c>
      <c r="E28">
        <v>5.6434949999999998E-2</v>
      </c>
      <c r="F28">
        <v>-1.0094111599783839</v>
      </c>
      <c r="G28">
        <v>0.1190460238899633</v>
      </c>
      <c r="H28">
        <v>0</v>
      </c>
      <c r="I28">
        <v>0</v>
      </c>
      <c r="J28">
        <v>0</v>
      </c>
      <c r="L28">
        <v>0.77076340909090901</v>
      </c>
      <c r="M28">
        <v>3.8538170454545453E-2</v>
      </c>
      <c r="N28">
        <v>0.61979514753900233</v>
      </c>
      <c r="O28">
        <v>7.3677004794750062E-2</v>
      </c>
      <c r="P28">
        <v>0.1011615055708163</v>
      </c>
      <c r="Q28">
        <v>5.0580752785408141E-3</v>
      </c>
      <c r="R28">
        <v>0.11312174761752621</v>
      </c>
      <c r="S28">
        <v>1.424194878616313E-2</v>
      </c>
      <c r="T28">
        <v>4.2256204660506343E-2</v>
      </c>
      <c r="U28">
        <v>2.112810233025317E-3</v>
      </c>
      <c r="V28">
        <v>4.2763182837922853E-2</v>
      </c>
      <c r="W28">
        <v>5.8920196496593082E-3</v>
      </c>
      <c r="X28">
        <v>3.856604781853892E-3</v>
      </c>
      <c r="Y28">
        <v>1.928302390926946E-4</v>
      </c>
      <c r="Z28">
        <v>3.815281048271823E-3</v>
      </c>
      <c r="AA28">
        <v>5.3209161639738056E-4</v>
      </c>
      <c r="AB28">
        <v>6.25E-2</v>
      </c>
      <c r="AC28">
        <v>3.1250000000000002E-3</v>
      </c>
      <c r="AD28">
        <v>6.2585027335396476E-2</v>
      </c>
      <c r="AE28">
        <v>8.6751327449642746E-3</v>
      </c>
      <c r="AF28">
        <v>270.68681080142397</v>
      </c>
      <c r="AG28">
        <v>13.5343405400712</v>
      </c>
      <c r="AH28">
        <v>308.47562472283698</v>
      </c>
      <c r="AI28">
        <v>24.368397833334861</v>
      </c>
      <c r="AJ28">
        <v>113.06867381602611</v>
      </c>
      <c r="AK28">
        <v>5.6534336908013056</v>
      </c>
      <c r="AL28">
        <v>116.6124093632848</v>
      </c>
      <c r="AM28">
        <v>11.290219427316931</v>
      </c>
      <c r="AN28">
        <v>10.3194593934821</v>
      </c>
      <c r="AO28">
        <v>0.51597296967410489</v>
      </c>
      <c r="AP28">
        <v>10.404022477075911</v>
      </c>
      <c r="AQ28">
        <v>1.032033447435676</v>
      </c>
      <c r="AR28">
        <v>167.23679209426069</v>
      </c>
      <c r="AS28">
        <v>8.3618396047130386</v>
      </c>
      <c r="AT28">
        <v>170.66528596125701</v>
      </c>
      <c r="AU28">
        <v>16.724744984024209</v>
      </c>
      <c r="AV28">
        <v>0.16250000000000001</v>
      </c>
      <c r="AW28">
        <v>1.14904851942814E-2</v>
      </c>
      <c r="AX28">
        <v>0.16227892892796919</v>
      </c>
      <c r="AY28">
        <v>8.1250518648343876E-3</v>
      </c>
      <c r="AZ28">
        <v>0.16250000000000001</v>
      </c>
      <c r="BA28">
        <v>1.14904851942814E-2</v>
      </c>
      <c r="BB28">
        <v>0.16272107107203079</v>
      </c>
      <c r="BC28">
        <v>8.1250518648343876E-3</v>
      </c>
      <c r="BD28">
        <v>100</v>
      </c>
      <c r="BE28">
        <v>99.999999999999986</v>
      </c>
    </row>
    <row r="29" spans="1:57" x14ac:dyDescent="0.25">
      <c r="A29">
        <v>28</v>
      </c>
      <c r="B29">
        <v>110.2063569631578</v>
      </c>
      <c r="C29">
        <v>119.30767898189301</v>
      </c>
      <c r="D29">
        <v>-0.26858124999999999</v>
      </c>
      <c r="E29">
        <v>1.0817277289485231E-3</v>
      </c>
      <c r="F29">
        <v>-0.34159304594296952</v>
      </c>
      <c r="G29">
        <v>8.4190388093636909E-2</v>
      </c>
      <c r="H29">
        <v>0</v>
      </c>
      <c r="I29">
        <v>0</v>
      </c>
      <c r="J29">
        <v>0</v>
      </c>
      <c r="L29">
        <v>0.13447333333333331</v>
      </c>
      <c r="M29">
        <v>5.7697931761031577E-3</v>
      </c>
      <c r="N29">
        <v>0.16956647393318591</v>
      </c>
      <c r="O29">
        <v>4.1781909569691841E-2</v>
      </c>
      <c r="P29">
        <v>3.6541666666666672E-4</v>
      </c>
      <c r="Q29">
        <v>1.8270833333333342E-5</v>
      </c>
      <c r="R29">
        <v>4.3781822714709148E-4</v>
      </c>
      <c r="S29">
        <v>1.1284507926351761E-4</v>
      </c>
      <c r="T29">
        <v>6.6505833333333333E-2</v>
      </c>
      <c r="U29">
        <v>1.1203077744067621E-3</v>
      </c>
      <c r="V29">
        <v>7.1676573899028789E-2</v>
      </c>
      <c r="W29">
        <v>1.7841297480102401E-2</v>
      </c>
      <c r="X29">
        <v>0</v>
      </c>
      <c r="Y29">
        <v>0</v>
      </c>
      <c r="Z29">
        <v>0</v>
      </c>
      <c r="AB29">
        <v>2.777777777777778E-2</v>
      </c>
      <c r="AC29">
        <v>5.5563927374186447E-3</v>
      </c>
      <c r="AD29">
        <v>2.779778775743184E-2</v>
      </c>
      <c r="AE29">
        <v>9.3372611386627405E-3</v>
      </c>
      <c r="AF29">
        <v>0.2</v>
      </c>
      <c r="AG29">
        <v>0.01</v>
      </c>
      <c r="AH29">
        <v>0.29938186073504081</v>
      </c>
      <c r="AI29">
        <v>2.996216457696203E-2</v>
      </c>
      <c r="AJ29">
        <v>54.7</v>
      </c>
      <c r="AK29">
        <v>0.89999999999999991</v>
      </c>
      <c r="AL29">
        <v>49.01272887799287</v>
      </c>
      <c r="AM29">
        <v>3.6487763439378482</v>
      </c>
      <c r="AN29">
        <v>0</v>
      </c>
      <c r="AO29">
        <v>0</v>
      </c>
      <c r="AP29">
        <v>0</v>
      </c>
      <c r="AR29">
        <v>22.805017103762829</v>
      </c>
      <c r="AS29">
        <v>1.140250855188141</v>
      </c>
      <c r="AT29">
        <v>19.008238824058211</v>
      </c>
      <c r="AU29">
        <v>4.5147034617118829</v>
      </c>
      <c r="AV29">
        <v>2.0833333333333329E-2</v>
      </c>
      <c r="AW29">
        <v>1.473139127471974E-3</v>
      </c>
      <c r="AX29">
        <v>2.0818325848592781E-2</v>
      </c>
      <c r="AY29">
        <v>1.0416668845786401E-3</v>
      </c>
      <c r="AZ29">
        <v>2.0833333333333329E-2</v>
      </c>
      <c r="BA29">
        <v>1.473139127471974E-3</v>
      </c>
      <c r="BB29">
        <v>2.0848340818073879E-2</v>
      </c>
      <c r="BC29">
        <v>1.0416668845786401E-3</v>
      </c>
      <c r="BD29">
        <v>100</v>
      </c>
      <c r="BE29">
        <v>100</v>
      </c>
    </row>
    <row r="30" spans="1:57" x14ac:dyDescent="0.25">
      <c r="A30">
        <v>29</v>
      </c>
      <c r="B30">
        <v>142.95893415135399</v>
      </c>
      <c r="C30">
        <v>155.68669000985531</v>
      </c>
      <c r="D30">
        <v>-0.19205620155038761</v>
      </c>
      <c r="E30">
        <v>1.650651428320352E-3</v>
      </c>
      <c r="F30">
        <v>-0.37150315950374629</v>
      </c>
      <c r="G30">
        <v>0.1224690554452592</v>
      </c>
      <c r="H30">
        <v>0</v>
      </c>
      <c r="I30">
        <v>0</v>
      </c>
      <c r="J30">
        <v>0</v>
      </c>
      <c r="L30">
        <v>0.1233918604651163</v>
      </c>
      <c r="M30">
        <v>6.2332655292113692E-3</v>
      </c>
      <c r="N30">
        <v>0.18408387207884641</v>
      </c>
      <c r="O30">
        <v>6.0675884962977267E-2</v>
      </c>
      <c r="P30">
        <v>0</v>
      </c>
      <c r="Q30">
        <v>0</v>
      </c>
      <c r="R30">
        <v>0</v>
      </c>
      <c r="T30">
        <v>6.1695930232558142E-2</v>
      </c>
      <c r="U30">
        <v>1.525724842250548E-3</v>
      </c>
      <c r="V30">
        <v>7.9812079770560332E-2</v>
      </c>
      <c r="W30">
        <v>2.653222165199293E-2</v>
      </c>
      <c r="X30">
        <v>0</v>
      </c>
      <c r="Y30">
        <v>0</v>
      </c>
      <c r="Z30">
        <v>0</v>
      </c>
      <c r="AB30">
        <v>2.777777777777778E-2</v>
      </c>
      <c r="AC30">
        <v>5.8146457427185388E-3</v>
      </c>
      <c r="AD30">
        <v>2.7795127883779289E-2</v>
      </c>
      <c r="AE30">
        <v>1.268652951045506E-2</v>
      </c>
      <c r="AF30">
        <v>0</v>
      </c>
      <c r="AG30">
        <v>0</v>
      </c>
      <c r="AH30">
        <v>0</v>
      </c>
      <c r="AJ30">
        <v>54.45</v>
      </c>
      <c r="AK30">
        <v>1.335</v>
      </c>
      <c r="AL30">
        <v>43.241254271309053</v>
      </c>
      <c r="AM30">
        <v>3.4447886073798371</v>
      </c>
      <c r="AN30">
        <v>0</v>
      </c>
      <c r="AO30">
        <v>0</v>
      </c>
      <c r="AP30">
        <v>0</v>
      </c>
      <c r="AR30">
        <v>24.515393386545039</v>
      </c>
      <c r="AS30">
        <v>1.225769669327252</v>
      </c>
      <c r="AT30">
        <v>15.059076217299459</v>
      </c>
      <c r="AU30">
        <v>4.8602011037339956</v>
      </c>
      <c r="AV30">
        <v>2.0833333333333329E-2</v>
      </c>
      <c r="AW30">
        <v>1.473139127471974E-3</v>
      </c>
      <c r="AX30">
        <v>2.0820320753832201E-2</v>
      </c>
      <c r="AY30">
        <v>1.0416668493579461E-3</v>
      </c>
      <c r="AZ30">
        <v>2.0833333333333329E-2</v>
      </c>
      <c r="BA30">
        <v>1.473139127471974E-3</v>
      </c>
      <c r="BB30">
        <v>2.084634591283446E-2</v>
      </c>
      <c r="BC30">
        <v>1.0416668493579461E-3</v>
      </c>
      <c r="BD30">
        <v>100</v>
      </c>
      <c r="BE30">
        <v>100</v>
      </c>
    </row>
    <row r="31" spans="1:57" x14ac:dyDescent="0.25">
      <c r="A31">
        <v>30</v>
      </c>
      <c r="B31">
        <v>103.9659391732848</v>
      </c>
      <c r="C31">
        <v>107.5471937159509</v>
      </c>
      <c r="D31">
        <v>-0.44633035714285713</v>
      </c>
      <c r="E31">
        <v>3.0679507032992649E-2</v>
      </c>
      <c r="F31">
        <v>-0.46406495160144118</v>
      </c>
      <c r="G31">
        <v>6.1445193209777267E-2</v>
      </c>
      <c r="H31">
        <v>0</v>
      </c>
      <c r="I31">
        <v>0</v>
      </c>
      <c r="J31">
        <v>0</v>
      </c>
      <c r="L31">
        <v>0.22316517857142851</v>
      </c>
      <c r="M31">
        <v>1.1158258928571431E-2</v>
      </c>
      <c r="N31">
        <v>0.23116152283234051</v>
      </c>
      <c r="O31">
        <v>3.062511202252554E-2</v>
      </c>
      <c r="P31">
        <v>3.9151785714285721E-4</v>
      </c>
      <c r="Q31">
        <v>3.523781127212351E-4</v>
      </c>
      <c r="R31">
        <v>3.799427688122654E-4</v>
      </c>
      <c r="S31">
        <v>3.5841021923877192E-4</v>
      </c>
      <c r="T31">
        <v>0.109625</v>
      </c>
      <c r="U31">
        <v>3.6168342038021949E-3</v>
      </c>
      <c r="V31">
        <v>0.1056476404724685</v>
      </c>
      <c r="W31">
        <v>1.418603123492798E-2</v>
      </c>
      <c r="X31">
        <v>0</v>
      </c>
      <c r="Y31">
        <v>0</v>
      </c>
      <c r="Z31">
        <v>0</v>
      </c>
      <c r="AB31">
        <v>2.0833333333333329E-2</v>
      </c>
      <c r="AC31">
        <v>1.4961468888905821E-3</v>
      </c>
      <c r="AD31">
        <v>2.084826228653916E-2</v>
      </c>
      <c r="AE31">
        <v>3.3238343971796059E-3</v>
      </c>
      <c r="AF31">
        <v>0.2</v>
      </c>
      <c r="AG31">
        <v>0.01</v>
      </c>
      <c r="AH31">
        <v>0.19261183487356481</v>
      </c>
      <c r="AI31">
        <v>0.180393590118791</v>
      </c>
      <c r="AJ31">
        <v>56</v>
      </c>
      <c r="AK31">
        <v>2.8</v>
      </c>
      <c r="AL31">
        <v>53.558029134434037</v>
      </c>
      <c r="AM31">
        <v>3.9062676901893512</v>
      </c>
      <c r="AN31">
        <v>0</v>
      </c>
      <c r="AO31">
        <v>0</v>
      </c>
      <c r="AP31">
        <v>0</v>
      </c>
      <c r="AR31">
        <v>10.64234131508932</v>
      </c>
      <c r="AS31">
        <v>0.53211706575446605</v>
      </c>
      <c r="AT31">
        <v>10.56901823790156</v>
      </c>
      <c r="AU31">
        <v>1.191402745359295</v>
      </c>
      <c r="AV31">
        <v>2.0833333333333329E-2</v>
      </c>
      <c r="AW31">
        <v>1.473139127471974E-3</v>
      </c>
      <c r="AX31">
        <v>2.0818404380127501E-2</v>
      </c>
      <c r="AY31">
        <v>1.041666912240306E-3</v>
      </c>
      <c r="AZ31">
        <v>2.0833333333333329E-2</v>
      </c>
      <c r="BA31">
        <v>1.473139127471974E-3</v>
      </c>
      <c r="BB31">
        <v>2.084826228653916E-2</v>
      </c>
      <c r="BC31">
        <v>1.041666912240306E-3</v>
      </c>
      <c r="BD31">
        <v>100</v>
      </c>
      <c r="BE31">
        <v>100</v>
      </c>
    </row>
    <row r="32" spans="1:57" x14ac:dyDescent="0.25">
      <c r="A32">
        <v>31</v>
      </c>
      <c r="B32">
        <v>103.70922114427231</v>
      </c>
      <c r="C32">
        <v>102.1534172957719</v>
      </c>
      <c r="D32">
        <v>-0.52794403409090906</v>
      </c>
      <c r="E32">
        <v>2.6291420502147091E-2</v>
      </c>
      <c r="F32">
        <v>-0.54316798469415606</v>
      </c>
      <c r="G32">
        <v>7.7469861427726189E-2</v>
      </c>
      <c r="H32">
        <v>-0.10842909090909091</v>
      </c>
      <c r="I32">
        <v>5.625579076274056E-3</v>
      </c>
      <c r="J32">
        <v>-0.1079370611877742</v>
      </c>
      <c r="K32">
        <v>1.7176985776197421E-2</v>
      </c>
      <c r="L32">
        <v>0.22173649431818179</v>
      </c>
      <c r="M32">
        <v>1.1086824715909089E-2</v>
      </c>
      <c r="N32">
        <v>0.21686299067571799</v>
      </c>
      <c r="O32">
        <v>3.2057008320722717E-2</v>
      </c>
      <c r="P32">
        <v>4.9829545454545461E-4</v>
      </c>
      <c r="Q32">
        <v>1.5675928022113069E-5</v>
      </c>
      <c r="R32">
        <v>4.9900382353412309E-4</v>
      </c>
      <c r="S32">
        <v>7.7724390520377812E-5</v>
      </c>
      <c r="T32">
        <v>0.1519801136363636</v>
      </c>
      <c r="U32">
        <v>3.36310790749993E-3</v>
      </c>
      <c r="V32">
        <v>0.1522245356772928</v>
      </c>
      <c r="W32">
        <v>2.163860465223524E-2</v>
      </c>
      <c r="X32">
        <v>0</v>
      </c>
      <c r="Y32">
        <v>0</v>
      </c>
      <c r="Z32">
        <v>0</v>
      </c>
      <c r="AB32">
        <v>2.0833333333333329E-2</v>
      </c>
      <c r="AC32">
        <v>1.904186949497104E-3</v>
      </c>
      <c r="AD32">
        <v>2.0857915016784221E-2</v>
      </c>
      <c r="AE32">
        <v>3.7048303868210219E-3</v>
      </c>
      <c r="AF32">
        <v>0.2</v>
      </c>
      <c r="AG32">
        <v>0.01</v>
      </c>
      <c r="AH32">
        <v>0.19977290489502719</v>
      </c>
      <c r="AI32">
        <v>1.8399854281894539E-2</v>
      </c>
      <c r="AJ32">
        <v>61</v>
      </c>
      <c r="AK32">
        <v>3.05</v>
      </c>
      <c r="AL32">
        <v>60.942093535822302</v>
      </c>
      <c r="AM32">
        <v>4.0555721311312709</v>
      </c>
      <c r="AN32">
        <v>0</v>
      </c>
      <c r="AO32">
        <v>0</v>
      </c>
      <c r="AP32">
        <v>0</v>
      </c>
      <c r="AR32">
        <v>8.3618396047130368</v>
      </c>
      <c r="AS32">
        <v>0.41809198023565192</v>
      </c>
      <c r="AT32">
        <v>8.3503293490729256</v>
      </c>
      <c r="AU32">
        <v>1.048686135448331</v>
      </c>
      <c r="AV32">
        <v>2.0833333333333329E-2</v>
      </c>
      <c r="AW32">
        <v>1.473139127471974E-3</v>
      </c>
      <c r="AX32">
        <v>2.080875164988244E-2</v>
      </c>
      <c r="AY32">
        <v>1.0416672723845891E-3</v>
      </c>
      <c r="AZ32">
        <v>2.0833333333333329E-2</v>
      </c>
      <c r="BA32">
        <v>1.473139127471974E-3</v>
      </c>
      <c r="BB32">
        <v>2.0857915016784221E-2</v>
      </c>
      <c r="BC32">
        <v>1.0416672723845891E-3</v>
      </c>
      <c r="BD32">
        <v>100</v>
      </c>
      <c r="BE32">
        <v>100</v>
      </c>
    </row>
    <row r="33" spans="1:57" x14ac:dyDescent="0.25">
      <c r="A33">
        <v>32</v>
      </c>
      <c r="B33">
        <v>97.759003121301419</v>
      </c>
      <c r="C33">
        <v>93.23906772798</v>
      </c>
      <c r="D33">
        <v>-0.48595848958333332</v>
      </c>
      <c r="E33">
        <v>3.0485816582197948E-2</v>
      </c>
      <c r="F33">
        <v>-0.48756336355645008</v>
      </c>
      <c r="G33">
        <v>6.7179740669685628E-2</v>
      </c>
      <c r="H33">
        <v>-0.19878666666666669</v>
      </c>
      <c r="I33">
        <v>1.286020094599866E-2</v>
      </c>
      <c r="J33">
        <v>-0.18785980210528441</v>
      </c>
      <c r="K33">
        <v>2.9057001560669649E-2</v>
      </c>
      <c r="L33">
        <v>0.15550671666666671</v>
      </c>
      <c r="M33">
        <v>7.7753358333333333E-3</v>
      </c>
      <c r="N33">
        <v>0.1495100165965807</v>
      </c>
      <c r="O33">
        <v>2.25101861122332E-2</v>
      </c>
      <c r="P33">
        <v>9.1354166666666667E-4</v>
      </c>
      <c r="Q33">
        <v>1.209716982713286E-5</v>
      </c>
      <c r="R33">
        <v>9.1028447908708275E-4</v>
      </c>
      <c r="S33">
        <v>1.350152485436982E-4</v>
      </c>
      <c r="T33">
        <v>0.14845052083333329</v>
      </c>
      <c r="U33">
        <v>8.8189787019706672E-3</v>
      </c>
      <c r="V33">
        <v>0.1576826506001037</v>
      </c>
      <c r="W33">
        <v>2.1942673797712468E-2</v>
      </c>
      <c r="X33">
        <v>0</v>
      </c>
      <c r="Y33">
        <v>0</v>
      </c>
      <c r="Z33">
        <v>0</v>
      </c>
      <c r="AB33">
        <v>2.0833333333333329E-2</v>
      </c>
      <c r="AC33">
        <v>1.745504703705679E-3</v>
      </c>
      <c r="AD33">
        <v>2.086747680148783E-2</v>
      </c>
      <c r="AE33">
        <v>3.533171212485987E-3</v>
      </c>
      <c r="AF33">
        <v>0.4</v>
      </c>
      <c r="AG33">
        <v>0.02</v>
      </c>
      <c r="AH33">
        <v>0.39955041470905761</v>
      </c>
      <c r="AI33">
        <v>3.4972886260131363E-2</v>
      </c>
      <c r="AJ33">
        <v>65</v>
      </c>
      <c r="AK33">
        <v>3.25</v>
      </c>
      <c r="AL33">
        <v>69.211515616391992</v>
      </c>
      <c r="AM33">
        <v>4.9071407617093561</v>
      </c>
      <c r="AN33">
        <v>0</v>
      </c>
      <c r="AO33">
        <v>0</v>
      </c>
      <c r="AP33">
        <v>0</v>
      </c>
      <c r="AR33">
        <v>9.1220068415051312</v>
      </c>
      <c r="AS33">
        <v>0.45610034207525663</v>
      </c>
      <c r="AT33">
        <v>9.1593443604880829</v>
      </c>
      <c r="AU33">
        <v>1.0964334555822539</v>
      </c>
      <c r="AV33">
        <v>2.0833333333333329E-2</v>
      </c>
      <c r="AW33">
        <v>1.473139127471974E-3</v>
      </c>
      <c r="AX33">
        <v>2.0799189865178831E-2</v>
      </c>
      <c r="AY33">
        <v>1.041668658770867E-3</v>
      </c>
      <c r="AZ33">
        <v>2.0833333333333329E-2</v>
      </c>
      <c r="BA33">
        <v>1.473139127471974E-3</v>
      </c>
      <c r="BB33">
        <v>2.086747680148783E-2</v>
      </c>
      <c r="BC33">
        <v>1.041668658770867E-3</v>
      </c>
      <c r="BD33">
        <v>100</v>
      </c>
      <c r="BE33">
        <v>100</v>
      </c>
    </row>
    <row r="34" spans="1:57" x14ac:dyDescent="0.25">
      <c r="A34">
        <v>33</v>
      </c>
      <c r="B34">
        <v>104.9297157253646</v>
      </c>
      <c r="C34">
        <v>101.1944486221643</v>
      </c>
      <c r="D34">
        <v>-0.38913220833333328</v>
      </c>
      <c r="E34">
        <v>2.1510748241577681E-2</v>
      </c>
      <c r="F34">
        <v>-0.40814479592591513</v>
      </c>
      <c r="G34">
        <v>5.179402292937315E-2</v>
      </c>
      <c r="H34">
        <v>-0.31400254166666669</v>
      </c>
      <c r="I34">
        <v>1.7711287826323509E-2</v>
      </c>
      <c r="J34">
        <v>-0.30436414387228022</v>
      </c>
      <c r="K34">
        <v>4.0070988077807027E-2</v>
      </c>
      <c r="L34">
        <v>6.2261153333333333E-2</v>
      </c>
      <c r="M34">
        <v>3.113057666666667E-3</v>
      </c>
      <c r="N34">
        <v>6.1649854807071858E-2</v>
      </c>
      <c r="O34">
        <v>9.087454247778199E-3</v>
      </c>
      <c r="P34">
        <v>1.09625E-2</v>
      </c>
      <c r="Q34">
        <v>2.6687997493068081E-4</v>
      </c>
      <c r="R34">
        <v>1.1012711213433651E-2</v>
      </c>
      <c r="S34">
        <v>1.5568918129040361E-3</v>
      </c>
      <c r="T34">
        <v>0.15164791666666669</v>
      </c>
      <c r="U34">
        <v>1.370463714757677E-3</v>
      </c>
      <c r="V34">
        <v>0.15179157240282751</v>
      </c>
      <c r="W34">
        <v>1.9841429404775741E-2</v>
      </c>
      <c r="X34">
        <v>0</v>
      </c>
      <c r="Y34">
        <v>0</v>
      </c>
      <c r="Z34">
        <v>0</v>
      </c>
      <c r="AB34">
        <v>2.0833333333333329E-2</v>
      </c>
      <c r="AC34">
        <v>1.396403762964544E-3</v>
      </c>
      <c r="AD34">
        <v>2.088637388632103E-2</v>
      </c>
      <c r="AE34">
        <v>3.230618408245949E-3</v>
      </c>
      <c r="AF34">
        <v>6</v>
      </c>
      <c r="AG34">
        <v>0.3</v>
      </c>
      <c r="AH34">
        <v>5.993356874079228</v>
      </c>
      <c r="AI34">
        <v>0.53664702763466354</v>
      </c>
      <c r="AJ34">
        <v>83</v>
      </c>
      <c r="AK34">
        <v>4.1499999999999986</v>
      </c>
      <c r="AL34">
        <v>82.608273862484495</v>
      </c>
      <c r="AM34">
        <v>5.9096700112641916</v>
      </c>
      <c r="AN34">
        <v>0</v>
      </c>
      <c r="AO34">
        <v>0</v>
      </c>
      <c r="AP34">
        <v>0</v>
      </c>
      <c r="AR34">
        <v>11.402508551881411</v>
      </c>
      <c r="AS34">
        <v>0.5701254275940707</v>
      </c>
      <c r="AT34">
        <v>11.366818767886439</v>
      </c>
      <c r="AU34">
        <v>1.24288679468024</v>
      </c>
      <c r="AV34">
        <v>2.0833333333333329E-2</v>
      </c>
      <c r="AW34">
        <v>1.473139127471974E-3</v>
      </c>
      <c r="AX34">
        <v>2.0780292780345631E-2</v>
      </c>
      <c r="AY34">
        <v>1.0416701324699751E-3</v>
      </c>
      <c r="AZ34">
        <v>2.0833333333333329E-2</v>
      </c>
      <c r="BA34">
        <v>1.473139127471974E-3</v>
      </c>
      <c r="BB34">
        <v>2.088637388632103E-2</v>
      </c>
      <c r="BC34">
        <v>1.0416701324699751E-3</v>
      </c>
      <c r="BD34">
        <v>100</v>
      </c>
      <c r="BE34">
        <v>99.999999999999972</v>
      </c>
    </row>
    <row r="35" spans="1:57" x14ac:dyDescent="0.25">
      <c r="A35">
        <v>34</v>
      </c>
      <c r="B35">
        <v>97.967560246234669</v>
      </c>
      <c r="C35">
        <v>97.550452918820682</v>
      </c>
      <c r="D35">
        <v>-0.86654908333333336</v>
      </c>
      <c r="E35">
        <v>8.1287582184042834E-2</v>
      </c>
      <c r="F35">
        <v>-0.85086187947481873</v>
      </c>
      <c r="G35">
        <v>0.12789570957251131</v>
      </c>
      <c r="H35">
        <v>0</v>
      </c>
      <c r="I35">
        <v>0</v>
      </c>
      <c r="J35">
        <v>0</v>
      </c>
      <c r="L35">
        <v>0.42460905083333328</v>
      </c>
      <c r="M35">
        <v>2.123045254166667E-2</v>
      </c>
      <c r="N35">
        <v>0.42376338593875529</v>
      </c>
      <c r="O35">
        <v>6.3720301236990906E-2</v>
      </c>
      <c r="P35">
        <v>0</v>
      </c>
      <c r="Q35">
        <v>0</v>
      </c>
      <c r="R35">
        <v>0</v>
      </c>
      <c r="T35">
        <v>0.19827508333333341</v>
      </c>
      <c r="U35">
        <v>6.0038855819206606E-3</v>
      </c>
      <c r="V35">
        <v>0.19965296511258149</v>
      </c>
      <c r="W35">
        <v>3.0235109798260079E-2</v>
      </c>
      <c r="X35">
        <v>0</v>
      </c>
      <c r="Y35">
        <v>0</v>
      </c>
      <c r="Z35">
        <v>0</v>
      </c>
      <c r="AB35">
        <v>2.777777777777778E-2</v>
      </c>
      <c r="AC35">
        <v>2.8044416428065198E-3</v>
      </c>
      <c r="AD35">
        <v>2.779256331090026E-2</v>
      </c>
      <c r="AE35">
        <v>5.210396599464086E-3</v>
      </c>
      <c r="AF35">
        <v>0.2</v>
      </c>
      <c r="AG35">
        <v>0.01</v>
      </c>
      <c r="AH35">
        <v>0</v>
      </c>
      <c r="AJ35">
        <v>40.700000000000003</v>
      </c>
      <c r="AK35">
        <v>2.0350000000000001</v>
      </c>
      <c r="AL35">
        <v>40.987220583541998</v>
      </c>
      <c r="AM35">
        <v>3.000447575586989</v>
      </c>
      <c r="AN35">
        <v>0</v>
      </c>
      <c r="AO35">
        <v>0</v>
      </c>
      <c r="AP35">
        <v>0</v>
      </c>
      <c r="AR35">
        <v>5.7012542759407063</v>
      </c>
      <c r="AS35">
        <v>0.28506271379703529</v>
      </c>
      <c r="AT35">
        <v>5.7055998259959742</v>
      </c>
      <c r="AU35">
        <v>0.75633128043734921</v>
      </c>
      <c r="AV35">
        <v>2.0833333333333329E-2</v>
      </c>
      <c r="AW35">
        <v>1.473139127471974E-3</v>
      </c>
      <c r="AX35">
        <v>2.0822244183491469E-2</v>
      </c>
      <c r="AY35">
        <v>1.04166681229999E-3</v>
      </c>
      <c r="AZ35">
        <v>2.0833333333333329E-2</v>
      </c>
      <c r="BA35">
        <v>1.473139127471974E-3</v>
      </c>
      <c r="BB35">
        <v>2.0844422483175189E-2</v>
      </c>
      <c r="BC35">
        <v>1.04166681229999E-3</v>
      </c>
      <c r="BD35">
        <v>99.999999999999972</v>
      </c>
      <c r="BE35">
        <v>99.999999999999972</v>
      </c>
    </row>
    <row r="36" spans="1:57" x14ac:dyDescent="0.25">
      <c r="A36">
        <v>35</v>
      </c>
      <c r="B36">
        <v>99.854435617517751</v>
      </c>
      <c r="C36">
        <v>99.55303000298089</v>
      </c>
      <c r="D36">
        <v>-0.85664107142857149</v>
      </c>
      <c r="E36">
        <v>2.2385519546894609E-2</v>
      </c>
      <c r="F36">
        <v>-0.88696866845624234</v>
      </c>
      <c r="G36">
        <v>0.13835912345840259</v>
      </c>
      <c r="H36">
        <v>0</v>
      </c>
      <c r="I36">
        <v>0</v>
      </c>
      <c r="J36">
        <v>0</v>
      </c>
      <c r="L36">
        <v>0.42832053571428569</v>
      </c>
      <c r="M36">
        <v>2.141602678571429E-2</v>
      </c>
      <c r="N36">
        <v>0.44279339551148489</v>
      </c>
      <c r="O36">
        <v>6.908501923186694E-2</v>
      </c>
      <c r="P36">
        <v>9.3964285714285688E-4</v>
      </c>
      <c r="Q36">
        <v>6.2658460981394285E-4</v>
      </c>
      <c r="R36">
        <v>9.7655264336858963E-4</v>
      </c>
      <c r="S36">
        <v>6.684184101204021E-4</v>
      </c>
      <c r="T36">
        <v>0.19920428571428569</v>
      </c>
      <c r="U36">
        <v>3.5961406567900861E-3</v>
      </c>
      <c r="V36">
        <v>0.2072153224956359</v>
      </c>
      <c r="W36">
        <v>3.2519672187918687E-2</v>
      </c>
      <c r="X36">
        <v>0</v>
      </c>
      <c r="Y36">
        <v>0</v>
      </c>
      <c r="Z36">
        <v>0</v>
      </c>
      <c r="AB36">
        <v>2.6785714285714281E-2</v>
      </c>
      <c r="AC36">
        <v>3.0027636054421772E-3</v>
      </c>
      <c r="AD36">
        <v>2.7791522666748471E-2</v>
      </c>
      <c r="AE36">
        <v>5.5465982112588167E-3</v>
      </c>
      <c r="AF36">
        <v>0.26</v>
      </c>
      <c r="AG36">
        <v>1.2999999999999999E-2</v>
      </c>
      <c r="AH36">
        <v>0.18032704585630011</v>
      </c>
      <c r="AI36">
        <v>0.1207758461526353</v>
      </c>
      <c r="AJ36">
        <v>63.2</v>
      </c>
      <c r="AK36">
        <v>3.16</v>
      </c>
      <c r="AL36">
        <v>63.238981247738501</v>
      </c>
      <c r="AM36">
        <v>4.0435959001113844</v>
      </c>
      <c r="AN36">
        <v>0</v>
      </c>
      <c r="AO36">
        <v>0</v>
      </c>
      <c r="AP36">
        <v>0</v>
      </c>
      <c r="AR36">
        <v>5.32117065754466</v>
      </c>
      <c r="AS36">
        <v>0.26605853287723302</v>
      </c>
      <c r="AT36">
        <v>5.1318924958883052</v>
      </c>
      <c r="AU36">
        <v>0.72420820681952502</v>
      </c>
      <c r="AV36">
        <v>2.0833333333333329E-2</v>
      </c>
      <c r="AW36">
        <v>1.473139127471974E-3</v>
      </c>
      <c r="AX36">
        <v>2.0823024666605312E-2</v>
      </c>
      <c r="AY36">
        <v>1.041666764891728E-3</v>
      </c>
      <c r="AZ36">
        <v>2.0833333333333329E-2</v>
      </c>
      <c r="BA36">
        <v>1.473139127471974E-3</v>
      </c>
      <c r="BB36">
        <v>2.0843642000061349E-2</v>
      </c>
      <c r="BC36">
        <v>1.041666764891728E-3</v>
      </c>
      <c r="BD36">
        <v>99.999999999999986</v>
      </c>
      <c r="BE36">
        <v>99.999999999999986</v>
      </c>
    </row>
    <row r="37" spans="1:57" x14ac:dyDescent="0.25">
      <c r="A37">
        <v>36</v>
      </c>
      <c r="B37">
        <v>97.454842502510061</v>
      </c>
      <c r="C37">
        <v>85.336273741285879</v>
      </c>
      <c r="D37">
        <v>-1.2744515277777779</v>
      </c>
      <c r="E37">
        <v>4.8689383261335407E-2</v>
      </c>
      <c r="F37">
        <v>-1.2179044901622931</v>
      </c>
      <c r="G37">
        <v>0.1596944826184214</v>
      </c>
      <c r="H37">
        <v>0</v>
      </c>
      <c r="I37">
        <v>0</v>
      </c>
      <c r="J37">
        <v>0</v>
      </c>
      <c r="L37">
        <v>0.70094834027777786</v>
      </c>
      <c r="M37">
        <v>3.5047417013888887E-2</v>
      </c>
      <c r="N37">
        <v>0.61169353390092673</v>
      </c>
      <c r="O37">
        <v>8.0163484110192862E-2</v>
      </c>
      <c r="P37">
        <v>4.385E-3</v>
      </c>
      <c r="Q37">
        <v>6.1742855776290959E-4</v>
      </c>
      <c r="R37">
        <v>4.4086991810825529E-3</v>
      </c>
      <c r="S37">
        <v>8.7021062943698024E-4</v>
      </c>
      <c r="T37">
        <v>0.25225930555555559</v>
      </c>
      <c r="U37">
        <v>1.4951464910872739E-2</v>
      </c>
      <c r="V37">
        <v>0.28480169260541721</v>
      </c>
      <c r="W37">
        <v>3.7720680383538048E-2</v>
      </c>
      <c r="X37">
        <v>0</v>
      </c>
      <c r="Y37">
        <v>0</v>
      </c>
      <c r="Z37">
        <v>0</v>
      </c>
      <c r="AB37">
        <v>2.777777777777778E-2</v>
      </c>
      <c r="AC37">
        <v>1.9603085403591802E-3</v>
      </c>
      <c r="AD37">
        <v>2.7790172688366359E-2</v>
      </c>
      <c r="AE37">
        <v>4.3596137132590586E-3</v>
      </c>
      <c r="AF37">
        <v>0.55000000000000004</v>
      </c>
      <c r="AG37">
        <v>2.75E-2</v>
      </c>
      <c r="AH37">
        <v>0.54675185160923179</v>
      </c>
      <c r="AI37">
        <v>8.9264048143203767E-2</v>
      </c>
      <c r="AJ37">
        <v>81.099999999999994</v>
      </c>
      <c r="AK37">
        <v>4.0549999999999997</v>
      </c>
      <c r="AL37">
        <v>85.27553379627183</v>
      </c>
      <c r="AM37">
        <v>5.8362971511430537</v>
      </c>
      <c r="AN37">
        <v>0</v>
      </c>
      <c r="AO37">
        <v>0</v>
      </c>
      <c r="AP37">
        <v>0</v>
      </c>
      <c r="AR37">
        <v>3.420752565564424</v>
      </c>
      <c r="AS37">
        <v>0.17103762827822119</v>
      </c>
      <c r="AT37">
        <v>3.4464425332312318</v>
      </c>
      <c r="AU37">
        <v>0.38229017682409178</v>
      </c>
      <c r="AV37">
        <v>2.0833333333333329E-2</v>
      </c>
      <c r="AW37">
        <v>1.473139127471974E-3</v>
      </c>
      <c r="AX37">
        <v>2.082403715039189E-2</v>
      </c>
      <c r="AY37">
        <v>1.041666769653635E-3</v>
      </c>
      <c r="AZ37">
        <v>2.0833333333333329E-2</v>
      </c>
      <c r="BA37">
        <v>1.473139127471974E-3</v>
      </c>
      <c r="BB37">
        <v>2.0842629516274771E-2</v>
      </c>
      <c r="BC37">
        <v>1.041666769653635E-3</v>
      </c>
      <c r="BD37">
        <v>100</v>
      </c>
      <c r="BE37">
        <v>100</v>
      </c>
    </row>
    <row r="38" spans="1:57" x14ac:dyDescent="0.25">
      <c r="A38">
        <v>37</v>
      </c>
      <c r="B38">
        <v>94.975729204667331</v>
      </c>
      <c r="C38">
        <v>83.162954579410268</v>
      </c>
      <c r="D38">
        <v>-1.4386910937499999</v>
      </c>
      <c r="E38">
        <v>5.4020531875466793E-2</v>
      </c>
      <c r="F38">
        <v>-1.523725797755741</v>
      </c>
      <c r="G38">
        <v>0.23432075155144161</v>
      </c>
      <c r="H38">
        <v>0</v>
      </c>
      <c r="I38">
        <v>0</v>
      </c>
      <c r="J38">
        <v>0</v>
      </c>
      <c r="L38">
        <v>0.77689319062499995</v>
      </c>
      <c r="M38">
        <v>3.8844659531249999E-2</v>
      </c>
      <c r="N38">
        <v>0.77148471411536534</v>
      </c>
      <c r="O38">
        <v>0.1184892747741233</v>
      </c>
      <c r="P38">
        <v>1.0277343749999999E-2</v>
      </c>
      <c r="Q38">
        <v>2.617313725002833E-3</v>
      </c>
      <c r="R38">
        <v>1.1289231062626489E-2</v>
      </c>
      <c r="S38">
        <v>3.2982933127437271E-3</v>
      </c>
      <c r="T38">
        <v>0.27145890625000002</v>
      </c>
      <c r="U38">
        <v>4.5769540635715047E-2</v>
      </c>
      <c r="V38">
        <v>0.35093617888146739</v>
      </c>
      <c r="W38">
        <v>5.4767921415292867E-2</v>
      </c>
      <c r="X38">
        <v>0</v>
      </c>
      <c r="Y38">
        <v>0</v>
      </c>
      <c r="Z38">
        <v>0</v>
      </c>
      <c r="AB38">
        <v>2.6041666666666671E-2</v>
      </c>
      <c r="AC38">
        <v>2.6910214436722609E-3</v>
      </c>
      <c r="AD38">
        <v>2.7790263752187301E-2</v>
      </c>
      <c r="AE38">
        <v>5.2773915045710926E-3</v>
      </c>
      <c r="AF38">
        <v>1.1200000000000001</v>
      </c>
      <c r="AG38">
        <v>5.6000000000000008E-2</v>
      </c>
      <c r="AH38">
        <v>1.1624738021413279</v>
      </c>
      <c r="AI38">
        <v>0.30163189667161699</v>
      </c>
      <c r="AJ38">
        <v>119.7</v>
      </c>
      <c r="AK38">
        <v>5.9850000000000003</v>
      </c>
      <c r="AL38">
        <v>126.05569950826271</v>
      </c>
      <c r="AM38">
        <v>9.2266086210953766</v>
      </c>
      <c r="AN38">
        <v>0</v>
      </c>
      <c r="AO38">
        <v>0</v>
      </c>
      <c r="AP38">
        <v>0</v>
      </c>
      <c r="AR38">
        <v>3.0406689471683772</v>
      </c>
      <c r="AS38">
        <v>0.15203344735841889</v>
      </c>
      <c r="AT38">
        <v>2.861616826451908</v>
      </c>
      <c r="AU38">
        <v>0.38424622371674833</v>
      </c>
      <c r="AV38">
        <v>2.0833333333333329E-2</v>
      </c>
      <c r="AW38">
        <v>1.473139127471974E-3</v>
      </c>
      <c r="AX38">
        <v>2.082396885252619E-2</v>
      </c>
      <c r="AY38">
        <v>1.0416668193152111E-3</v>
      </c>
      <c r="AZ38">
        <v>2.0833333333333329E-2</v>
      </c>
      <c r="BA38">
        <v>1.473139127471974E-3</v>
      </c>
      <c r="BB38">
        <v>2.0842697814140471E-2</v>
      </c>
      <c r="BC38">
        <v>1.0416668193152111E-3</v>
      </c>
      <c r="BD38">
        <v>99.999999999999972</v>
      </c>
      <c r="BE38">
        <v>99.999999999999986</v>
      </c>
    </row>
    <row r="39" spans="1:57" x14ac:dyDescent="0.25">
      <c r="A39">
        <v>38</v>
      </c>
      <c r="B39">
        <v>120.8370138759215</v>
      </c>
      <c r="C39">
        <v>114.1886848091481</v>
      </c>
      <c r="D39">
        <v>-0.22652910000000001</v>
      </c>
      <c r="E39">
        <v>1.7890799999999998E-2</v>
      </c>
      <c r="F39">
        <v>-0.25223751991596899</v>
      </c>
      <c r="G39">
        <v>2.972695664173856E-2</v>
      </c>
      <c r="H39">
        <v>1.7364600000000001E-2</v>
      </c>
      <c r="I39">
        <v>1.3155E-3</v>
      </c>
      <c r="J39">
        <v>1.7466625224361761E-2</v>
      </c>
      <c r="K39">
        <v>2.434890627472497E-3</v>
      </c>
      <c r="L39">
        <v>0.1610172</v>
      </c>
      <c r="M39">
        <v>1.2628800000000001E-2</v>
      </c>
      <c r="N39">
        <v>0.14279092545857711</v>
      </c>
      <c r="O39">
        <v>1.662639715730016E-2</v>
      </c>
      <c r="P39">
        <v>8.4191999999999999E-3</v>
      </c>
      <c r="Q39">
        <v>1.5786000000000001E-3</v>
      </c>
      <c r="R39">
        <v>8.4191838250570646E-3</v>
      </c>
      <c r="S39">
        <v>1.7662959656219281E-3</v>
      </c>
      <c r="T39">
        <v>4.3937700000000003E-2</v>
      </c>
      <c r="U39">
        <v>4.9988999999999997E-3</v>
      </c>
      <c r="V39">
        <v>4.2301355598261411E-2</v>
      </c>
      <c r="W39">
        <v>5.8186234021365109E-3</v>
      </c>
      <c r="X39">
        <v>0</v>
      </c>
      <c r="Y39">
        <v>0</v>
      </c>
      <c r="Z39">
        <v>0</v>
      </c>
      <c r="AB39">
        <v>8.0000000000000002E-3</v>
      </c>
      <c r="AC39">
        <v>4.0000000000000002E-4</v>
      </c>
      <c r="AD39">
        <v>8.0055156107548906E-3</v>
      </c>
      <c r="AE39">
        <v>1.022958107509587E-3</v>
      </c>
      <c r="AF39">
        <v>14.97785881740036</v>
      </c>
      <c r="AG39">
        <v>2.8219154293652862</v>
      </c>
      <c r="AH39">
        <v>15.556853065898601</v>
      </c>
      <c r="AI39">
        <v>2.9454597156685862</v>
      </c>
      <c r="AJ39">
        <v>77.4328914940385</v>
      </c>
      <c r="AK39">
        <v>7.6600279757543461</v>
      </c>
      <c r="AL39">
        <v>78.163868042876445</v>
      </c>
      <c r="AM39">
        <v>8.105964811936369</v>
      </c>
      <c r="AN39">
        <v>0</v>
      </c>
      <c r="AO39">
        <v>0</v>
      </c>
      <c r="AP39">
        <v>0</v>
      </c>
      <c r="AR39">
        <v>14.82326111744584</v>
      </c>
      <c r="AS39">
        <v>0.38008361839604721</v>
      </c>
      <c r="AT39">
        <v>14.792482580391599</v>
      </c>
      <c r="AU39">
        <v>1.336438349978333</v>
      </c>
      <c r="AV39">
        <v>1.6E-2</v>
      </c>
      <c r="AW39">
        <v>1.1313708498984761E-3</v>
      </c>
      <c r="AX39">
        <v>1.5988968778490219E-2</v>
      </c>
      <c r="AY39">
        <v>8.0000148371002586E-4</v>
      </c>
      <c r="AZ39">
        <v>1.6E-2</v>
      </c>
      <c r="BA39">
        <v>1.1313708498984761E-3</v>
      </c>
      <c r="BB39">
        <v>1.6011031221509781E-2</v>
      </c>
      <c r="BC39">
        <v>8.0000148371002586E-4</v>
      </c>
      <c r="BD39">
        <v>100</v>
      </c>
      <c r="BE39">
        <v>100</v>
      </c>
    </row>
    <row r="40" spans="1:57" x14ac:dyDescent="0.25">
      <c r="A40">
        <v>39</v>
      </c>
      <c r="B40">
        <v>56.126206885011563</v>
      </c>
      <c r="C40">
        <v>52.651860138790283</v>
      </c>
      <c r="D40">
        <v>-0.41832900000000001</v>
      </c>
      <c r="E40">
        <v>1.5786000000000001E-2</v>
      </c>
      <c r="F40">
        <v>-0.25610576196664891</v>
      </c>
      <c r="G40">
        <v>3.0813511448509089E-2</v>
      </c>
      <c r="H40">
        <v>0</v>
      </c>
      <c r="I40">
        <v>0</v>
      </c>
      <c r="J40">
        <v>0</v>
      </c>
      <c r="L40">
        <v>0.12891900000000001</v>
      </c>
      <c r="M40">
        <v>4.7358000000000001E-3</v>
      </c>
      <c r="N40">
        <v>0.1325054815772912</v>
      </c>
      <c r="O40">
        <v>1.58939436511168E-2</v>
      </c>
      <c r="P40">
        <v>4.7358000000000001E-3</v>
      </c>
      <c r="Q40">
        <v>5.262E-4</v>
      </c>
      <c r="R40">
        <v>4.9332355342319367E-3</v>
      </c>
      <c r="S40">
        <v>8.1243852526255704E-4</v>
      </c>
      <c r="T40">
        <v>4.4200799999999998E-2</v>
      </c>
      <c r="U40">
        <v>3.1572000000000002E-3</v>
      </c>
      <c r="V40">
        <v>5.2861613491570841E-2</v>
      </c>
      <c r="W40">
        <v>6.6093552454947026E-3</v>
      </c>
      <c r="X40">
        <v>0</v>
      </c>
      <c r="Y40">
        <v>0</v>
      </c>
      <c r="Z40">
        <v>0</v>
      </c>
      <c r="AB40">
        <v>8.0000000000000002E-3</v>
      </c>
      <c r="AC40">
        <v>4.0000000000000002E-4</v>
      </c>
      <c r="AD40">
        <v>8.0105823377520733E-3</v>
      </c>
      <c r="AE40">
        <v>1.11373417664363E-3</v>
      </c>
      <c r="AF40">
        <v>8.8998871233828254</v>
      </c>
      <c r="AG40">
        <v>0.65121125293045068</v>
      </c>
      <c r="AH40">
        <v>9.712724095812824</v>
      </c>
      <c r="AI40">
        <v>1.283159288363114</v>
      </c>
      <c r="AJ40">
        <v>85.259441817091854</v>
      </c>
      <c r="AK40">
        <v>4.1630586824751878</v>
      </c>
      <c r="AL40">
        <v>104.0757660039561</v>
      </c>
      <c r="AM40">
        <v>8.0377596323519409</v>
      </c>
      <c r="AN40">
        <v>0</v>
      </c>
      <c r="AO40">
        <v>0</v>
      </c>
      <c r="AP40">
        <v>0</v>
      </c>
      <c r="AR40">
        <v>15.583428354237929</v>
      </c>
      <c r="AS40">
        <v>0.7601672367920943</v>
      </c>
      <c r="AT40">
        <v>15.77151051343238</v>
      </c>
      <c r="AU40">
        <v>1.550249674368527</v>
      </c>
      <c r="AV40">
        <v>1.6E-2</v>
      </c>
      <c r="AW40">
        <v>1.1313708498984761E-3</v>
      </c>
      <c r="AX40">
        <v>1.5978835324495851E-2</v>
      </c>
      <c r="AY40">
        <v>8.000008975775091E-4</v>
      </c>
      <c r="AZ40">
        <v>1.6E-2</v>
      </c>
      <c r="BA40">
        <v>1.1313708498984761E-3</v>
      </c>
      <c r="BB40">
        <v>1.602116467550415E-2</v>
      </c>
      <c r="BC40">
        <v>8.000008975775091E-4</v>
      </c>
      <c r="BD40">
        <v>100</v>
      </c>
      <c r="BE40">
        <v>100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BE40"/>
  <sheetViews>
    <sheetView zoomScale="85" zoomScaleNormal="85" workbookViewId="0">
      <selection activeCell="Z6" sqref="Z6"/>
    </sheetView>
  </sheetViews>
  <sheetFormatPr defaultRowHeight="15" x14ac:dyDescent="0.25"/>
  <cols>
    <col min="1" max="1" width="4" bestFit="1" customWidth="1"/>
    <col min="2" max="3" width="12.5703125" bestFit="1" customWidth="1"/>
    <col min="4" max="4" width="17.85546875" bestFit="1" customWidth="1"/>
    <col min="5" max="5" width="12.5703125" bestFit="1" customWidth="1"/>
    <col min="6" max="6" width="23.42578125" bestFit="1" customWidth="1"/>
    <col min="7" max="7" width="12.5703125" bestFit="1" customWidth="1"/>
    <col min="8" max="8" width="17.5703125" bestFit="1" customWidth="1"/>
    <col min="9" max="9" width="12.5703125" bestFit="1" customWidth="1"/>
    <col min="10" max="10" width="23.140625" bestFit="1" customWidth="1"/>
    <col min="11" max="11" width="12.5703125" bestFit="1" customWidth="1"/>
    <col min="12" max="12" width="18.85546875" bestFit="1" customWidth="1"/>
    <col min="13" max="13" width="12.5703125" bestFit="1" customWidth="1"/>
    <col min="14" max="14" width="24.42578125" bestFit="1" customWidth="1"/>
    <col min="15" max="15" width="12.5703125" bestFit="1" customWidth="1"/>
    <col min="16" max="16" width="19.7109375" bestFit="1" customWidth="1"/>
    <col min="17" max="17" width="12.5703125" bestFit="1" customWidth="1"/>
    <col min="18" max="18" width="25.28515625" bestFit="1" customWidth="1"/>
    <col min="19" max="19" width="12.5703125" bestFit="1" customWidth="1"/>
    <col min="20" max="20" width="18.42578125" bestFit="1" customWidth="1"/>
    <col min="21" max="21" width="12.5703125" bestFit="1" customWidth="1"/>
    <col min="22" max="22" width="24" bestFit="1" customWidth="1"/>
    <col min="23" max="23" width="12.5703125" bestFit="1" customWidth="1"/>
    <col min="24" max="24" width="19.140625" bestFit="1" customWidth="1"/>
    <col min="25" max="25" width="12.5703125" bestFit="1" customWidth="1"/>
    <col min="26" max="26" width="24.7109375" bestFit="1" customWidth="1"/>
    <col min="27" max="29" width="12.5703125" bestFit="1" customWidth="1"/>
    <col min="30" max="30" width="14.28515625" bestFit="1" customWidth="1"/>
    <col min="31" max="31" width="12.5703125" bestFit="1" customWidth="1"/>
    <col min="32" max="32" width="12.28515625" bestFit="1" customWidth="1"/>
    <col min="33" max="33" width="12.5703125" bestFit="1" customWidth="1"/>
    <col min="34" max="34" width="17.85546875" bestFit="1" customWidth="1"/>
    <col min="35" max="35" width="12.5703125" bestFit="1" customWidth="1"/>
    <col min="36" max="36" width="11.5703125" bestFit="1" customWidth="1"/>
    <col min="37" max="37" width="12.5703125" bestFit="1" customWidth="1"/>
    <col min="38" max="38" width="16.5703125" bestFit="1" customWidth="1"/>
    <col min="39" max="39" width="12.5703125" bestFit="1" customWidth="1"/>
    <col min="40" max="40" width="11.7109375" bestFit="1" customWidth="1"/>
    <col min="41" max="41" width="10.5703125" bestFit="1" customWidth="1"/>
    <col min="42" max="42" width="17.28515625" bestFit="1" customWidth="1"/>
    <col min="43" max="43" width="12.5703125" bestFit="1" customWidth="1"/>
    <col min="44" max="44" width="8.85546875" bestFit="1" customWidth="1"/>
    <col min="45" max="45" width="8.42578125" bestFit="1" customWidth="1"/>
    <col min="46" max="46" width="14.42578125" bestFit="1" customWidth="1"/>
    <col min="47" max="49" width="12.5703125" bestFit="1" customWidth="1"/>
    <col min="50" max="50" width="15.85546875" bestFit="1" customWidth="1"/>
    <col min="51" max="51" width="8.42578125" bestFit="1" customWidth="1"/>
    <col min="52" max="53" width="12.5703125" bestFit="1" customWidth="1"/>
    <col min="54" max="54" width="17.28515625" bestFit="1" customWidth="1"/>
    <col min="55" max="55" width="9.7109375" bestFit="1" customWidth="1"/>
    <col min="56" max="57" width="9" bestFit="1" customWidth="1"/>
  </cols>
  <sheetData>
    <row r="1" spans="1:57" x14ac:dyDescent="0.25">
      <c r="A1" s="36" t="s">
        <v>227</v>
      </c>
      <c r="B1" s="36" t="s">
        <v>253</v>
      </c>
      <c r="C1" s="36" t="s">
        <v>254</v>
      </c>
      <c r="D1" s="36" t="s">
        <v>308</v>
      </c>
      <c r="E1" s="36" t="s">
        <v>256</v>
      </c>
      <c r="F1" s="36" t="s">
        <v>309</v>
      </c>
      <c r="G1" s="36" t="s">
        <v>258</v>
      </c>
      <c r="H1" s="36" t="s">
        <v>310</v>
      </c>
      <c r="I1" s="36" t="s">
        <v>260</v>
      </c>
      <c r="J1" s="36" t="s">
        <v>311</v>
      </c>
      <c r="K1" s="36" t="s">
        <v>262</v>
      </c>
      <c r="L1" s="36" t="s">
        <v>312</v>
      </c>
      <c r="M1" s="36" t="s">
        <v>264</v>
      </c>
      <c r="N1" s="36" t="s">
        <v>313</v>
      </c>
      <c r="O1" s="36" t="s">
        <v>266</v>
      </c>
      <c r="P1" s="36" t="s">
        <v>314</v>
      </c>
      <c r="Q1" s="36" t="s">
        <v>268</v>
      </c>
      <c r="R1" s="36" t="s">
        <v>315</v>
      </c>
      <c r="S1" s="36" t="s">
        <v>270</v>
      </c>
      <c r="T1" s="36" t="s">
        <v>316</v>
      </c>
      <c r="U1" s="36" t="s">
        <v>272</v>
      </c>
      <c r="V1" s="36" t="s">
        <v>317</v>
      </c>
      <c r="W1" s="36" t="s">
        <v>274</v>
      </c>
      <c r="X1" s="36" t="s">
        <v>318</v>
      </c>
      <c r="Y1" s="36" t="s">
        <v>276</v>
      </c>
      <c r="Z1" s="36" t="s">
        <v>319</v>
      </c>
      <c r="AA1" s="36" t="s">
        <v>278</v>
      </c>
      <c r="AB1" s="36" t="s">
        <v>279</v>
      </c>
      <c r="AC1" s="36" t="s">
        <v>280</v>
      </c>
      <c r="AD1" s="36" t="s">
        <v>281</v>
      </c>
      <c r="AE1" s="36" t="s">
        <v>282</v>
      </c>
      <c r="AF1" s="36" t="s">
        <v>320</v>
      </c>
      <c r="AG1" s="36" t="s">
        <v>284</v>
      </c>
      <c r="AH1" s="36" t="s">
        <v>321</v>
      </c>
      <c r="AI1" s="36" t="s">
        <v>286</v>
      </c>
      <c r="AJ1" s="36" t="s">
        <v>133</v>
      </c>
      <c r="AK1" s="36" t="s">
        <v>287</v>
      </c>
      <c r="AL1" s="36" t="s">
        <v>322</v>
      </c>
      <c r="AM1" s="36" t="s">
        <v>289</v>
      </c>
      <c r="AN1" s="36" t="s">
        <v>135</v>
      </c>
      <c r="AO1" s="36" t="s">
        <v>290</v>
      </c>
      <c r="AP1" s="36" t="s">
        <v>323</v>
      </c>
      <c r="AQ1" s="36" t="s">
        <v>292</v>
      </c>
      <c r="AR1" s="36" t="s">
        <v>177</v>
      </c>
      <c r="AS1" s="36" t="s">
        <v>294</v>
      </c>
      <c r="AT1" s="36" t="s">
        <v>324</v>
      </c>
      <c r="AU1" s="36" t="s">
        <v>296</v>
      </c>
      <c r="AV1" s="36" t="s">
        <v>297</v>
      </c>
      <c r="AW1" s="36" t="s">
        <v>298</v>
      </c>
      <c r="AX1" s="36" t="s">
        <v>299</v>
      </c>
      <c r="AY1" s="36" t="s">
        <v>300</v>
      </c>
      <c r="AZ1" s="36" t="s">
        <v>301</v>
      </c>
      <c r="BA1" s="36" t="s">
        <v>302</v>
      </c>
      <c r="BB1" s="36" t="s">
        <v>303</v>
      </c>
      <c r="BC1" s="36" t="s">
        <v>304</v>
      </c>
      <c r="BD1" s="36" t="s">
        <v>253</v>
      </c>
      <c r="BE1" s="36" t="s">
        <v>254</v>
      </c>
    </row>
    <row r="2" spans="1:57" s="18" customFormat="1" x14ac:dyDescent="0.25">
      <c r="A2" s="18">
        <v>1</v>
      </c>
      <c r="B2" s="18">
        <v>110.0012031688598</v>
      </c>
      <c r="C2" s="18">
        <v>106.6676802229824</v>
      </c>
      <c r="D2" s="18">
        <v>-3.708333333333333</v>
      </c>
      <c r="E2" s="18">
        <v>8.3333333333333329E-2</v>
      </c>
      <c r="F2" s="16">
        <v>-3.7339426835630141</v>
      </c>
      <c r="G2" s="16">
        <v>0.47970139090195468</v>
      </c>
      <c r="H2" s="18">
        <v>-108.7916666666667</v>
      </c>
      <c r="I2" s="18">
        <v>2.375</v>
      </c>
      <c r="J2" s="16">
        <v>-109.6922126010286</v>
      </c>
      <c r="K2" s="16">
        <v>12.23950778056547</v>
      </c>
      <c r="L2" s="18">
        <v>-39.333333333333343</v>
      </c>
      <c r="M2" s="18">
        <v>0.95833333333333337</v>
      </c>
      <c r="N2" s="16">
        <v>-41.172785283769777</v>
      </c>
      <c r="O2" s="16">
        <v>4.5790311275810698</v>
      </c>
      <c r="P2" s="18">
        <v>12.75</v>
      </c>
      <c r="Q2" s="18">
        <v>1.125</v>
      </c>
      <c r="R2" s="16">
        <v>11.902197208781461</v>
      </c>
      <c r="S2" s="16">
        <v>1.5658502531997791</v>
      </c>
      <c r="T2" s="18">
        <v>10.125</v>
      </c>
      <c r="U2" s="18">
        <v>0.66666666666666663</v>
      </c>
      <c r="V2" s="16">
        <v>9.7524373263979243</v>
      </c>
      <c r="W2" s="16">
        <v>1.3502579998173401</v>
      </c>
      <c r="X2" s="18">
        <v>0</v>
      </c>
      <c r="Y2" s="18">
        <v>0</v>
      </c>
      <c r="Z2" s="34">
        <v>0</v>
      </c>
      <c r="AA2" s="34"/>
      <c r="AB2" s="18">
        <v>4.2000000000000003E-2</v>
      </c>
      <c r="AC2" s="18">
        <v>8.0000000000000004E-4</v>
      </c>
      <c r="AD2" s="34">
        <v>4.20291435793868E-2</v>
      </c>
      <c r="AE2" s="34">
        <v>5.3926653877967743E-3</v>
      </c>
      <c r="AF2" s="18">
        <v>4.79</v>
      </c>
      <c r="AG2" s="18">
        <v>0.43</v>
      </c>
      <c r="AH2" s="16">
        <v>4.4241629446515196</v>
      </c>
      <c r="AI2" s="16">
        <v>0.40705765780719477</v>
      </c>
      <c r="AJ2" s="18">
        <v>5.03</v>
      </c>
      <c r="AK2" s="18">
        <v>0.34</v>
      </c>
      <c r="AL2" s="16">
        <v>4.7254726928452424</v>
      </c>
      <c r="AM2" s="16">
        <v>0.48020688194876382</v>
      </c>
      <c r="AN2" s="18">
        <v>0</v>
      </c>
      <c r="AO2" s="18">
        <v>0</v>
      </c>
      <c r="AP2" s="16">
        <v>0</v>
      </c>
      <c r="AQ2" s="16"/>
      <c r="AR2" s="18">
        <v>0.34</v>
      </c>
      <c r="AS2" s="18">
        <v>0.02</v>
      </c>
      <c r="AT2" s="16">
        <v>0.33912136719094899</v>
      </c>
      <c r="AU2" s="16">
        <v>2.960347425501517E-2</v>
      </c>
      <c r="AV2" s="18">
        <v>3.125E-2</v>
      </c>
      <c r="AW2" s="18">
        <v>1.593443597997745E-3</v>
      </c>
      <c r="AX2" s="34">
        <v>3.0978142315459901E-2</v>
      </c>
      <c r="AY2" s="34">
        <v>1.1268007419071161E-3</v>
      </c>
      <c r="AZ2" s="18">
        <v>3.125E-2</v>
      </c>
      <c r="BA2" s="18">
        <v>1.593443597997745E-3</v>
      </c>
      <c r="BB2" s="34">
        <v>3.1521857684540099E-2</v>
      </c>
      <c r="BC2" s="34">
        <v>1.1268007419071161E-3</v>
      </c>
      <c r="BD2" s="18">
        <v>100</v>
      </c>
      <c r="BE2" s="18">
        <v>100</v>
      </c>
    </row>
    <row r="3" spans="1:57" s="18" customFormat="1" x14ac:dyDescent="0.25">
      <c r="A3" s="18">
        <v>2</v>
      </c>
      <c r="B3" s="18">
        <v>114.1348874530174</v>
      </c>
      <c r="C3" s="18">
        <v>117.310864673414</v>
      </c>
      <c r="D3" s="18">
        <v>0</v>
      </c>
      <c r="E3" s="18">
        <v>0</v>
      </c>
      <c r="F3" s="16">
        <v>0</v>
      </c>
      <c r="G3" s="16"/>
      <c r="H3" s="18">
        <v>-47.083333333333343</v>
      </c>
      <c r="I3" s="18">
        <v>6.583333333333333</v>
      </c>
      <c r="J3" s="16">
        <v>-52.188349394025188</v>
      </c>
      <c r="K3" s="16">
        <v>8.5196051643187776</v>
      </c>
      <c r="L3" s="18">
        <v>-19.125</v>
      </c>
      <c r="M3" s="18">
        <v>3.208333333333333</v>
      </c>
      <c r="N3" s="16">
        <v>-20.696243956013571</v>
      </c>
      <c r="O3" s="16">
        <v>3.332964090022414</v>
      </c>
      <c r="P3" s="18">
        <v>5.833333333333333</v>
      </c>
      <c r="Q3" s="18">
        <v>0.5</v>
      </c>
      <c r="R3" s="16">
        <v>5.4427978224067468</v>
      </c>
      <c r="S3" s="16">
        <v>1.0474997932943251</v>
      </c>
      <c r="T3" s="18">
        <v>4.708333333333333</v>
      </c>
      <c r="U3" s="18">
        <v>0.375</v>
      </c>
      <c r="V3" s="16">
        <v>4.5314318105356097</v>
      </c>
      <c r="W3" s="16">
        <v>0.90104110777594659</v>
      </c>
      <c r="X3" s="18">
        <v>0</v>
      </c>
      <c r="Y3" s="18">
        <v>0</v>
      </c>
      <c r="Z3" s="34">
        <v>0</v>
      </c>
      <c r="AA3" s="34"/>
      <c r="AB3" s="18">
        <v>1.9599999999999999E-2</v>
      </c>
      <c r="AC3" s="18">
        <v>4.0000000000000002E-4</v>
      </c>
      <c r="AD3" s="34">
        <v>1.9674215197290401E-2</v>
      </c>
      <c r="AE3" s="34">
        <v>3.6605277224601748E-3</v>
      </c>
      <c r="AF3" s="18">
        <v>2.36</v>
      </c>
      <c r="AG3" s="18">
        <v>0.25</v>
      </c>
      <c r="AH3" s="16">
        <v>2.2798949007141251</v>
      </c>
      <c r="AI3" s="16">
        <v>0.31601166464727659</v>
      </c>
      <c r="AJ3" s="18">
        <v>2.5099999999999998</v>
      </c>
      <c r="AK3" s="18">
        <v>0.42</v>
      </c>
      <c r="AL3" s="16">
        <v>2.4743218580817858</v>
      </c>
      <c r="AM3" s="16">
        <v>0.36458395558078471</v>
      </c>
      <c r="AN3" s="18">
        <v>0</v>
      </c>
      <c r="AO3" s="18">
        <v>0</v>
      </c>
      <c r="AP3" s="16">
        <v>0</v>
      </c>
      <c r="AQ3" s="16"/>
      <c r="AR3" s="18">
        <v>0.18</v>
      </c>
      <c r="AS3" s="18">
        <v>0.02</v>
      </c>
      <c r="AT3" s="16">
        <v>0.17889190304872299</v>
      </c>
      <c r="AU3" s="16">
        <v>2.3180184148922079E-2</v>
      </c>
      <c r="AV3" s="18">
        <v>1.4687499999999999E-2</v>
      </c>
      <c r="AW3" s="18">
        <v>7.9809954932013346E-4</v>
      </c>
      <c r="AX3" s="34">
        <v>1.4619338602032199E-2</v>
      </c>
      <c r="AY3" s="34">
        <v>5.6436909409303599E-4</v>
      </c>
      <c r="AZ3" s="18">
        <v>1.4687499999999999E-2</v>
      </c>
      <c r="BA3" s="18">
        <v>7.9809954932013346E-4</v>
      </c>
      <c r="BB3" s="34">
        <v>1.4755661397967801E-2</v>
      </c>
      <c r="BC3" s="34">
        <v>5.6436909409303599E-4</v>
      </c>
      <c r="BD3" s="18">
        <v>100</v>
      </c>
      <c r="BE3" s="18">
        <v>99.999999999999986</v>
      </c>
    </row>
    <row r="4" spans="1:57" s="18" customFormat="1" x14ac:dyDescent="0.25">
      <c r="A4" s="18">
        <v>3</v>
      </c>
      <c r="B4" s="18">
        <v>103.6857516319096</v>
      </c>
      <c r="C4" s="18">
        <v>98.999604694008909</v>
      </c>
      <c r="D4" s="18">
        <v>-1.5</v>
      </c>
      <c r="E4" s="18">
        <v>0.16666666666666671</v>
      </c>
      <c r="F4" s="16">
        <v>-1.518626644076341</v>
      </c>
      <c r="G4" s="16">
        <v>0.225526023022418</v>
      </c>
      <c r="H4" s="18">
        <v>-65.083333333333329</v>
      </c>
      <c r="I4" s="18">
        <v>1</v>
      </c>
      <c r="J4" s="16">
        <v>-64.376263894976375</v>
      </c>
      <c r="K4" s="16">
        <v>5.8710533072057309</v>
      </c>
      <c r="L4" s="18">
        <v>-22.416666666666671</v>
      </c>
      <c r="M4" s="18">
        <v>0.83333333333333337</v>
      </c>
      <c r="N4" s="16">
        <v>-23.223748184747269</v>
      </c>
      <c r="O4" s="16">
        <v>2.160275460384864</v>
      </c>
      <c r="P4" s="18">
        <v>8.2083333333333339</v>
      </c>
      <c r="Q4" s="18">
        <v>0.33333333333333331</v>
      </c>
      <c r="R4" s="16">
        <v>8.2533107473637966</v>
      </c>
      <c r="S4" s="16">
        <v>0.82048038510131427</v>
      </c>
      <c r="T4" s="18">
        <v>3.791666666666667</v>
      </c>
      <c r="U4" s="18">
        <v>0.625</v>
      </c>
      <c r="V4" s="16">
        <v>3.7158741115392599</v>
      </c>
      <c r="W4" s="16">
        <v>0.61221880415867735</v>
      </c>
      <c r="X4" s="18">
        <v>0</v>
      </c>
      <c r="Y4" s="18">
        <v>0</v>
      </c>
      <c r="Z4" s="34">
        <v>0</v>
      </c>
      <c r="AA4" s="34"/>
      <c r="AB4" s="18">
        <v>2.1000000000000001E-2</v>
      </c>
      <c r="AC4" s="18">
        <v>4.0000000000000002E-4</v>
      </c>
      <c r="AD4" s="34">
        <v>2.1153374470870359E-2</v>
      </c>
      <c r="AE4" s="34">
        <v>2.1489018803890298E-3</v>
      </c>
      <c r="AF4" s="18">
        <v>9.69</v>
      </c>
      <c r="AG4" s="18">
        <v>0.39</v>
      </c>
      <c r="AH4" s="16">
        <v>9.6324153077536732</v>
      </c>
      <c r="AI4" s="16">
        <v>0.62248465555601273</v>
      </c>
      <c r="AJ4" s="18">
        <v>5.97</v>
      </c>
      <c r="AK4" s="18">
        <v>0.97999999999999987</v>
      </c>
      <c r="AL4" s="16">
        <v>5.6532229338194107</v>
      </c>
      <c r="AM4" s="16">
        <v>0.82773971175364203</v>
      </c>
      <c r="AN4" s="18">
        <v>0</v>
      </c>
      <c r="AO4" s="18">
        <v>0</v>
      </c>
      <c r="AP4" s="16">
        <v>0</v>
      </c>
      <c r="AQ4" s="16"/>
      <c r="AR4" s="18">
        <v>0.54</v>
      </c>
      <c r="AS4" s="18">
        <v>0.01</v>
      </c>
      <c r="AT4" s="16">
        <v>0.53590437374948907</v>
      </c>
      <c r="AU4" s="16">
        <v>3.6399369383774263E-2</v>
      </c>
      <c r="AV4" s="18">
        <v>1.5625E-2</v>
      </c>
      <c r="AW4" s="18">
        <v>8.414320011147664E-4</v>
      </c>
      <c r="AX4" s="34">
        <v>1.5384969146847231E-2</v>
      </c>
      <c r="AY4" s="34">
        <v>5.9504841837571454E-4</v>
      </c>
      <c r="AZ4" s="18">
        <v>1.5625E-2</v>
      </c>
      <c r="BA4" s="18">
        <v>8.414320011147664E-4</v>
      </c>
      <c r="BB4" s="34">
        <v>1.5865030853152769E-2</v>
      </c>
      <c r="BC4" s="34">
        <v>5.9504841837571454E-4</v>
      </c>
      <c r="BD4" s="18">
        <v>100</v>
      </c>
      <c r="BE4" s="18">
        <v>100</v>
      </c>
    </row>
    <row r="5" spans="1:57" x14ac:dyDescent="0.25">
      <c r="A5">
        <v>4</v>
      </c>
      <c r="B5">
        <v>123.5779022436561</v>
      </c>
      <c r="C5">
        <v>110.13907572094161</v>
      </c>
      <c r="D5">
        <v>-21.791666666666671</v>
      </c>
      <c r="E5">
        <v>0.5</v>
      </c>
      <c r="F5" s="6">
        <v>-24.06310609072457</v>
      </c>
      <c r="G5" s="6">
        <v>2.405735695219072</v>
      </c>
      <c r="H5">
        <v>0.58333333333333337</v>
      </c>
      <c r="I5">
        <v>4.1666666666666657E-2</v>
      </c>
      <c r="J5" s="6">
        <v>0.58282061936472307</v>
      </c>
      <c r="K5" s="6">
        <v>7.7947049224292714E-2</v>
      </c>
      <c r="L5">
        <v>16.416666666666671</v>
      </c>
      <c r="M5">
        <v>0.25</v>
      </c>
      <c r="N5" s="6">
        <v>13.533730859819819</v>
      </c>
      <c r="O5" s="6">
        <v>1.344618737023163</v>
      </c>
      <c r="P5">
        <v>1.291666666666667</v>
      </c>
      <c r="Q5">
        <v>4.1666666666666657E-2</v>
      </c>
      <c r="R5" s="6">
        <v>1.3058300996021339</v>
      </c>
      <c r="S5" s="6">
        <v>0.14977821942771971</v>
      </c>
      <c r="T5">
        <v>3.166666666666667</v>
      </c>
      <c r="U5">
        <v>0.20833333333333329</v>
      </c>
      <c r="V5" s="6">
        <v>3.1666692256255899</v>
      </c>
      <c r="W5" s="6">
        <v>0.36991878403972128</v>
      </c>
      <c r="X5">
        <v>0</v>
      </c>
      <c r="Y5">
        <v>0</v>
      </c>
      <c r="Z5" s="5">
        <v>0</v>
      </c>
      <c r="AA5" s="5"/>
      <c r="AB5">
        <v>4.2000000000000003E-2</v>
      </c>
      <c r="AC5">
        <v>1E-3</v>
      </c>
      <c r="AD5" s="5">
        <v>4.1684947831621168E-2</v>
      </c>
      <c r="AE5" s="5">
        <v>4.8314007116938467E-3</v>
      </c>
      <c r="AF5">
        <v>0.63</v>
      </c>
      <c r="AG5">
        <v>0.05</v>
      </c>
      <c r="AH5" s="6">
        <v>0.68335978778729189</v>
      </c>
      <c r="AI5" s="6">
        <v>5.2216506850523953E-2</v>
      </c>
      <c r="AJ5">
        <v>2.12</v>
      </c>
      <c r="AK5">
        <v>0.18</v>
      </c>
      <c r="AL5" s="6">
        <v>2.1601980193916428</v>
      </c>
      <c r="AM5" s="6">
        <v>0.17185142934006609</v>
      </c>
      <c r="AN5">
        <v>0</v>
      </c>
      <c r="AO5">
        <v>0</v>
      </c>
      <c r="AP5" s="6">
        <v>0</v>
      </c>
      <c r="AQ5" s="6"/>
      <c r="AR5">
        <v>0.46999999999999992</v>
      </c>
      <c r="AS5">
        <v>0.02</v>
      </c>
      <c r="AT5" s="6">
        <v>0.47352471179794098</v>
      </c>
      <c r="AU5" s="6">
        <v>3.7032405743127363E-2</v>
      </c>
      <c r="AV5">
        <v>3.125E-2</v>
      </c>
      <c r="AW5">
        <v>1.593443597997745E-3</v>
      </c>
      <c r="AX5" s="5">
        <v>3.1236289126284119E-2</v>
      </c>
      <c r="AY5" s="5">
        <v>1.1267352512386701E-3</v>
      </c>
      <c r="AZ5">
        <v>3.125E-2</v>
      </c>
      <c r="BA5">
        <v>1.593443597997745E-3</v>
      </c>
      <c r="BB5" s="5">
        <v>3.1263710873715878E-2</v>
      </c>
      <c r="BC5" s="5">
        <v>1.1267352512386701E-3</v>
      </c>
      <c r="BD5">
        <v>100</v>
      </c>
      <c r="BE5">
        <v>100</v>
      </c>
    </row>
    <row r="6" spans="1:57" x14ac:dyDescent="0.25">
      <c r="A6">
        <v>5</v>
      </c>
      <c r="B6">
        <v>111.153484025889</v>
      </c>
      <c r="C6">
        <v>103.57840081173239</v>
      </c>
      <c r="D6">
        <v>-30.84</v>
      </c>
      <c r="E6">
        <v>0.85999999999999943</v>
      </c>
      <c r="F6" s="6">
        <v>-33.764970736727477</v>
      </c>
      <c r="G6" s="6">
        <v>3.603346409666786</v>
      </c>
      <c r="H6">
        <v>0.432</v>
      </c>
      <c r="I6">
        <v>9.9000000000000019E-2</v>
      </c>
      <c r="J6" s="6">
        <v>0.45527726270797692</v>
      </c>
      <c r="K6" s="6">
        <v>0.117454653558645</v>
      </c>
      <c r="L6">
        <v>21.12</v>
      </c>
      <c r="M6">
        <v>0.46999999999999892</v>
      </c>
      <c r="N6" s="6">
        <v>19.876080467174511</v>
      </c>
      <c r="O6" s="6">
        <v>2.129334310150151</v>
      </c>
      <c r="P6">
        <v>2.581</v>
      </c>
      <c r="Q6">
        <v>7.1000000000000174E-2</v>
      </c>
      <c r="R6" s="6">
        <v>2.7499516900801639</v>
      </c>
      <c r="S6" s="6">
        <v>0.32958078259892698</v>
      </c>
      <c r="T6">
        <v>3.097</v>
      </c>
      <c r="U6">
        <v>9.1000000000000192E-2</v>
      </c>
      <c r="V6" s="6">
        <v>3.2535572856502339</v>
      </c>
      <c r="W6" s="6">
        <v>0.40434056931546503</v>
      </c>
      <c r="X6">
        <v>7.0849999999999996E-2</v>
      </c>
      <c r="Y6">
        <v>1.0120000000000001E-2</v>
      </c>
      <c r="Z6" s="5">
        <v>7.4090296817319296E-2</v>
      </c>
      <c r="AA6" s="5">
        <v>1.4003852199758389E-2</v>
      </c>
      <c r="AB6">
        <v>0.04</v>
      </c>
      <c r="AC6">
        <v>1E-3</v>
      </c>
      <c r="AD6" s="5">
        <v>4.1714797851950911E-2</v>
      </c>
      <c r="AE6" s="5">
        <v>5.3059367256393514E-3</v>
      </c>
      <c r="AF6">
        <v>3.88</v>
      </c>
      <c r="AG6">
        <v>0.15</v>
      </c>
      <c r="AH6" s="6">
        <v>4.1707878915215959</v>
      </c>
      <c r="AI6" s="6">
        <v>0.31414352984097332</v>
      </c>
      <c r="AJ6">
        <v>6.28</v>
      </c>
      <c r="AK6">
        <v>0.43</v>
      </c>
      <c r="AL6" s="6">
        <v>6.4324973385745308</v>
      </c>
      <c r="AM6" s="6">
        <v>0.52863195192290924</v>
      </c>
      <c r="AN6">
        <v>0.217</v>
      </c>
      <c r="AO6">
        <v>1.0000000000000011E-2</v>
      </c>
      <c r="AP6" s="6">
        <v>0.2198269924662074</v>
      </c>
      <c r="AQ6" s="6">
        <v>3.6144106060189772E-2</v>
      </c>
      <c r="AR6">
        <v>1.43</v>
      </c>
      <c r="AS6">
        <v>0.08</v>
      </c>
      <c r="AT6" s="6">
        <v>1.3733581996866331</v>
      </c>
      <c r="AU6" s="6">
        <v>0.11884002172816389</v>
      </c>
      <c r="AV6">
        <v>3.125E-2</v>
      </c>
      <c r="AW6">
        <v>1.593443597997745E-3</v>
      </c>
      <c r="AX6" s="5">
        <v>3.121390161103681E-2</v>
      </c>
      <c r="AY6" s="5">
        <v>1.1267402332497849E-3</v>
      </c>
      <c r="AZ6">
        <v>3.125E-2</v>
      </c>
      <c r="BA6">
        <v>1.593443597997745E-3</v>
      </c>
      <c r="BB6" s="5">
        <v>3.1286098388963193E-2</v>
      </c>
      <c r="BC6" s="5">
        <v>1.1267402332497849E-3</v>
      </c>
      <c r="BD6">
        <v>100</v>
      </c>
      <c r="BE6">
        <v>100</v>
      </c>
    </row>
    <row r="7" spans="1:57" x14ac:dyDescent="0.25">
      <c r="A7">
        <v>6</v>
      </c>
      <c r="B7">
        <v>119.22828011767579</v>
      </c>
      <c r="C7">
        <v>115.7454859849387</v>
      </c>
      <c r="D7">
        <v>-20.041666666666671</v>
      </c>
      <c r="E7">
        <v>1.25</v>
      </c>
      <c r="F7" s="6">
        <v>-23.292475838794282</v>
      </c>
      <c r="G7" s="6">
        <v>3.1129558076746582</v>
      </c>
      <c r="H7">
        <v>-33.041666666666657</v>
      </c>
      <c r="I7">
        <v>3</v>
      </c>
      <c r="J7" s="6">
        <v>-35.939782155335237</v>
      </c>
      <c r="K7" s="6">
        <v>5.0614303795724016</v>
      </c>
      <c r="L7">
        <v>2.125</v>
      </c>
      <c r="M7">
        <v>0.16666666666666671</v>
      </c>
      <c r="N7" s="6">
        <v>2.2117209434291878</v>
      </c>
      <c r="O7" s="6">
        <v>0.38885106915989259</v>
      </c>
      <c r="P7">
        <v>9.0416666666666661</v>
      </c>
      <c r="Q7">
        <v>0.20833333333333329</v>
      </c>
      <c r="R7" s="6">
        <v>8.6307077939324994</v>
      </c>
      <c r="S7" s="6">
        <v>1.228306460996855</v>
      </c>
      <c r="T7">
        <v>1.083333333333333</v>
      </c>
      <c r="U7">
        <v>0.125</v>
      </c>
      <c r="V7" s="6">
        <v>1.115222218476432</v>
      </c>
      <c r="W7" s="6">
        <v>0.21947121229740979</v>
      </c>
      <c r="X7">
        <v>0</v>
      </c>
      <c r="Y7">
        <v>0</v>
      </c>
      <c r="Z7" s="5">
        <v>0</v>
      </c>
      <c r="AA7" s="5"/>
      <c r="AB7">
        <v>0.04</v>
      </c>
      <c r="AC7">
        <v>1E-3</v>
      </c>
      <c r="AD7" s="5">
        <v>4.1803824044097687E-2</v>
      </c>
      <c r="AE7" s="5">
        <v>6.6628345247875063E-3</v>
      </c>
      <c r="AF7">
        <v>4.46</v>
      </c>
      <c r="AG7">
        <v>0.41</v>
      </c>
      <c r="AH7" s="6">
        <v>4.1575568825577971</v>
      </c>
      <c r="AI7" s="6">
        <v>0.34656909077065379</v>
      </c>
      <c r="AJ7">
        <v>0.69</v>
      </c>
      <c r="AK7">
        <v>7.0000000000000007E-2</v>
      </c>
      <c r="AL7" s="6">
        <v>0.70029547107264933</v>
      </c>
      <c r="AM7" s="6">
        <v>0.1116589907743766</v>
      </c>
      <c r="AN7">
        <v>0</v>
      </c>
      <c r="AO7">
        <v>0</v>
      </c>
      <c r="AP7" s="6">
        <v>0</v>
      </c>
      <c r="AQ7" s="6"/>
      <c r="AR7">
        <v>0.46</v>
      </c>
      <c r="AS7">
        <v>0.04</v>
      </c>
      <c r="AT7" s="6">
        <v>0.43712781251524852</v>
      </c>
      <c r="AU7" s="6">
        <v>4.8078686505743318E-2</v>
      </c>
      <c r="AV7">
        <v>3.125E-2</v>
      </c>
      <c r="AW7">
        <v>1.593443597997745E-3</v>
      </c>
      <c r="AX7" s="5">
        <v>3.1147131966926731E-2</v>
      </c>
      <c r="AY7" s="5">
        <v>1.1267560375712879E-3</v>
      </c>
      <c r="AZ7">
        <v>3.125E-2</v>
      </c>
      <c r="BA7">
        <v>1.593443597997745E-3</v>
      </c>
      <c r="BB7" s="5">
        <v>3.1352868033073272E-2</v>
      </c>
      <c r="BC7" s="5">
        <v>1.1267560375712879E-3</v>
      </c>
      <c r="BD7">
        <v>100</v>
      </c>
      <c r="BE7">
        <v>100</v>
      </c>
    </row>
    <row r="8" spans="1:57" x14ac:dyDescent="0.25">
      <c r="A8">
        <v>7</v>
      </c>
      <c r="B8">
        <v>124.0424209498989</v>
      </c>
      <c r="C8">
        <v>115.21957930346269</v>
      </c>
      <c r="D8">
        <v>-20.59</v>
      </c>
      <c r="E8">
        <v>0.80000000000000071</v>
      </c>
      <c r="F8" s="6">
        <v>-24.779608826026291</v>
      </c>
      <c r="G8" s="6">
        <v>2.3411438119023749</v>
      </c>
      <c r="H8">
        <v>-29.61</v>
      </c>
      <c r="I8">
        <v>1.6900000000000011</v>
      </c>
      <c r="J8" s="6">
        <v>-30.22286885099475</v>
      </c>
      <c r="K8" s="6">
        <v>3.1152293568631899</v>
      </c>
      <c r="L8">
        <v>4.4240000000000004</v>
      </c>
      <c r="M8">
        <v>6.6999999999999282E-2</v>
      </c>
      <c r="N8" s="6">
        <v>4.5703886547076671</v>
      </c>
      <c r="O8" s="6">
        <v>0.4841668448403999</v>
      </c>
      <c r="P8">
        <v>7.8949999999999996</v>
      </c>
      <c r="Q8">
        <v>0.49600000000000039</v>
      </c>
      <c r="R8" s="6">
        <v>7.3879044198362953</v>
      </c>
      <c r="S8" s="6">
        <v>0.76880589645300368</v>
      </c>
      <c r="T8">
        <v>1.903</v>
      </c>
      <c r="U8">
        <v>0.16199999999999989</v>
      </c>
      <c r="V8" s="6">
        <v>1.9176577271196671</v>
      </c>
      <c r="W8" s="6">
        <v>0.26346013135753532</v>
      </c>
      <c r="X8">
        <v>0</v>
      </c>
      <c r="Y8">
        <v>0</v>
      </c>
      <c r="Z8" s="5">
        <v>0</v>
      </c>
      <c r="AA8" s="5"/>
      <c r="AB8">
        <v>0.04</v>
      </c>
      <c r="AC8">
        <v>1E-3</v>
      </c>
      <c r="AD8" s="5">
        <v>4.2045902534570433E-2</v>
      </c>
      <c r="AE8" s="5">
        <v>4.5373631534081308E-3</v>
      </c>
      <c r="AF8">
        <v>11.55</v>
      </c>
      <c r="AG8">
        <v>0.41</v>
      </c>
      <c r="AH8" s="6">
        <v>11.084949698213141</v>
      </c>
      <c r="AI8" s="6">
        <v>0.73485069904038824</v>
      </c>
      <c r="AJ8">
        <v>3.84</v>
      </c>
      <c r="AK8">
        <v>0.33</v>
      </c>
      <c r="AL8" s="6">
        <v>3.7506943223256348</v>
      </c>
      <c r="AM8" s="6">
        <v>0.41834420094474861</v>
      </c>
      <c r="AN8">
        <v>0</v>
      </c>
      <c r="AO8">
        <v>0</v>
      </c>
      <c r="AP8" s="6">
        <v>0</v>
      </c>
      <c r="AQ8" s="6"/>
      <c r="AR8">
        <v>1.45</v>
      </c>
      <c r="AS8">
        <v>0.04</v>
      </c>
      <c r="AT8" s="6">
        <v>1.3694203571857131</v>
      </c>
      <c r="AU8" s="6">
        <v>9.8856549073502692E-2</v>
      </c>
      <c r="AV8">
        <v>3.125E-2</v>
      </c>
      <c r="AW8">
        <v>1.593443597997745E-3</v>
      </c>
      <c r="AX8" s="5">
        <v>3.0965573099072181E-2</v>
      </c>
      <c r="AY8" s="5">
        <v>1.1268198925626111E-3</v>
      </c>
      <c r="AZ8">
        <v>3.125E-2</v>
      </c>
      <c r="BA8">
        <v>1.593443597997745E-3</v>
      </c>
      <c r="BB8" s="5">
        <v>3.1534426900927823E-2</v>
      </c>
      <c r="BC8" s="5">
        <v>1.1268198925626111E-3</v>
      </c>
      <c r="BD8">
        <v>100</v>
      </c>
      <c r="BE8">
        <v>100</v>
      </c>
    </row>
    <row r="9" spans="1:57" s="18" customFormat="1" x14ac:dyDescent="0.25">
      <c r="A9" s="18">
        <v>8</v>
      </c>
      <c r="B9" s="18">
        <v>125.8848123057661</v>
      </c>
      <c r="C9" s="18">
        <v>112.8737734066201</v>
      </c>
      <c r="D9" s="18">
        <v>-19.3</v>
      </c>
      <c r="E9" s="18">
        <v>0.96500000000000008</v>
      </c>
      <c r="F9" s="16">
        <v>-21.798680113660819</v>
      </c>
      <c r="G9" s="16">
        <v>2.3352546070398938</v>
      </c>
      <c r="H9" s="18">
        <v>-13</v>
      </c>
      <c r="I9" s="18">
        <v>0.65000000000000013</v>
      </c>
      <c r="J9" s="16">
        <v>-12.972670111236219</v>
      </c>
      <c r="K9" s="16">
        <v>1.5229325513702769</v>
      </c>
      <c r="L9" s="18">
        <v>5.7000000000000011</v>
      </c>
      <c r="M9" s="18">
        <v>0.28499999999999998</v>
      </c>
      <c r="N9" s="16">
        <v>5.5184686630220998</v>
      </c>
      <c r="O9" s="16">
        <v>0.70318634360817023</v>
      </c>
      <c r="P9" s="18">
        <v>1.2</v>
      </c>
      <c r="Q9" s="18">
        <v>0.06</v>
      </c>
      <c r="R9" s="16">
        <v>1.196884119913572</v>
      </c>
      <c r="S9" s="16">
        <v>0.1558110280755711</v>
      </c>
      <c r="T9" s="18">
        <v>6.6</v>
      </c>
      <c r="U9" s="18">
        <v>0.33</v>
      </c>
      <c r="V9" s="16">
        <v>6.1813844545410319</v>
      </c>
      <c r="W9" s="16">
        <v>0.71961557806337983</v>
      </c>
      <c r="X9" s="18">
        <v>0</v>
      </c>
      <c r="Y9" s="18">
        <v>0</v>
      </c>
      <c r="Z9" s="34">
        <v>0</v>
      </c>
      <c r="AA9" s="34"/>
      <c r="AB9" s="18">
        <v>0.04</v>
      </c>
      <c r="AC9" s="18">
        <v>1E-3</v>
      </c>
      <c r="AD9" s="34">
        <v>4.0087870878503219E-2</v>
      </c>
      <c r="AE9" s="34">
        <v>4.9737461279569456E-3</v>
      </c>
      <c r="AF9" s="18">
        <v>0.57520000000000004</v>
      </c>
      <c r="AG9" s="18">
        <v>2.8760000000000001E-2</v>
      </c>
      <c r="AH9" s="16">
        <v>0.61371226617796637</v>
      </c>
      <c r="AI9" s="16">
        <v>5.7499280296497868E-2</v>
      </c>
      <c r="AJ9" s="18">
        <v>4.2686000000000002</v>
      </c>
      <c r="AK9" s="18">
        <v>0.21343000000000001</v>
      </c>
      <c r="AL9" s="16">
        <v>4.1316789931560667</v>
      </c>
      <c r="AM9" s="16">
        <v>0.30316040603776861</v>
      </c>
      <c r="AN9" s="18">
        <v>0</v>
      </c>
      <c r="AO9" s="18">
        <v>0</v>
      </c>
      <c r="AP9" s="16">
        <v>0</v>
      </c>
      <c r="AQ9" s="16"/>
      <c r="AR9" s="18">
        <v>0.45</v>
      </c>
      <c r="AS9" s="18">
        <v>2.2499999999999999E-2</v>
      </c>
      <c r="AT9" s="16">
        <v>0.44619667681135761</v>
      </c>
      <c r="AU9" s="16">
        <v>3.7925812685313247E-2</v>
      </c>
      <c r="AV9" s="18">
        <v>0.03</v>
      </c>
      <c r="AW9" s="18">
        <v>1.6770509831248431E-3</v>
      </c>
      <c r="AX9" s="34">
        <v>2.9934096841122589E-2</v>
      </c>
      <c r="AY9" s="34">
        <v>1.1858601048209899E-3</v>
      </c>
      <c r="AZ9" s="18">
        <v>0.03</v>
      </c>
      <c r="BA9" s="18">
        <v>1.6770509831248431E-3</v>
      </c>
      <c r="BB9" s="34">
        <v>3.0065903158877409E-2</v>
      </c>
      <c r="BC9" s="34">
        <v>1.1858601048209899E-3</v>
      </c>
      <c r="BD9" s="18">
        <v>99.999999999999986</v>
      </c>
      <c r="BE9" s="18">
        <v>99.999999999999986</v>
      </c>
    </row>
    <row r="10" spans="1:57" s="18" customFormat="1" x14ac:dyDescent="0.25">
      <c r="A10" s="18">
        <v>9</v>
      </c>
      <c r="B10" s="18">
        <v>126.93176750853689</v>
      </c>
      <c r="C10" s="18">
        <v>112.97779937815829</v>
      </c>
      <c r="D10" s="18">
        <v>-18.3</v>
      </c>
      <c r="E10" s="18">
        <v>0.91500000000000004</v>
      </c>
      <c r="F10" s="16">
        <v>-20.762369792984909</v>
      </c>
      <c r="G10" s="16">
        <v>2.2236697887760299</v>
      </c>
      <c r="H10" s="18">
        <v>-12.2</v>
      </c>
      <c r="I10" s="18">
        <v>0.61</v>
      </c>
      <c r="J10" s="16">
        <v>-12.163267032518929</v>
      </c>
      <c r="K10" s="16">
        <v>1.4311864940653609</v>
      </c>
      <c r="L10" s="18">
        <v>5.6</v>
      </c>
      <c r="M10" s="18">
        <v>0.28000000000000003</v>
      </c>
      <c r="N10" s="16">
        <v>5.4050854423729886</v>
      </c>
      <c r="O10" s="16">
        <v>0.68754584447641698</v>
      </c>
      <c r="P10" s="18">
        <v>1.2</v>
      </c>
      <c r="Q10" s="18">
        <v>0.06</v>
      </c>
      <c r="R10" s="16">
        <v>1.1969663076225661</v>
      </c>
      <c r="S10" s="16">
        <v>0.15558548147508919</v>
      </c>
      <c r="T10" s="18">
        <v>6.1</v>
      </c>
      <c r="U10" s="18">
        <v>0.30499999999999999</v>
      </c>
      <c r="V10" s="16">
        <v>5.7197404886619738</v>
      </c>
      <c r="W10" s="16">
        <v>0.66875299207722083</v>
      </c>
      <c r="X10" s="18">
        <v>0</v>
      </c>
      <c r="Y10" s="18">
        <v>0</v>
      </c>
      <c r="Z10" s="34">
        <v>0</v>
      </c>
      <c r="AA10" s="34"/>
      <c r="AB10" s="18">
        <v>0.04</v>
      </c>
      <c r="AC10" s="18">
        <v>1E-3</v>
      </c>
      <c r="AD10" s="34">
        <v>4.0093039644107133E-2</v>
      </c>
      <c r="AE10" s="34">
        <v>4.9748531087634267E-3</v>
      </c>
      <c r="AF10" s="18">
        <v>0.65739999999999998</v>
      </c>
      <c r="AG10" s="18">
        <v>3.2870000000000003E-2</v>
      </c>
      <c r="AH10" s="16">
        <v>0.69507188323255875</v>
      </c>
      <c r="AI10" s="16">
        <v>6.492508386950567E-2</v>
      </c>
      <c r="AJ10" s="18">
        <v>4.4542999999999999</v>
      </c>
      <c r="AK10" s="18">
        <v>0.222715</v>
      </c>
      <c r="AL10" s="16">
        <v>4.3296444890863208</v>
      </c>
      <c r="AM10" s="16">
        <v>0.32108632869427173</v>
      </c>
      <c r="AN10" s="18">
        <v>0</v>
      </c>
      <c r="AO10" s="18">
        <v>0</v>
      </c>
      <c r="AP10" s="16">
        <v>0</v>
      </c>
      <c r="AQ10" s="16"/>
      <c r="AR10" s="18">
        <v>0.51</v>
      </c>
      <c r="AS10" s="18">
        <v>2.5499999999999998E-2</v>
      </c>
      <c r="AT10" s="16">
        <v>0.50537926589695625</v>
      </c>
      <c r="AU10" s="16">
        <v>4.2959903786735087E-2</v>
      </c>
      <c r="AV10" s="18">
        <v>0.03</v>
      </c>
      <c r="AW10" s="18">
        <v>1.6770509831248431E-3</v>
      </c>
      <c r="AX10" s="34">
        <v>2.993022026691966E-2</v>
      </c>
      <c r="AY10" s="34">
        <v>1.185860862613664E-3</v>
      </c>
      <c r="AZ10" s="18">
        <v>0.03</v>
      </c>
      <c r="BA10" s="18">
        <v>1.6770509831248431E-3</v>
      </c>
      <c r="BB10" s="34">
        <v>3.0069779733080341E-2</v>
      </c>
      <c r="BC10" s="34">
        <v>1.185860862613664E-3</v>
      </c>
      <c r="BD10" s="18">
        <v>99.999999999999986</v>
      </c>
      <c r="BE10" s="18">
        <v>99.999999999999972</v>
      </c>
    </row>
    <row r="11" spans="1:57" s="18" customFormat="1" x14ac:dyDescent="0.25">
      <c r="A11" s="18">
        <v>10</v>
      </c>
      <c r="B11" s="18">
        <v>106.66877027411439</v>
      </c>
      <c r="C11" s="18">
        <v>104.4965736127716</v>
      </c>
      <c r="D11" s="18">
        <v>-24.6</v>
      </c>
      <c r="E11" s="18">
        <v>1.23</v>
      </c>
      <c r="F11" s="16">
        <v>-25.500866967347271</v>
      </c>
      <c r="G11" s="16">
        <v>2.7225782724198782</v>
      </c>
      <c r="H11" s="18">
        <v>-12.5</v>
      </c>
      <c r="I11" s="18">
        <v>0.625</v>
      </c>
      <c r="J11" s="16">
        <v>-12.77273806400034</v>
      </c>
      <c r="K11" s="16">
        <v>1.52914395153503</v>
      </c>
      <c r="L11" s="18">
        <v>8.6999999999999993</v>
      </c>
      <c r="M11" s="18">
        <v>0.435</v>
      </c>
      <c r="N11" s="16">
        <v>8.7620206576158104</v>
      </c>
      <c r="O11" s="16">
        <v>1.06904083298726</v>
      </c>
      <c r="P11" s="18">
        <v>2.5</v>
      </c>
      <c r="Q11" s="18">
        <v>0.125</v>
      </c>
      <c r="R11" s="16">
        <v>2.474509017137009</v>
      </c>
      <c r="S11" s="16">
        <v>0.3089744323583159</v>
      </c>
      <c r="T11" s="18">
        <v>5.2000000000000011</v>
      </c>
      <c r="U11" s="18">
        <v>0.26</v>
      </c>
      <c r="V11" s="16">
        <v>5.1109248393714939</v>
      </c>
      <c r="W11" s="16">
        <v>0.62438330215520066</v>
      </c>
      <c r="X11" s="18">
        <v>0.01</v>
      </c>
      <c r="Y11" s="18">
        <v>5.0000000000000001E-4</v>
      </c>
      <c r="Z11" s="34">
        <v>1.007235897023397E-2</v>
      </c>
      <c r="AA11" s="34">
        <v>1.32009570970333E-3</v>
      </c>
      <c r="AB11" s="18">
        <v>0.04</v>
      </c>
      <c r="AC11" s="18">
        <v>1E-3</v>
      </c>
      <c r="AD11" s="34">
        <v>4.0193501821529802E-2</v>
      </c>
      <c r="AE11" s="34">
        <v>4.9721257624669828E-3</v>
      </c>
      <c r="AF11" s="18">
        <v>2.9157000000000002</v>
      </c>
      <c r="AG11" s="18">
        <v>0.145785</v>
      </c>
      <c r="AH11" s="16">
        <v>3.0969804230567242</v>
      </c>
      <c r="AI11" s="16">
        <v>0.2675459080848725</v>
      </c>
      <c r="AJ11" s="18">
        <v>8.0287000000000006</v>
      </c>
      <c r="AK11" s="18">
        <v>0.40143499999999999</v>
      </c>
      <c r="AL11" s="16">
        <v>8.3382906893132311</v>
      </c>
      <c r="AM11" s="16">
        <v>0.68744075188717291</v>
      </c>
      <c r="AN11" s="18">
        <v>2.9829999999999999E-2</v>
      </c>
      <c r="AO11" s="18">
        <v>1.4915E-3</v>
      </c>
      <c r="AP11" s="16">
        <v>2.466080553399827E-2</v>
      </c>
      <c r="AQ11" s="16">
        <v>2.3459416882674962E-3</v>
      </c>
      <c r="AR11" s="18">
        <v>1.1000000000000001</v>
      </c>
      <c r="AS11" s="18">
        <v>5.5000000000000007E-2</v>
      </c>
      <c r="AT11" s="16">
        <v>1.0919579298533839</v>
      </c>
      <c r="AU11" s="16">
        <v>9.2496086443851974E-2</v>
      </c>
      <c r="AV11" s="18">
        <v>0.03</v>
      </c>
      <c r="AW11" s="18">
        <v>1.6770509831248431E-3</v>
      </c>
      <c r="AX11" s="34">
        <v>2.9854873633852651E-2</v>
      </c>
      <c r="AY11" s="34">
        <v>1.185885092682606E-3</v>
      </c>
      <c r="AZ11" s="18">
        <v>0.03</v>
      </c>
      <c r="BA11" s="18">
        <v>1.6770509831248431E-3</v>
      </c>
      <c r="BB11" s="34">
        <v>3.014512636614735E-2</v>
      </c>
      <c r="BC11" s="34">
        <v>1.185885092682606E-3</v>
      </c>
      <c r="BD11" s="18">
        <v>99.999999999999986</v>
      </c>
      <c r="BE11" s="18">
        <v>100</v>
      </c>
    </row>
    <row r="12" spans="1:57" s="18" customFormat="1" x14ac:dyDescent="0.25">
      <c r="A12" s="18">
        <v>11</v>
      </c>
      <c r="B12" s="18">
        <v>94.547243174247001</v>
      </c>
      <c r="C12" s="18">
        <v>97.604165854984657</v>
      </c>
      <c r="D12" s="18">
        <v>-31.6</v>
      </c>
      <c r="E12" s="18">
        <v>1.58</v>
      </c>
      <c r="F12" s="16">
        <v>-30.943496260744858</v>
      </c>
      <c r="G12" s="16">
        <v>3.3085016684124851</v>
      </c>
      <c r="H12" s="18">
        <v>-12.3</v>
      </c>
      <c r="I12" s="18">
        <v>0.6150000000000001</v>
      </c>
      <c r="J12" s="16">
        <v>-12.346556941759729</v>
      </c>
      <c r="K12" s="16">
        <v>1.526334939931643</v>
      </c>
      <c r="L12" s="18">
        <v>12.9</v>
      </c>
      <c r="M12" s="18">
        <v>0.64500000000000002</v>
      </c>
      <c r="N12" s="16">
        <v>13.081615484562249</v>
      </c>
      <c r="O12" s="16">
        <v>1.547344355405744</v>
      </c>
      <c r="P12" s="18">
        <v>3.7</v>
      </c>
      <c r="Q12" s="18">
        <v>0.185</v>
      </c>
      <c r="R12" s="16">
        <v>3.7392228204097799</v>
      </c>
      <c r="S12" s="16">
        <v>0.44402621971841999</v>
      </c>
      <c r="T12" s="18">
        <v>4.2</v>
      </c>
      <c r="U12" s="18">
        <v>0.21</v>
      </c>
      <c r="V12" s="16">
        <v>4.2467829097593519</v>
      </c>
      <c r="W12" s="16">
        <v>0.5337898936855906</v>
      </c>
      <c r="X12" s="18">
        <v>0.09</v>
      </c>
      <c r="Y12" s="18">
        <v>4.4999999999999997E-3</v>
      </c>
      <c r="Z12" s="34">
        <v>9.0411013569289309E-2</v>
      </c>
      <c r="AA12" s="34">
        <v>1.183363035915695E-2</v>
      </c>
      <c r="AB12" s="18">
        <v>0.04</v>
      </c>
      <c r="AC12" s="18">
        <v>1E-3</v>
      </c>
      <c r="AD12" s="34">
        <v>4.0207606631832808E-2</v>
      </c>
      <c r="AE12" s="34">
        <v>4.9630872556909672E-3</v>
      </c>
      <c r="AF12" s="18">
        <v>5.2125000000000004</v>
      </c>
      <c r="AG12" s="18">
        <v>0.26062500000000011</v>
      </c>
      <c r="AH12" s="16">
        <v>5.6311804826064611</v>
      </c>
      <c r="AI12" s="16">
        <v>0.43641167125645691</v>
      </c>
      <c r="AJ12" s="18">
        <v>7.9669999999999996</v>
      </c>
      <c r="AK12" s="18">
        <v>0.39834999999999998</v>
      </c>
      <c r="AL12" s="16">
        <v>8.336932401918876</v>
      </c>
      <c r="AM12" s="16">
        <v>0.73173568548827528</v>
      </c>
      <c r="AN12" s="18">
        <v>0.27929999999999999</v>
      </c>
      <c r="AO12" s="18">
        <v>1.3965E-2</v>
      </c>
      <c r="AP12" s="16">
        <v>0.26635820735779309</v>
      </c>
      <c r="AQ12" s="16">
        <v>2.531998595796919E-2</v>
      </c>
      <c r="AR12" s="18">
        <v>1.32</v>
      </c>
      <c r="AS12" s="18">
        <v>6.6000000000000003E-2</v>
      </c>
      <c r="AT12" s="16">
        <v>1.3143982300813639</v>
      </c>
      <c r="AU12" s="16">
        <v>0.1110767059568252</v>
      </c>
      <c r="AV12" s="18">
        <v>0.03</v>
      </c>
      <c r="AW12" s="18">
        <v>1.6770509831248431E-3</v>
      </c>
      <c r="AX12" s="34">
        <v>2.98442950261254E-2</v>
      </c>
      <c r="AY12" s="34">
        <v>1.185893991720032E-3</v>
      </c>
      <c r="AZ12" s="18">
        <v>0.03</v>
      </c>
      <c r="BA12" s="18">
        <v>1.6770509831248431E-3</v>
      </c>
      <c r="BB12" s="34">
        <v>3.0155704973874611E-2</v>
      </c>
      <c r="BC12" s="34">
        <v>1.185893991720032E-3</v>
      </c>
      <c r="BD12" s="18">
        <v>100</v>
      </c>
      <c r="BE12" s="18">
        <v>100</v>
      </c>
    </row>
    <row r="13" spans="1:57" s="18" customFormat="1" x14ac:dyDescent="0.25">
      <c r="A13" s="18">
        <v>12</v>
      </c>
      <c r="B13" s="18">
        <v>99.312267089564301</v>
      </c>
      <c r="C13" s="18">
        <v>102.7937440640834</v>
      </c>
      <c r="D13" s="18">
        <v>-29.6</v>
      </c>
      <c r="E13" s="18">
        <v>1.48</v>
      </c>
      <c r="F13" s="16">
        <v>-29.67221348072832</v>
      </c>
      <c r="G13" s="16">
        <v>3.1745515352184879</v>
      </c>
      <c r="H13" s="18">
        <v>-11.5</v>
      </c>
      <c r="I13" s="18">
        <v>0.57500000000000007</v>
      </c>
      <c r="J13" s="16">
        <v>-11.87749745727141</v>
      </c>
      <c r="K13" s="16">
        <v>1.4625663443930861</v>
      </c>
      <c r="L13" s="18">
        <v>12.2</v>
      </c>
      <c r="M13" s="18">
        <v>0.61</v>
      </c>
      <c r="N13" s="16">
        <v>12.64482781372962</v>
      </c>
      <c r="O13" s="16">
        <v>1.4910437872496209</v>
      </c>
      <c r="P13" s="18">
        <v>3.8</v>
      </c>
      <c r="Q13" s="18">
        <v>0.19</v>
      </c>
      <c r="R13" s="16">
        <v>3.7033664240020299</v>
      </c>
      <c r="S13" s="16">
        <v>0.44034311853492869</v>
      </c>
      <c r="T13" s="18">
        <v>3.899999999999999</v>
      </c>
      <c r="U13" s="18">
        <v>0.19500000000000001</v>
      </c>
      <c r="V13" s="16">
        <v>3.8651537946936192</v>
      </c>
      <c r="W13" s="16">
        <v>0.49239655681269501</v>
      </c>
      <c r="X13" s="18">
        <v>0.09</v>
      </c>
      <c r="Y13" s="18">
        <v>4.4999999999999997E-3</v>
      </c>
      <c r="Z13" s="34">
        <v>9.0531087227345305E-2</v>
      </c>
      <c r="AA13" s="34">
        <v>1.186883441534713E-2</v>
      </c>
      <c r="AB13" s="18">
        <v>0.04</v>
      </c>
      <c r="AC13" s="18">
        <v>1E-3</v>
      </c>
      <c r="AD13" s="34">
        <v>4.0207491371164757E-2</v>
      </c>
      <c r="AE13" s="34">
        <v>4.9735046756338823E-3</v>
      </c>
      <c r="AF13" s="18">
        <v>5.6826999999999996</v>
      </c>
      <c r="AG13" s="18">
        <v>0.28413500000000003</v>
      </c>
      <c r="AH13" s="16">
        <v>5.8976691663550307</v>
      </c>
      <c r="AI13" s="16">
        <v>0.45724805278101649</v>
      </c>
      <c r="AJ13" s="18">
        <v>7.7744299999999988</v>
      </c>
      <c r="AK13" s="18">
        <v>0.3887215</v>
      </c>
      <c r="AL13" s="16">
        <v>8.0237727311334233</v>
      </c>
      <c r="AM13" s="16">
        <v>0.72223259512743354</v>
      </c>
      <c r="AN13" s="18">
        <v>0.2707</v>
      </c>
      <c r="AO13" s="18">
        <v>1.3535E-2</v>
      </c>
      <c r="AP13" s="16">
        <v>0.28203830893431581</v>
      </c>
      <c r="AQ13" s="16">
        <v>2.6846620598007621E-2</v>
      </c>
      <c r="AR13" s="18">
        <v>1.4</v>
      </c>
      <c r="AS13" s="18">
        <v>6.9999999999999993E-2</v>
      </c>
      <c r="AT13" s="16">
        <v>1.3899249195368539</v>
      </c>
      <c r="AU13" s="16">
        <v>0.1177226630673987</v>
      </c>
      <c r="AV13" s="18">
        <v>0.03</v>
      </c>
      <c r="AW13" s="18">
        <v>1.6770509831248431E-3</v>
      </c>
      <c r="AX13" s="34">
        <v>2.9844381471626429E-2</v>
      </c>
      <c r="AY13" s="34">
        <v>1.1858933384694241E-3</v>
      </c>
      <c r="AZ13" s="18">
        <v>0.03</v>
      </c>
      <c r="BA13" s="18">
        <v>1.6770509831248431E-3</v>
      </c>
      <c r="BB13" s="34">
        <v>3.0155618528373569E-2</v>
      </c>
      <c r="BC13" s="34">
        <v>1.1858933384694249E-3</v>
      </c>
      <c r="BD13" s="18">
        <v>100</v>
      </c>
      <c r="BE13" s="18">
        <v>99.999999999999986</v>
      </c>
    </row>
    <row r="14" spans="1:57" x14ac:dyDescent="0.25">
      <c r="A14">
        <v>13</v>
      </c>
      <c r="B14">
        <v>121.53000752351539</v>
      </c>
      <c r="C14">
        <v>111.0143565674926</v>
      </c>
      <c r="D14">
        <v>-31.61</v>
      </c>
      <c r="E14">
        <v>1.340000000000003</v>
      </c>
      <c r="F14" s="6">
        <v>-34.893457935396818</v>
      </c>
      <c r="G14" s="6">
        <v>3.478220665203529</v>
      </c>
      <c r="H14">
        <v>0.28000000000000003</v>
      </c>
      <c r="I14">
        <v>6.9999999999999951E-2</v>
      </c>
      <c r="J14" s="6">
        <v>0.28242831392031248</v>
      </c>
      <c r="K14" s="6">
        <v>7.6599180009473314E-2</v>
      </c>
      <c r="L14">
        <v>23.72</v>
      </c>
      <c r="M14">
        <v>1.4200000000000019</v>
      </c>
      <c r="N14" s="6">
        <v>20.306117273777382</v>
      </c>
      <c r="O14" s="6">
        <v>2.0572202696191368</v>
      </c>
      <c r="P14">
        <v>2.6960000000000002</v>
      </c>
      <c r="Q14">
        <v>0.34799999999999992</v>
      </c>
      <c r="R14" s="6">
        <v>2.7038741228864769</v>
      </c>
      <c r="S14" s="6">
        <v>0.36475061124961389</v>
      </c>
      <c r="T14">
        <v>3.6960000000000002</v>
      </c>
      <c r="U14">
        <v>0.2889999999999997</v>
      </c>
      <c r="V14" s="6">
        <v>3.6323809056445571</v>
      </c>
      <c r="W14" s="6">
        <v>0.46678591374881451</v>
      </c>
      <c r="X14">
        <v>7.4069999999999997E-2</v>
      </c>
      <c r="Y14">
        <v>1.6560000000000009E-2</v>
      </c>
      <c r="Z14" s="5">
        <v>7.4247047417114673E-2</v>
      </c>
      <c r="AA14" s="5">
        <v>1.844547238489351E-2</v>
      </c>
      <c r="AB14">
        <v>4.2500000000000003E-2</v>
      </c>
      <c r="AC14">
        <v>4.1666666666666669E-4</v>
      </c>
      <c r="AD14" s="5">
        <v>4.2565433935727322E-2</v>
      </c>
      <c r="AE14" s="5">
        <v>4.6394661455026569E-3</v>
      </c>
      <c r="AF14">
        <v>4.2649999999999997</v>
      </c>
      <c r="AG14">
        <v>0.38500000000000068</v>
      </c>
      <c r="AH14" s="6">
        <v>4.6071731143339676</v>
      </c>
      <c r="AI14" s="6">
        <v>0.49737812445311042</v>
      </c>
      <c r="AJ14">
        <v>8.1150000000000002</v>
      </c>
      <c r="AK14">
        <v>0.7889999999999997</v>
      </c>
      <c r="AL14" s="6">
        <v>8.068031098171474</v>
      </c>
      <c r="AM14" s="6">
        <v>0.80563210368847604</v>
      </c>
      <c r="AN14">
        <v>0.25669999999999998</v>
      </c>
      <c r="AO14">
        <v>4.930000000000001E-2</v>
      </c>
      <c r="AP14" s="6">
        <v>0.2474878560115602</v>
      </c>
      <c r="AQ14" s="6">
        <v>5.8133998735464203E-2</v>
      </c>
      <c r="AR14">
        <v>1.58</v>
      </c>
      <c r="AS14">
        <v>0.06</v>
      </c>
      <c r="AT14" s="6">
        <v>1.5743662413358701</v>
      </c>
      <c r="AU14" s="6">
        <v>0.1150163197247067</v>
      </c>
      <c r="AV14">
        <v>3.1875000000000001E-2</v>
      </c>
      <c r="AW14">
        <v>1.624098307523286E-3</v>
      </c>
      <c r="AX14" s="5">
        <v>3.1825924548204508E-2</v>
      </c>
      <c r="AY14" s="5">
        <v>1.1484246257135291E-3</v>
      </c>
      <c r="AZ14">
        <v>3.1875000000000001E-2</v>
      </c>
      <c r="BA14">
        <v>1.624098307523286E-3</v>
      </c>
      <c r="BB14" s="5">
        <v>3.1924075451795493E-2</v>
      </c>
      <c r="BC14" s="5">
        <v>1.1484246257135291E-3</v>
      </c>
      <c r="BD14">
        <v>100</v>
      </c>
      <c r="BE14">
        <v>99.999999999999972</v>
      </c>
    </row>
    <row r="15" spans="1:57" x14ac:dyDescent="0.25">
      <c r="A15">
        <v>14</v>
      </c>
      <c r="B15">
        <v>107.6108963445611</v>
      </c>
      <c r="C15">
        <v>88.00456782248169</v>
      </c>
      <c r="D15">
        <v>-56.11</v>
      </c>
      <c r="E15">
        <v>1.0600000000000021</v>
      </c>
      <c r="F15" s="6">
        <v>-55.065456153628347</v>
      </c>
      <c r="G15" s="6">
        <v>5.0620566283930399</v>
      </c>
      <c r="H15">
        <v>0.21</v>
      </c>
      <c r="I15">
        <v>0.18</v>
      </c>
      <c r="J15" s="6">
        <v>0.25132117235168783</v>
      </c>
      <c r="K15" s="6">
        <v>0.17896141465643789</v>
      </c>
      <c r="L15">
        <v>40.409999999999997</v>
      </c>
      <c r="M15">
        <v>1</v>
      </c>
      <c r="N15" s="6">
        <v>33.134776172200169</v>
      </c>
      <c r="O15" s="6">
        <v>3.0733795476496182</v>
      </c>
      <c r="P15">
        <v>4.4960000000000004</v>
      </c>
      <c r="Q15">
        <v>0.33399999999999958</v>
      </c>
      <c r="R15" s="6">
        <v>5.332134776417206</v>
      </c>
      <c r="S15" s="6">
        <v>0.54217881950308855</v>
      </c>
      <c r="T15">
        <v>3.4670000000000001</v>
      </c>
      <c r="U15">
        <v>0.1549999999999998</v>
      </c>
      <c r="V15" s="6">
        <v>3.5747011955214711</v>
      </c>
      <c r="W15" s="6">
        <v>0.38145119676036898</v>
      </c>
      <c r="X15">
        <v>0.2074</v>
      </c>
      <c r="Y15">
        <v>4.4500000000000012E-2</v>
      </c>
      <c r="Z15" s="5">
        <v>0.22486966381953671</v>
      </c>
      <c r="AA15" s="5">
        <v>4.8722161080533011E-2</v>
      </c>
      <c r="AB15">
        <v>8.458333333333333E-2</v>
      </c>
      <c r="AC15">
        <v>2.5000000000000001E-3</v>
      </c>
      <c r="AD15" s="5">
        <v>8.4653198047594108E-2</v>
      </c>
      <c r="AE15" s="5">
        <v>8.7841755705070409E-3</v>
      </c>
      <c r="AF15">
        <v>3.7909999999999999</v>
      </c>
      <c r="AG15">
        <v>0.29599999999999982</v>
      </c>
      <c r="AH15" s="6">
        <v>4.8490808365058751</v>
      </c>
      <c r="AI15" s="6">
        <v>0.32699341270221449</v>
      </c>
      <c r="AJ15">
        <v>4.0179999999999998</v>
      </c>
      <c r="AK15">
        <v>0.12800000000000011</v>
      </c>
      <c r="AL15" s="6">
        <v>4.2376605867716064</v>
      </c>
      <c r="AM15" s="6">
        <v>0.31697505112652491</v>
      </c>
      <c r="AN15">
        <v>0.39489999999999992</v>
      </c>
      <c r="AO15">
        <v>5.9200000000000023E-2</v>
      </c>
      <c r="AP15" s="6">
        <v>0.40005142378529812</v>
      </c>
      <c r="AQ15" s="6">
        <v>8.1155705773646669E-2</v>
      </c>
      <c r="AR15">
        <v>1.65</v>
      </c>
      <c r="AS15">
        <v>0.01</v>
      </c>
      <c r="AT15" s="6">
        <v>1.6710995309760039</v>
      </c>
      <c r="AU15" s="6">
        <v>0.11787786146818111</v>
      </c>
      <c r="AV15">
        <v>6.3437499999999994E-2</v>
      </c>
      <c r="AW15">
        <v>3.6846188426518421E-3</v>
      </c>
      <c r="AX15" s="5">
        <v>6.33851014643044E-2</v>
      </c>
      <c r="AY15" s="5">
        <v>2.605423250482331E-3</v>
      </c>
      <c r="AZ15">
        <v>6.3437499999999994E-2</v>
      </c>
      <c r="BA15">
        <v>3.6846188426518421E-3</v>
      </c>
      <c r="BB15" s="5">
        <v>6.3489898535695588E-2</v>
      </c>
      <c r="BC15" s="5">
        <v>2.605423250482331E-3</v>
      </c>
      <c r="BD15">
        <v>100</v>
      </c>
      <c r="BE15">
        <v>100</v>
      </c>
    </row>
    <row r="16" spans="1:57" x14ac:dyDescent="0.25">
      <c r="A16">
        <v>15</v>
      </c>
      <c r="B16">
        <v>101.46076810564369</v>
      </c>
      <c r="C16">
        <v>96.239073033288676</v>
      </c>
      <c r="D16">
        <v>-69.53</v>
      </c>
      <c r="E16">
        <v>1.069999999999993</v>
      </c>
      <c r="F16" s="6">
        <v>-69.452506978843189</v>
      </c>
      <c r="G16" s="6">
        <v>6.0176517930208648</v>
      </c>
      <c r="H16">
        <v>0.27</v>
      </c>
      <c r="I16">
        <v>0.15</v>
      </c>
      <c r="J16" s="6">
        <v>0.2769393524650659</v>
      </c>
      <c r="K16" s="6">
        <v>0.15175060656981801</v>
      </c>
      <c r="L16">
        <v>43.18</v>
      </c>
      <c r="M16">
        <v>0.85000000000000142</v>
      </c>
      <c r="N16" s="6">
        <v>41.126392498241067</v>
      </c>
      <c r="O16" s="6">
        <v>3.5808231717178369</v>
      </c>
      <c r="P16">
        <v>6.0220000000000002</v>
      </c>
      <c r="Q16">
        <v>0.37800000000000011</v>
      </c>
      <c r="R16" s="6">
        <v>6.3243548696451954</v>
      </c>
      <c r="S16" s="6">
        <v>0.62499305911481062</v>
      </c>
      <c r="T16">
        <v>5.1849999999999996</v>
      </c>
      <c r="U16">
        <v>0.45900000000000052</v>
      </c>
      <c r="V16" s="6">
        <v>5.3571107651125329</v>
      </c>
      <c r="W16" s="6">
        <v>0.64446656530115565</v>
      </c>
      <c r="X16">
        <v>0.1333</v>
      </c>
      <c r="Y16">
        <v>2.9700000000000001E-2</v>
      </c>
      <c r="Z16" s="5">
        <v>0.13511807793502911</v>
      </c>
      <c r="AA16" s="5">
        <v>3.2222816100230582E-2</v>
      </c>
      <c r="AB16">
        <v>0.11625000000000001</v>
      </c>
      <c r="AC16">
        <v>1.25E-3</v>
      </c>
      <c r="AD16" s="5">
        <v>0.1163615237618075</v>
      </c>
      <c r="AE16" s="5">
        <v>1.1191141821977941E-2</v>
      </c>
      <c r="AF16">
        <v>3.81</v>
      </c>
      <c r="AG16">
        <v>0.23699999999999971</v>
      </c>
      <c r="AH16" s="6">
        <v>4.1419473411222354</v>
      </c>
      <c r="AI16" s="6">
        <v>0.27919948075600393</v>
      </c>
      <c r="AJ16">
        <v>4.3529999999999998</v>
      </c>
      <c r="AK16">
        <v>0.37600000000000028</v>
      </c>
      <c r="AL16" s="6">
        <v>4.573483178702558</v>
      </c>
      <c r="AM16" s="6">
        <v>0.43986703714282649</v>
      </c>
      <c r="AN16">
        <v>0.1678</v>
      </c>
      <c r="AO16">
        <v>2.9599999999999991E-2</v>
      </c>
      <c r="AP16" s="6">
        <v>0.1731125066386083</v>
      </c>
      <c r="AQ16" s="6">
        <v>3.9342644926079438E-2</v>
      </c>
      <c r="AR16">
        <v>1.65</v>
      </c>
      <c r="AS16">
        <v>0.02</v>
      </c>
      <c r="AT16" s="6">
        <v>1.654239488999927</v>
      </c>
      <c r="AU16" s="6">
        <v>0.1049827345179114</v>
      </c>
      <c r="AV16">
        <v>8.7187500000000001E-2</v>
      </c>
      <c r="AW16">
        <v>4.4590421214230538E-3</v>
      </c>
      <c r="AX16" s="5">
        <v>8.7103857178644356E-2</v>
      </c>
      <c r="AY16" s="5">
        <v>3.1530301750256769E-3</v>
      </c>
      <c r="AZ16">
        <v>8.7187500000000001E-2</v>
      </c>
      <c r="BA16">
        <v>4.4590421214230538E-3</v>
      </c>
      <c r="BB16" s="5">
        <v>8.7271142821355632E-2</v>
      </c>
      <c r="BC16" s="5">
        <v>3.1530301750256769E-3</v>
      </c>
      <c r="BD16">
        <v>100</v>
      </c>
      <c r="BE16">
        <v>100</v>
      </c>
    </row>
    <row r="17" spans="1:57" x14ac:dyDescent="0.25">
      <c r="A17">
        <v>16</v>
      </c>
      <c r="B17">
        <v>117.7588727298679</v>
      </c>
      <c r="C17">
        <v>130.08526114312161</v>
      </c>
      <c r="D17">
        <v>-24.67</v>
      </c>
      <c r="E17">
        <v>0.36999999999999739</v>
      </c>
      <c r="F17" s="6">
        <v>-25.739398015547351</v>
      </c>
      <c r="G17" s="6">
        <v>2.5131406598591659</v>
      </c>
      <c r="H17">
        <v>-7.226</v>
      </c>
      <c r="I17">
        <v>0.80299999999999994</v>
      </c>
      <c r="J17" s="6">
        <v>-7.8262327277200061</v>
      </c>
      <c r="K17" s="6">
        <v>1.0935302259688271</v>
      </c>
      <c r="L17">
        <v>9.7810000000000006</v>
      </c>
      <c r="M17">
        <v>2.4089999999999989</v>
      </c>
      <c r="N17" s="6">
        <v>11.25535765458698</v>
      </c>
      <c r="O17" s="6">
        <v>1.299175977197109</v>
      </c>
      <c r="P17">
        <v>3.1469999999999998</v>
      </c>
      <c r="Q17">
        <v>0.48600000000000021</v>
      </c>
      <c r="R17" s="6">
        <v>2.2390899457933942</v>
      </c>
      <c r="S17" s="6">
        <v>0.3889509803625022</v>
      </c>
      <c r="T17">
        <v>4.6040000000000001</v>
      </c>
      <c r="U17">
        <v>0.48599999999999971</v>
      </c>
      <c r="V17" s="6">
        <v>3.9914401721206691</v>
      </c>
      <c r="W17" s="6">
        <v>0.57659274067716004</v>
      </c>
      <c r="X17">
        <v>0.1079</v>
      </c>
      <c r="Y17">
        <v>2.7E-2</v>
      </c>
      <c r="Z17" s="5">
        <v>0.1040596967746223</v>
      </c>
      <c r="AA17" s="5">
        <v>2.9174855853246889E-2</v>
      </c>
      <c r="AB17">
        <v>4.2083333333333327E-2</v>
      </c>
      <c r="AC17">
        <v>8.3333333333333339E-4</v>
      </c>
      <c r="AD17" s="5">
        <v>4.2273364603668401E-2</v>
      </c>
      <c r="AE17" s="5">
        <v>4.3290967508349421E-3</v>
      </c>
      <c r="AF17">
        <v>4.915</v>
      </c>
      <c r="AG17">
        <v>0.62000000000000011</v>
      </c>
      <c r="AH17" s="6">
        <v>3.8418463807903751</v>
      </c>
      <c r="AI17" s="6">
        <v>0.60009051079063569</v>
      </c>
      <c r="AJ17">
        <v>10.25</v>
      </c>
      <c r="AK17">
        <v>0.67999999999999972</v>
      </c>
      <c r="AL17" s="6">
        <v>8.9274247297165008</v>
      </c>
      <c r="AM17" s="6">
        <v>1.0966904440505909</v>
      </c>
      <c r="AN17">
        <v>0.33210000000000001</v>
      </c>
      <c r="AO17">
        <v>7.7500000000000013E-2</v>
      </c>
      <c r="AP17" s="6">
        <v>0.3492831663682967</v>
      </c>
      <c r="AQ17" s="6">
        <v>9.4260126956959928E-2</v>
      </c>
      <c r="AR17">
        <v>1.59</v>
      </c>
      <c r="AS17">
        <v>0.03</v>
      </c>
      <c r="AT17" s="6">
        <v>1.574475520193948</v>
      </c>
      <c r="AU17" s="6">
        <v>0.1080580973153209</v>
      </c>
      <c r="AV17">
        <v>3.15625E-2</v>
      </c>
      <c r="AW17">
        <v>1.6973813701183949E-3</v>
      </c>
      <c r="AX17" s="5">
        <v>3.1419976547248693E-2</v>
      </c>
      <c r="AY17" s="5">
        <v>1.200294219507245E-3</v>
      </c>
      <c r="AZ17">
        <v>3.15625E-2</v>
      </c>
      <c r="BA17">
        <v>1.6973813701183949E-3</v>
      </c>
      <c r="BB17" s="5">
        <v>3.1705023452751301E-2</v>
      </c>
      <c r="BC17" s="5">
        <v>1.200294219507245E-3</v>
      </c>
      <c r="BD17">
        <v>100</v>
      </c>
      <c r="BE17">
        <v>100</v>
      </c>
    </row>
    <row r="18" spans="1:57" x14ac:dyDescent="0.25">
      <c r="A18">
        <v>17</v>
      </c>
      <c r="B18">
        <v>106.1667953483814</v>
      </c>
      <c r="C18">
        <v>92.578955408492831</v>
      </c>
      <c r="D18">
        <v>-54.53</v>
      </c>
      <c r="E18">
        <v>2.3299999999999979</v>
      </c>
      <c r="F18" s="6">
        <v>-55.42041943254214</v>
      </c>
      <c r="G18" s="6">
        <v>6.3008030603584411</v>
      </c>
      <c r="H18">
        <v>-20.66</v>
      </c>
      <c r="I18">
        <v>1.239999999999998</v>
      </c>
      <c r="J18" s="6">
        <v>-19.539345732484211</v>
      </c>
      <c r="K18" s="6">
        <v>2.6771678162811789</v>
      </c>
      <c r="L18">
        <v>28.39</v>
      </c>
      <c r="M18">
        <v>1.8299999999999981</v>
      </c>
      <c r="N18" s="6">
        <v>25.818694152656668</v>
      </c>
      <c r="O18" s="6">
        <v>3.243791087330234</v>
      </c>
      <c r="P18">
        <v>6.7450000000000001</v>
      </c>
      <c r="Q18">
        <v>0.70099999999999962</v>
      </c>
      <c r="R18" s="6">
        <v>7.5503761891038259</v>
      </c>
      <c r="S18" s="6">
        <v>0.94855944103963652</v>
      </c>
      <c r="T18">
        <v>4.8739999999999997</v>
      </c>
      <c r="U18">
        <v>0.21600000000000019</v>
      </c>
      <c r="V18" s="6">
        <v>4.959306112841686</v>
      </c>
      <c r="W18" s="6">
        <v>0.64738219264592378</v>
      </c>
      <c r="X18">
        <v>0.3327</v>
      </c>
      <c r="Y18">
        <v>8.1000000000000016E-2</v>
      </c>
      <c r="Z18" s="5">
        <v>0.34639238740433798</v>
      </c>
      <c r="AA18" s="5">
        <v>9.0873736175264827E-2</v>
      </c>
      <c r="AB18">
        <v>8.3749999999999991E-2</v>
      </c>
      <c r="AC18">
        <v>2.9166666666666668E-3</v>
      </c>
      <c r="AD18" s="5">
        <v>8.4107574534981175E-2</v>
      </c>
      <c r="AE18" s="5">
        <v>1.090019687967721E-2</v>
      </c>
      <c r="AF18">
        <v>5.3250000000000002</v>
      </c>
      <c r="AG18">
        <v>0.56400000000000006</v>
      </c>
      <c r="AH18" s="6">
        <v>6.4938394405474318</v>
      </c>
      <c r="AI18" s="6">
        <v>0.54546747285211572</v>
      </c>
      <c r="AJ18">
        <v>5.4020000000000001</v>
      </c>
      <c r="AK18">
        <v>0.36599999999999971</v>
      </c>
      <c r="AL18" s="6">
        <v>5.5600921551735656</v>
      </c>
      <c r="AM18" s="6">
        <v>0.50694261285383302</v>
      </c>
      <c r="AN18">
        <v>0.55349999999999999</v>
      </c>
      <c r="AO18">
        <v>0.1439</v>
      </c>
      <c r="AP18" s="6">
        <v>0.58281126710711106</v>
      </c>
      <c r="AQ18" s="6">
        <v>0.1428738415846888</v>
      </c>
      <c r="AR18">
        <v>1.57</v>
      </c>
      <c r="AS18">
        <v>0.08</v>
      </c>
      <c r="AT18" s="6">
        <v>1.5702496565641191</v>
      </c>
      <c r="AU18" s="6">
        <v>0.14104512464200489</v>
      </c>
      <c r="AV18">
        <v>6.2812499999999993E-2</v>
      </c>
      <c r="AW18">
        <v>3.827359617363516E-3</v>
      </c>
      <c r="AX18" s="5">
        <v>6.2544319098764081E-2</v>
      </c>
      <c r="AY18" s="5">
        <v>2.7064212945997418E-3</v>
      </c>
      <c r="AZ18">
        <v>6.2812499999999993E-2</v>
      </c>
      <c r="BA18">
        <v>3.827359617363516E-3</v>
      </c>
      <c r="BB18" s="5">
        <v>6.3080680901235878E-2</v>
      </c>
      <c r="BC18" s="5">
        <v>2.7064212945997418E-3</v>
      </c>
      <c r="BD18">
        <v>99.999999999999972</v>
      </c>
      <c r="BE18">
        <v>99.999999999999986</v>
      </c>
    </row>
    <row r="19" spans="1:57" x14ac:dyDescent="0.25">
      <c r="A19">
        <v>18</v>
      </c>
      <c r="B19">
        <v>86.085228514052616</v>
      </c>
      <c r="C19">
        <v>90.497046838101326</v>
      </c>
      <c r="D19">
        <v>-72.48</v>
      </c>
      <c r="E19">
        <v>1.5300000000000009</v>
      </c>
      <c r="F19" s="6">
        <v>-68.525728729839585</v>
      </c>
      <c r="G19" s="6">
        <v>6.3600701832649547</v>
      </c>
      <c r="H19">
        <v>-19.71</v>
      </c>
      <c r="I19">
        <v>1.3099999999999989</v>
      </c>
      <c r="J19" s="6">
        <v>-19.02897925213443</v>
      </c>
      <c r="K19" s="6">
        <v>2.247583178237075</v>
      </c>
      <c r="L19">
        <v>34.380000000000003</v>
      </c>
      <c r="M19">
        <v>0.79999999999999716</v>
      </c>
      <c r="N19" s="6">
        <v>34.236197956707578</v>
      </c>
      <c r="O19" s="6">
        <v>3.335563183829318</v>
      </c>
      <c r="P19">
        <v>8.2370000000000001</v>
      </c>
      <c r="Q19">
        <v>0.50399999999999956</v>
      </c>
      <c r="R19" s="6">
        <v>8.785729779504333</v>
      </c>
      <c r="S19" s="6">
        <v>0.89161905908933881</v>
      </c>
      <c r="T19">
        <v>4.694</v>
      </c>
      <c r="U19">
        <v>0.37800000000000011</v>
      </c>
      <c r="V19" s="6">
        <v>4.8530632613506626</v>
      </c>
      <c r="W19" s="6">
        <v>0.60566589171196084</v>
      </c>
      <c r="X19">
        <v>0.62950000000000006</v>
      </c>
      <c r="Y19">
        <v>8.0900000000000083E-2</v>
      </c>
      <c r="Z19" s="5">
        <v>0.64529317231953764</v>
      </c>
      <c r="AA19" s="5">
        <v>0.10288173636167459</v>
      </c>
      <c r="AB19">
        <v>0.11625000000000001</v>
      </c>
      <c r="AC19">
        <v>2.9166666666666668E-3</v>
      </c>
      <c r="AD19" s="5">
        <v>0.11657361137640471</v>
      </c>
      <c r="AE19" s="5">
        <v>1.226157595916885E-2</v>
      </c>
      <c r="AF19">
        <v>4.4610000000000003</v>
      </c>
      <c r="AG19">
        <v>0.18799999999999981</v>
      </c>
      <c r="AH19" s="6">
        <v>4.98221420365567</v>
      </c>
      <c r="AI19" s="6">
        <v>0.32653446131728808</v>
      </c>
      <c r="AJ19">
        <v>3.4209999999999998</v>
      </c>
      <c r="AK19">
        <v>0.27600000000000019</v>
      </c>
      <c r="AL19" s="6">
        <v>3.5874728594608429</v>
      </c>
      <c r="AM19" s="6">
        <v>0.35097755968039718</v>
      </c>
      <c r="AN19">
        <v>0.69740000000000002</v>
      </c>
      <c r="AO19">
        <v>6.6400000000000015E-2</v>
      </c>
      <c r="AP19" s="6">
        <v>0.71586028298401638</v>
      </c>
      <c r="AQ19" s="6">
        <v>9.9747724384140049E-2</v>
      </c>
      <c r="AR19">
        <v>1.43</v>
      </c>
      <c r="AS19">
        <v>0.03</v>
      </c>
      <c r="AT19" s="6">
        <v>1.4349786730624861</v>
      </c>
      <c r="AU19" s="6">
        <v>0.10207324478540269</v>
      </c>
      <c r="AV19">
        <v>8.7187500000000001E-2</v>
      </c>
      <c r="AW19">
        <v>4.8774282814435122E-3</v>
      </c>
      <c r="AX19" s="5">
        <v>8.6944791467696458E-2</v>
      </c>
      <c r="AY19" s="5">
        <v>3.448899810736187E-3</v>
      </c>
      <c r="AZ19">
        <v>8.7187500000000001E-2</v>
      </c>
      <c r="BA19">
        <v>4.8774282814435122E-3</v>
      </c>
      <c r="BB19" s="5">
        <v>8.7430208532303544E-2</v>
      </c>
      <c r="BC19" s="5">
        <v>3.448899810736187E-3</v>
      </c>
      <c r="BD19">
        <v>99.999999999999972</v>
      </c>
      <c r="BE19">
        <v>100</v>
      </c>
    </row>
    <row r="20" spans="1:57" s="18" customFormat="1" x14ac:dyDescent="0.25">
      <c r="A20" s="18">
        <v>19</v>
      </c>
      <c r="B20" s="18">
        <v>95.062342763026919</v>
      </c>
      <c r="C20" s="18">
        <v>94.838156775442982</v>
      </c>
      <c r="D20" s="18">
        <v>-16.8</v>
      </c>
      <c r="E20" s="18">
        <v>1</v>
      </c>
      <c r="F20" s="16">
        <v>-16.224335429247859</v>
      </c>
      <c r="G20" s="16">
        <v>1.7653207911587929</v>
      </c>
      <c r="H20" s="18">
        <v>0</v>
      </c>
      <c r="I20" s="18">
        <v>0</v>
      </c>
      <c r="J20" s="16">
        <v>0</v>
      </c>
      <c r="K20" s="16"/>
      <c r="L20" s="18">
        <v>8.5</v>
      </c>
      <c r="M20" s="18">
        <v>0.59999999999999987</v>
      </c>
      <c r="N20" s="16">
        <v>8.6101006448149349</v>
      </c>
      <c r="O20" s="16">
        <v>0.92957940398793282</v>
      </c>
      <c r="P20" s="18">
        <v>0.36</v>
      </c>
      <c r="Q20" s="18">
        <v>0.02</v>
      </c>
      <c r="R20" s="16">
        <v>0.36156199919226317</v>
      </c>
      <c r="S20" s="16">
        <v>4.5380017644999847E-2</v>
      </c>
      <c r="T20" s="18">
        <v>3</v>
      </c>
      <c r="U20" s="18">
        <v>0.2</v>
      </c>
      <c r="V20" s="16">
        <v>3.069283200442269</v>
      </c>
      <c r="W20" s="16">
        <v>0.35512128823482852</v>
      </c>
      <c r="X20" s="18">
        <v>0.104</v>
      </c>
      <c r="Y20" s="18">
        <v>6.0000000000000001E-3</v>
      </c>
      <c r="Z20" s="34">
        <v>0.1043239046600984</v>
      </c>
      <c r="AA20" s="34">
        <v>1.3232004994246101E-2</v>
      </c>
      <c r="AB20" s="18">
        <v>8.8000000000000005E-3</v>
      </c>
      <c r="AC20" s="18">
        <v>4.0000000000000002E-4</v>
      </c>
      <c r="AD20" s="34">
        <v>8.8203950472325269E-3</v>
      </c>
      <c r="AE20" s="34">
        <v>1.075365137117514E-3</v>
      </c>
      <c r="AF20" s="18">
        <v>1.01</v>
      </c>
      <c r="AG20" s="18">
        <v>0.02</v>
      </c>
      <c r="AH20" s="16">
        <v>1.0200617848325799</v>
      </c>
      <c r="AI20" s="16">
        <v>9.241152160646901E-2</v>
      </c>
      <c r="AJ20" s="18">
        <v>10.78</v>
      </c>
      <c r="AK20" s="18">
        <v>0.09</v>
      </c>
      <c r="AL20" s="16">
        <v>11.287786296195669</v>
      </c>
      <c r="AM20" s="16">
        <v>0.8626960966633721</v>
      </c>
      <c r="AN20" s="18">
        <v>0.57499999999999996</v>
      </c>
      <c r="AO20" s="18">
        <v>1.0999999999999999E-2</v>
      </c>
      <c r="AP20" s="16">
        <v>0.5757768190436553</v>
      </c>
      <c r="AQ20" s="16">
        <v>5.3213681374236807E-2</v>
      </c>
      <c r="AR20" s="18">
        <v>0.54100000000000004</v>
      </c>
      <c r="AS20" s="18">
        <v>1.2E-2</v>
      </c>
      <c r="AT20" s="16">
        <v>0.54017238368920673</v>
      </c>
      <c r="AU20" s="16">
        <v>4.6210058593908483E-2</v>
      </c>
      <c r="AV20" s="18">
        <v>8.8000000000000005E-3</v>
      </c>
      <c r="AW20" s="18">
        <v>5.9464274989274029E-4</v>
      </c>
      <c r="AX20" s="34">
        <v>8.7796049527674724E-3</v>
      </c>
      <c r="AY20" s="34">
        <v>4.2047763224438439E-4</v>
      </c>
      <c r="AZ20" s="18">
        <v>8.8000000000000005E-3</v>
      </c>
      <c r="BA20" s="18">
        <v>5.9464274989274029E-4</v>
      </c>
      <c r="BB20" s="34">
        <v>8.8203950472325269E-3</v>
      </c>
      <c r="BC20" s="34">
        <v>4.2047763224438439E-4</v>
      </c>
      <c r="BD20" s="18">
        <v>100</v>
      </c>
      <c r="BE20" s="18">
        <v>100</v>
      </c>
    </row>
    <row r="21" spans="1:57" s="18" customFormat="1" x14ac:dyDescent="0.25">
      <c r="A21" s="18">
        <v>20</v>
      </c>
      <c r="B21" s="18">
        <v>93.991669834030134</v>
      </c>
      <c r="C21" s="18">
        <v>96.971931880569258</v>
      </c>
      <c r="D21" s="18">
        <v>-21.6</v>
      </c>
      <c r="E21" s="18">
        <v>1.4</v>
      </c>
      <c r="F21" s="16">
        <v>-20.7651871594657</v>
      </c>
      <c r="G21" s="16">
        <v>2.3889322348593578</v>
      </c>
      <c r="H21" s="18">
        <v>0</v>
      </c>
      <c r="I21" s="18">
        <v>0</v>
      </c>
      <c r="J21" s="16">
        <v>0</v>
      </c>
      <c r="K21" s="16"/>
      <c r="L21" s="18">
        <v>9.9</v>
      </c>
      <c r="M21" s="18">
        <v>0.7</v>
      </c>
      <c r="N21" s="16">
        <v>10.452871305433501</v>
      </c>
      <c r="O21" s="16">
        <v>1.201605936674929</v>
      </c>
      <c r="P21" s="18">
        <v>6.7000000000000004E-2</v>
      </c>
      <c r="Q21" s="18">
        <v>6.0000000000000001E-3</v>
      </c>
      <c r="R21" s="16">
        <v>6.7062173979859446E-2</v>
      </c>
      <c r="S21" s="16">
        <v>1.0135188844076741E-2</v>
      </c>
      <c r="T21" s="18">
        <v>4.5999999999999996</v>
      </c>
      <c r="U21" s="18">
        <v>0.29999999999999988</v>
      </c>
      <c r="V21" s="16">
        <v>4.555089727762291</v>
      </c>
      <c r="W21" s="16">
        <v>0.54039642299870339</v>
      </c>
      <c r="X21" s="18">
        <v>3.8999999999999993E-2</v>
      </c>
      <c r="Y21" s="18">
        <v>1.4999999999999999E-2</v>
      </c>
      <c r="Z21" s="34">
        <v>3.8676019973371771E-2</v>
      </c>
      <c r="AA21" s="34">
        <v>1.5692512115318299E-2</v>
      </c>
      <c r="AB21" s="18">
        <v>2.4E-2</v>
      </c>
      <c r="AC21" s="18">
        <v>1E-3</v>
      </c>
      <c r="AD21" s="34">
        <v>2.4029132707917629E-2</v>
      </c>
      <c r="AE21" s="34">
        <v>3.0893970031727969E-3</v>
      </c>
      <c r="AF21" s="18">
        <v>6.3E-2</v>
      </c>
      <c r="AG21" s="18">
        <v>4.0000000000000001E-3</v>
      </c>
      <c r="AH21" s="16">
        <v>6.1604002407480762E-2</v>
      </c>
      <c r="AI21" s="16">
        <v>7.3878952027654652E-3</v>
      </c>
      <c r="AJ21" s="18">
        <v>5.58</v>
      </c>
      <c r="AK21" s="18">
        <v>0.06</v>
      </c>
      <c r="AL21" s="16">
        <v>5.4545176975922889</v>
      </c>
      <c r="AM21" s="16">
        <v>0.40875894749525371</v>
      </c>
      <c r="AN21" s="18">
        <v>7.0000000000000007E-2</v>
      </c>
      <c r="AO21" s="18">
        <v>0.03</v>
      </c>
      <c r="AP21" s="16">
        <v>6.9502387096660956E-2</v>
      </c>
      <c r="AQ21" s="16">
        <v>2.74660752591308E-2</v>
      </c>
      <c r="AR21" s="18">
        <v>0.48</v>
      </c>
      <c r="AS21" s="18">
        <v>0.02</v>
      </c>
      <c r="AT21" s="16">
        <v>0.47914839631739031</v>
      </c>
      <c r="AU21" s="16">
        <v>4.3047244972578808E-2</v>
      </c>
      <c r="AV21" s="18">
        <v>2.4E-2</v>
      </c>
      <c r="AW21" s="18">
        <v>1.5620499351813311E-3</v>
      </c>
      <c r="AX21" s="34">
        <v>2.3970867292082379E-2</v>
      </c>
      <c r="AY21" s="34">
        <v>1.104537193469891E-3</v>
      </c>
      <c r="AZ21" s="18">
        <v>2.4E-2</v>
      </c>
      <c r="BA21" s="18">
        <v>1.5620499351813311E-3</v>
      </c>
      <c r="BB21" s="34">
        <v>2.4029132707917629E-2</v>
      </c>
      <c r="BC21" s="34">
        <v>1.104537193469891E-3</v>
      </c>
      <c r="BD21" s="18">
        <v>100</v>
      </c>
      <c r="BE21" s="18">
        <v>100</v>
      </c>
    </row>
    <row r="22" spans="1:57" s="18" customFormat="1" x14ac:dyDescent="0.25">
      <c r="A22" s="18">
        <v>21</v>
      </c>
      <c r="B22" s="18">
        <v>97.07811762543804</v>
      </c>
      <c r="C22" s="18">
        <v>96.142025970988357</v>
      </c>
      <c r="D22" s="18">
        <v>-27.3</v>
      </c>
      <c r="E22" s="18">
        <v>1.6</v>
      </c>
      <c r="F22" s="16">
        <v>-26.77015757760082</v>
      </c>
      <c r="G22" s="16">
        <v>3.0890473918979562</v>
      </c>
      <c r="H22" s="18">
        <v>0</v>
      </c>
      <c r="I22" s="18">
        <v>0</v>
      </c>
      <c r="J22" s="16">
        <v>0</v>
      </c>
      <c r="K22" s="16"/>
      <c r="L22" s="18">
        <v>13.4</v>
      </c>
      <c r="M22" s="18">
        <v>0.8</v>
      </c>
      <c r="N22" s="16">
        <v>13.406226499552041</v>
      </c>
      <c r="O22" s="16">
        <v>1.546682712427395</v>
      </c>
      <c r="P22" s="18">
        <v>0.11</v>
      </c>
      <c r="Q22" s="18">
        <v>0.02</v>
      </c>
      <c r="R22" s="16">
        <v>0.1101533022545412</v>
      </c>
      <c r="S22" s="16">
        <v>2.3871623036732261E-2</v>
      </c>
      <c r="T22" s="18">
        <v>5.7000000000000011</v>
      </c>
      <c r="U22" s="18">
        <v>0.5</v>
      </c>
      <c r="V22" s="16">
        <v>5.830098974245657</v>
      </c>
      <c r="W22" s="16">
        <v>0.69297914968078234</v>
      </c>
      <c r="X22" s="18">
        <v>0</v>
      </c>
      <c r="Y22" s="18">
        <v>0</v>
      </c>
      <c r="Z22" s="34">
        <v>0</v>
      </c>
      <c r="AA22" s="34"/>
      <c r="AB22" s="18">
        <v>3.9E-2</v>
      </c>
      <c r="AC22" s="18">
        <v>2E-3</v>
      </c>
      <c r="AD22" s="34">
        <v>3.9028951874022652E-2</v>
      </c>
      <c r="AE22" s="34">
        <v>5.0510292115719391E-3</v>
      </c>
      <c r="AF22" s="18">
        <v>4.4999999999999998E-2</v>
      </c>
      <c r="AG22" s="18">
        <v>8.9999999999999993E-3</v>
      </c>
      <c r="AH22" s="16">
        <v>4.7105805975555762E-2</v>
      </c>
      <c r="AI22" s="16">
        <v>9.2572826667283899E-3</v>
      </c>
      <c r="AJ22" s="18">
        <v>3.13</v>
      </c>
      <c r="AK22" s="18">
        <v>0.17</v>
      </c>
      <c r="AL22" s="16">
        <v>3.249982055065666</v>
      </c>
      <c r="AM22" s="16">
        <v>0.24717754200869799</v>
      </c>
      <c r="AN22" s="18">
        <v>0</v>
      </c>
      <c r="AO22" s="18">
        <v>0</v>
      </c>
      <c r="AP22" s="16">
        <v>0</v>
      </c>
      <c r="AQ22" s="16"/>
      <c r="AR22" s="18">
        <v>0.36199999999999999</v>
      </c>
      <c r="AS22" s="18">
        <v>0.01</v>
      </c>
      <c r="AT22" s="16">
        <v>0.36229675810717132</v>
      </c>
      <c r="AU22" s="16">
        <v>3.3214937236926548E-2</v>
      </c>
      <c r="AV22" s="18">
        <v>3.9E-2</v>
      </c>
      <c r="AW22" s="18">
        <v>2.7932955446926849E-3</v>
      </c>
      <c r="AX22" s="34">
        <v>3.8971048125977348E-2</v>
      </c>
      <c r="AY22" s="34">
        <v>1.9751587466512359E-3</v>
      </c>
      <c r="AZ22" s="18">
        <v>3.9E-2</v>
      </c>
      <c r="BA22" s="18">
        <v>2.7932955446926849E-3</v>
      </c>
      <c r="BB22" s="34">
        <v>3.9028951874022652E-2</v>
      </c>
      <c r="BC22" s="34">
        <v>1.9751587466512359E-3</v>
      </c>
      <c r="BD22" s="18">
        <v>100</v>
      </c>
      <c r="BE22" s="18">
        <v>100</v>
      </c>
    </row>
    <row r="23" spans="1:57" s="18" customFormat="1" x14ac:dyDescent="0.25">
      <c r="A23" s="18">
        <v>22</v>
      </c>
      <c r="B23" s="18">
        <v>85.226885398658666</v>
      </c>
      <c r="C23" s="18">
        <v>70.832996162381534</v>
      </c>
      <c r="D23" s="18">
        <v>-31</v>
      </c>
      <c r="E23" s="18">
        <v>2</v>
      </c>
      <c r="F23" s="16">
        <v>-24.41199119908492</v>
      </c>
      <c r="G23" s="16">
        <v>2.8649168828173379</v>
      </c>
      <c r="H23" s="18">
        <v>0</v>
      </c>
      <c r="I23" s="18">
        <v>0</v>
      </c>
      <c r="J23" s="16">
        <v>0</v>
      </c>
      <c r="K23" s="16"/>
      <c r="L23" s="18">
        <v>16.399999999999999</v>
      </c>
      <c r="M23" s="18">
        <v>1.6</v>
      </c>
      <c r="N23" s="16">
        <v>13.214712172720221</v>
      </c>
      <c r="O23" s="16">
        <v>1.5421319892608181</v>
      </c>
      <c r="P23" s="18">
        <v>1.05</v>
      </c>
      <c r="Q23" s="18">
        <v>7.0000000000000007E-2</v>
      </c>
      <c r="R23" s="16">
        <v>1.099968050586926</v>
      </c>
      <c r="S23" s="16">
        <v>0.14774914413097129</v>
      </c>
      <c r="T23" s="18">
        <v>3.2</v>
      </c>
      <c r="U23" s="18">
        <v>0.29999999999999988</v>
      </c>
      <c r="V23" s="16">
        <v>3.738242484185708</v>
      </c>
      <c r="W23" s="16">
        <v>0.49623562617853662</v>
      </c>
      <c r="X23" s="18">
        <v>0</v>
      </c>
      <c r="Y23" s="18">
        <v>0</v>
      </c>
      <c r="Z23" s="34">
        <v>0</v>
      </c>
      <c r="AA23" s="34"/>
      <c r="AB23" s="18">
        <v>0.04</v>
      </c>
      <c r="AC23" s="18">
        <v>2E-3</v>
      </c>
      <c r="AD23" s="34">
        <v>4.001377284391934E-2</v>
      </c>
      <c r="AE23" s="34">
        <v>5.2562012009858749E-3</v>
      </c>
      <c r="AF23" s="18">
        <v>0.318</v>
      </c>
      <c r="AG23" s="18">
        <v>5.9999999999999993E-3</v>
      </c>
      <c r="AH23" s="16">
        <v>0.34132727374562449</v>
      </c>
      <c r="AI23" s="16">
        <v>3.3116933628625993E-2</v>
      </c>
      <c r="AJ23" s="18">
        <v>11.38</v>
      </c>
      <c r="AK23" s="18">
        <v>0.11</v>
      </c>
      <c r="AL23" s="16">
        <v>11.655133558043181</v>
      </c>
      <c r="AM23" s="16">
        <v>0.78973666603245263</v>
      </c>
      <c r="AN23" s="18">
        <v>0</v>
      </c>
      <c r="AO23" s="18">
        <v>0</v>
      </c>
      <c r="AP23" s="16">
        <v>0</v>
      </c>
      <c r="AQ23" s="16"/>
      <c r="AR23" s="18">
        <v>0.26400000000000001</v>
      </c>
      <c r="AS23" s="18">
        <v>0.01</v>
      </c>
      <c r="AT23" s="16">
        <v>0.26952624772279532</v>
      </c>
      <c r="AU23" s="16">
        <v>2.5033806963817941E-2</v>
      </c>
      <c r="AV23" s="18">
        <v>0.04</v>
      </c>
      <c r="AW23" s="18">
        <v>2.8284271247461901E-3</v>
      </c>
      <c r="AX23" s="34">
        <v>3.9986227156080661E-2</v>
      </c>
      <c r="AY23" s="34">
        <v>2.000000254475135E-3</v>
      </c>
      <c r="AZ23" s="18">
        <v>0.04</v>
      </c>
      <c r="BA23" s="18">
        <v>2.8284271247461901E-3</v>
      </c>
      <c r="BB23" s="34">
        <v>4.001377284391934E-2</v>
      </c>
      <c r="BC23" s="34">
        <v>2.000000254475135E-3</v>
      </c>
      <c r="BD23" s="18">
        <v>100</v>
      </c>
      <c r="BE23" s="18">
        <v>100</v>
      </c>
    </row>
    <row r="24" spans="1:57" x14ac:dyDescent="0.25">
      <c r="A24">
        <v>23</v>
      </c>
      <c r="B24">
        <v>99.81558905922266</v>
      </c>
      <c r="C24">
        <v>90.41256669059787</v>
      </c>
      <c r="D24">
        <v>-10.8</v>
      </c>
      <c r="E24">
        <v>0.54</v>
      </c>
      <c r="F24" s="6">
        <v>-10.870346530601321</v>
      </c>
      <c r="G24" s="6">
        <v>1.303783632776939</v>
      </c>
      <c r="H24">
        <v>0.35</v>
      </c>
      <c r="I24">
        <v>0.08</v>
      </c>
      <c r="J24" s="6">
        <v>0.35947175290456812</v>
      </c>
      <c r="K24" s="6">
        <v>9.0959078066587595E-2</v>
      </c>
      <c r="L24">
        <v>6.26</v>
      </c>
      <c r="M24">
        <v>0.35</v>
      </c>
      <c r="N24" s="6">
        <v>5.8116727947072224</v>
      </c>
      <c r="O24" s="6">
        <v>0.69103445531030694</v>
      </c>
      <c r="P24">
        <v>0.21</v>
      </c>
      <c r="Q24">
        <v>0.04</v>
      </c>
      <c r="R24" s="6">
        <v>0.21959716626573039</v>
      </c>
      <c r="S24" s="6">
        <v>4.7390982232590063E-2</v>
      </c>
      <c r="T24">
        <v>1.86</v>
      </c>
      <c r="U24">
        <v>0.28999999999999998</v>
      </c>
      <c r="V24" s="6">
        <v>2.1194604240858692</v>
      </c>
      <c r="W24" s="6">
        <v>0.27683839996729359</v>
      </c>
      <c r="X24">
        <v>0</v>
      </c>
      <c r="Y24">
        <v>0</v>
      </c>
      <c r="Z24" s="5">
        <v>0</v>
      </c>
      <c r="AA24" s="5"/>
      <c r="AB24">
        <v>0.01</v>
      </c>
      <c r="AC24">
        <v>5.0000000000000001E-4</v>
      </c>
      <c r="AD24" s="5">
        <v>1.001249558707264E-2</v>
      </c>
      <c r="AE24" s="5">
        <v>1.3380404161568041E-3</v>
      </c>
      <c r="AF24">
        <v>0.51</v>
      </c>
      <c r="AG24">
        <v>0.09</v>
      </c>
      <c r="AH24" s="6">
        <v>0.52625004106392981</v>
      </c>
      <c r="AI24" s="6">
        <v>0.1020990977063737</v>
      </c>
      <c r="AJ24">
        <v>5.95</v>
      </c>
      <c r="AK24">
        <v>0.93</v>
      </c>
      <c r="AL24" s="6">
        <v>6.6209276242384556</v>
      </c>
      <c r="AM24" s="6">
        <v>0.59692578521553541</v>
      </c>
      <c r="AN24">
        <v>0</v>
      </c>
      <c r="AO24">
        <v>0</v>
      </c>
      <c r="AP24" s="6">
        <v>0</v>
      </c>
      <c r="AQ24" s="6"/>
      <c r="AR24">
        <v>0.52</v>
      </c>
      <c r="AS24">
        <v>0.02</v>
      </c>
      <c r="AT24" s="6">
        <v>0.52084486962440524</v>
      </c>
      <c r="AU24" s="6">
        <v>4.9209007609847817E-2</v>
      </c>
      <c r="AV24">
        <v>1.6E-2</v>
      </c>
      <c r="AW24">
        <v>1.1313708498984761E-3</v>
      </c>
      <c r="AX24" s="5">
        <v>1.5980007060683778E-2</v>
      </c>
      <c r="AY24" s="5">
        <v>8.0000208870066516E-4</v>
      </c>
      <c r="AZ24">
        <v>1.6E-2</v>
      </c>
      <c r="BA24">
        <v>1.1313708498984761E-3</v>
      </c>
      <c r="BB24" s="5">
        <v>1.6019992939316219E-2</v>
      </c>
      <c r="BC24" s="5">
        <v>8.0000208870066516E-4</v>
      </c>
      <c r="BD24">
        <v>100</v>
      </c>
      <c r="BE24">
        <v>100</v>
      </c>
    </row>
    <row r="25" spans="1:57" x14ac:dyDescent="0.25">
      <c r="A25">
        <v>24</v>
      </c>
      <c r="B25">
        <v>107.4120164304168</v>
      </c>
      <c r="C25">
        <v>92.533575660757052</v>
      </c>
      <c r="D25">
        <v>-9.85</v>
      </c>
      <c r="E25">
        <v>0.46</v>
      </c>
      <c r="F25" s="6">
        <v>-9.5680178952648998</v>
      </c>
      <c r="G25" s="6">
        <v>1.1769861794125449</v>
      </c>
      <c r="H25">
        <v>0</v>
      </c>
      <c r="I25">
        <v>0</v>
      </c>
      <c r="J25" s="6">
        <v>0</v>
      </c>
      <c r="K25" s="6"/>
      <c r="L25">
        <v>6.16</v>
      </c>
      <c r="M25">
        <v>0.7599999999999999</v>
      </c>
      <c r="N25" s="6">
        <v>4.9248884774112476</v>
      </c>
      <c r="O25" s="6">
        <v>0.60458883236686312</v>
      </c>
      <c r="P25">
        <v>0.16</v>
      </c>
      <c r="Q25">
        <v>0.02</v>
      </c>
      <c r="R25" s="6">
        <v>0.1637191781383022</v>
      </c>
      <c r="S25" s="6">
        <v>2.9123508584192149E-2</v>
      </c>
      <c r="T25">
        <v>1.86</v>
      </c>
      <c r="U25">
        <v>0.09</v>
      </c>
      <c r="V25" s="6">
        <v>1.967515127792653</v>
      </c>
      <c r="W25" s="6">
        <v>0.25168991934769341</v>
      </c>
      <c r="X25">
        <v>0</v>
      </c>
      <c r="Y25">
        <v>0</v>
      </c>
      <c r="Z25" s="5">
        <v>0</v>
      </c>
      <c r="AA25" s="5"/>
      <c r="AB25">
        <v>0.01</v>
      </c>
      <c r="AC25">
        <v>5.0000000000000001E-4</v>
      </c>
      <c r="AD25" s="5">
        <v>1.0015185805642739E-2</v>
      </c>
      <c r="AE25" s="5">
        <v>1.413927026011572E-3</v>
      </c>
      <c r="AF25">
        <v>0.43488191999999998</v>
      </c>
      <c r="AG25">
        <v>2.1744096000000001E-2</v>
      </c>
      <c r="AH25" s="6">
        <v>0.44623577617250132</v>
      </c>
      <c r="AI25" s="6">
        <v>6.569574638807428E-2</v>
      </c>
      <c r="AJ25">
        <v>6.5901064800000002</v>
      </c>
      <c r="AK25">
        <v>0.32950532399999999</v>
      </c>
      <c r="AL25" s="6">
        <v>6.9905448804886836</v>
      </c>
      <c r="AM25" s="6">
        <v>0.55901568450633132</v>
      </c>
      <c r="AN25">
        <v>0</v>
      </c>
      <c r="AO25">
        <v>0</v>
      </c>
      <c r="AP25" s="6">
        <v>0</v>
      </c>
      <c r="AQ25" s="6"/>
      <c r="AR25">
        <v>0.59</v>
      </c>
      <c r="AS25">
        <v>0.03</v>
      </c>
      <c r="AT25" s="6">
        <v>0.59254929130783651</v>
      </c>
      <c r="AU25" s="6">
        <v>5.9141863530323531E-2</v>
      </c>
      <c r="AV25">
        <v>1.6E-2</v>
      </c>
      <c r="AW25">
        <v>1.1313708498984761E-3</v>
      </c>
      <c r="AX25" s="5">
        <v>1.5975702710971609E-2</v>
      </c>
      <c r="AY25" s="5">
        <v>8.0000125744332658E-4</v>
      </c>
      <c r="AZ25">
        <v>1.6E-2</v>
      </c>
      <c r="BA25">
        <v>1.1313708498984761E-3</v>
      </c>
      <c r="BB25" s="5">
        <v>1.6024297289028391E-2</v>
      </c>
      <c r="BC25" s="5">
        <v>8.0000125744332648E-4</v>
      </c>
      <c r="BD25">
        <v>100</v>
      </c>
      <c r="BE25">
        <v>100</v>
      </c>
    </row>
    <row r="26" spans="1:57" s="18" customFormat="1" x14ac:dyDescent="0.25">
      <c r="A26" s="18">
        <v>25</v>
      </c>
      <c r="B26" s="18">
        <v>100.41738686379659</v>
      </c>
      <c r="C26" s="18">
        <v>85.991672754109771</v>
      </c>
      <c r="D26" s="18">
        <v>-40.700000000000003</v>
      </c>
      <c r="E26" s="18">
        <v>2.0350000000000001</v>
      </c>
      <c r="F26" s="16">
        <v>-36.997625799248453</v>
      </c>
      <c r="G26" s="16">
        <v>4.338749508711202</v>
      </c>
      <c r="H26" s="18">
        <v>0</v>
      </c>
      <c r="I26" s="18">
        <v>0</v>
      </c>
      <c r="J26" s="16">
        <v>0</v>
      </c>
      <c r="K26" s="16"/>
      <c r="L26" s="18">
        <v>26.467236467236471</v>
      </c>
      <c r="M26" s="18">
        <v>1.3233618233618241</v>
      </c>
      <c r="N26" s="16">
        <v>21.866355235529799</v>
      </c>
      <c r="O26" s="16">
        <v>2.581095923246393</v>
      </c>
      <c r="P26" s="18">
        <v>3.0999016194813711</v>
      </c>
      <c r="Q26" s="18">
        <v>0.15499508097406861</v>
      </c>
      <c r="R26" s="16">
        <v>3.372822951076587</v>
      </c>
      <c r="S26" s="16">
        <v>0.43368121998006548</v>
      </c>
      <c r="T26" s="18">
        <v>2.727930190795707</v>
      </c>
      <c r="U26" s="18">
        <v>0.13639650953978541</v>
      </c>
      <c r="V26" s="16">
        <v>2.8191354790249901</v>
      </c>
      <c r="W26" s="16">
        <v>0.38213529453727468</v>
      </c>
      <c r="X26" s="18">
        <v>9.2863437699824344E-2</v>
      </c>
      <c r="Y26" s="18">
        <v>4.6431718849912172E-3</v>
      </c>
      <c r="Z26" s="34">
        <v>9.170149829880371E-2</v>
      </c>
      <c r="AA26" s="34">
        <v>1.280945515442484E-2</v>
      </c>
      <c r="AB26" s="18">
        <v>6.25E-2</v>
      </c>
      <c r="AC26" s="18">
        <v>3.1250000000000002E-3</v>
      </c>
      <c r="AD26" s="34">
        <v>6.2632210258526652E-2</v>
      </c>
      <c r="AE26" s="34">
        <v>8.6826416129294516E-3</v>
      </c>
      <c r="AF26" s="18">
        <v>8.02</v>
      </c>
      <c r="AG26" s="18">
        <v>0.40100000000000002</v>
      </c>
      <c r="AH26" s="16">
        <v>8.8687589507149998</v>
      </c>
      <c r="AI26" s="16">
        <v>0.73769941208396816</v>
      </c>
      <c r="AJ26" s="18">
        <v>9.1999999999999993</v>
      </c>
      <c r="AK26" s="18">
        <v>0.46</v>
      </c>
      <c r="AL26" s="16">
        <v>9.6630309744526368</v>
      </c>
      <c r="AM26" s="16">
        <v>0.90439407474380373</v>
      </c>
      <c r="AN26" s="18">
        <v>0.47</v>
      </c>
      <c r="AO26" s="18">
        <v>2.35E-2</v>
      </c>
      <c r="AP26" s="16">
        <v>0.47170706635395121</v>
      </c>
      <c r="AQ26" s="16">
        <v>4.6929622053175662E-2</v>
      </c>
      <c r="AR26" s="18">
        <v>3.51</v>
      </c>
      <c r="AS26" s="18">
        <v>0.17549999999999999</v>
      </c>
      <c r="AT26" s="16">
        <v>3.574931186220236</v>
      </c>
      <c r="AU26" s="16">
        <v>0.35033865345198523</v>
      </c>
      <c r="AV26" s="18">
        <v>0.16250000000000001</v>
      </c>
      <c r="AW26" s="18">
        <v>1.14904851942814E-2</v>
      </c>
      <c r="AX26" s="34">
        <v>0.16215625332783079</v>
      </c>
      <c r="AY26" s="34">
        <v>8.1250568883654041E-3</v>
      </c>
      <c r="AZ26" s="18">
        <v>0.16250000000000001</v>
      </c>
      <c r="BA26" s="18">
        <v>1.14904851942814E-2</v>
      </c>
      <c r="BB26" s="34">
        <v>0.1628437466721693</v>
      </c>
      <c r="BC26" s="34">
        <v>8.1250568883654041E-3</v>
      </c>
      <c r="BD26" s="18">
        <v>100</v>
      </c>
      <c r="BE26" s="18">
        <v>100</v>
      </c>
    </row>
    <row r="27" spans="1:57" s="18" customFormat="1" x14ac:dyDescent="0.25">
      <c r="A27" s="18">
        <v>26</v>
      </c>
      <c r="B27" s="18">
        <v>101.8359900290055</v>
      </c>
      <c r="C27" s="18">
        <v>87.37818734743594</v>
      </c>
      <c r="D27" s="18">
        <v>-42.6</v>
      </c>
      <c r="E27" s="18">
        <v>2.13</v>
      </c>
      <c r="F27" s="16">
        <v>-39.451233705532239</v>
      </c>
      <c r="G27" s="16">
        <v>4.646929722079495</v>
      </c>
      <c r="H27" s="18">
        <v>0</v>
      </c>
      <c r="I27" s="18">
        <v>0</v>
      </c>
      <c r="J27" s="16">
        <v>0</v>
      </c>
      <c r="K27" s="16"/>
      <c r="L27" s="18">
        <v>28.564102564102569</v>
      </c>
      <c r="M27" s="18">
        <v>1.428205128205128</v>
      </c>
      <c r="N27" s="16">
        <v>23.8600711955057</v>
      </c>
      <c r="O27" s="16">
        <v>2.8319276528109061</v>
      </c>
      <c r="P27" s="18">
        <v>3.70132891622863</v>
      </c>
      <c r="Q27" s="18">
        <v>0.1850664458114315</v>
      </c>
      <c r="R27" s="16">
        <v>4.0442041092707486</v>
      </c>
      <c r="S27" s="16">
        <v>0.51520396606835961</v>
      </c>
      <c r="T27" s="18">
        <v>2.2069548271839619</v>
      </c>
      <c r="U27" s="18">
        <v>0.1103477413591981</v>
      </c>
      <c r="V27" s="16">
        <v>2.250841573534681</v>
      </c>
      <c r="W27" s="16">
        <v>0.30915182755555382</v>
      </c>
      <c r="X27" s="18">
        <v>0.156484771613321</v>
      </c>
      <c r="Y27" s="18">
        <v>7.8242385806660524E-3</v>
      </c>
      <c r="Z27" s="34">
        <v>0.1553531621458426</v>
      </c>
      <c r="AA27" s="34">
        <v>2.1709505802692871E-2</v>
      </c>
      <c r="AB27" s="18">
        <v>6.25E-2</v>
      </c>
      <c r="AC27" s="18">
        <v>3.1250000000000002E-3</v>
      </c>
      <c r="AD27" s="34">
        <v>6.2608815025348277E-2</v>
      </c>
      <c r="AE27" s="34">
        <v>8.7061425178412491E-3</v>
      </c>
      <c r="AF27" s="18">
        <v>10.64</v>
      </c>
      <c r="AG27" s="18">
        <v>0.53200000000000003</v>
      </c>
      <c r="AH27" s="16">
        <v>11.786076792845</v>
      </c>
      <c r="AI27" s="16">
        <v>0.95433637001698723</v>
      </c>
      <c r="AJ27" s="18">
        <v>8.27</v>
      </c>
      <c r="AK27" s="18">
        <v>0.41349999999999998</v>
      </c>
      <c r="AL27" s="16">
        <v>8.5508491746827229</v>
      </c>
      <c r="AM27" s="16">
        <v>0.81982241025045222</v>
      </c>
      <c r="AN27" s="18">
        <v>0.88</v>
      </c>
      <c r="AO27" s="18">
        <v>4.3999999999999997E-2</v>
      </c>
      <c r="AP27" s="16">
        <v>0.88569244836842609</v>
      </c>
      <c r="AQ27" s="16">
        <v>8.792678837285349E-2</v>
      </c>
      <c r="AR27" s="18">
        <v>3.9</v>
      </c>
      <c r="AS27" s="18">
        <v>0.19500000000000001</v>
      </c>
      <c r="AT27" s="16">
        <v>3.9607034464042532</v>
      </c>
      <c r="AU27" s="16">
        <v>0.38935923538093331</v>
      </c>
      <c r="AV27" s="18">
        <v>0.16250000000000001</v>
      </c>
      <c r="AW27" s="18">
        <v>1.14904851942814E-2</v>
      </c>
      <c r="AX27" s="34">
        <v>0.16221708093409451</v>
      </c>
      <c r="AY27" s="34">
        <v>8.1250564778562392E-3</v>
      </c>
      <c r="AZ27" s="18">
        <v>0.16250000000000001</v>
      </c>
      <c r="BA27" s="18">
        <v>1.14904851942814E-2</v>
      </c>
      <c r="BB27" s="34">
        <v>0.1627829190659055</v>
      </c>
      <c r="BC27" s="34">
        <v>8.1250564778562392E-3</v>
      </c>
      <c r="BD27" s="18">
        <v>100</v>
      </c>
      <c r="BE27" s="18">
        <v>99.999999999999986</v>
      </c>
    </row>
    <row r="28" spans="1:57" s="18" customFormat="1" x14ac:dyDescent="0.25">
      <c r="A28" s="18">
        <v>27</v>
      </c>
      <c r="B28" s="18">
        <v>100.6047891139241</v>
      </c>
      <c r="C28" s="18">
        <v>82.919937438352989</v>
      </c>
      <c r="D28" s="18">
        <v>-42.9</v>
      </c>
      <c r="E28" s="18">
        <v>2.145</v>
      </c>
      <c r="F28" s="16">
        <v>-38.366064613393547</v>
      </c>
      <c r="G28" s="16">
        <v>4.5247443515759516</v>
      </c>
      <c r="H28" s="18">
        <v>0</v>
      </c>
      <c r="I28" s="18">
        <v>0</v>
      </c>
      <c r="J28" s="16">
        <v>0</v>
      </c>
      <c r="K28" s="16"/>
      <c r="L28" s="18">
        <v>29.29545454545454</v>
      </c>
      <c r="M28" s="18">
        <v>1.4647727272727269</v>
      </c>
      <c r="N28" s="16">
        <v>23.55739823409359</v>
      </c>
      <c r="O28" s="16">
        <v>2.8003422574971522</v>
      </c>
      <c r="P28" s="18">
        <v>3.8449831079747732</v>
      </c>
      <c r="Q28" s="18">
        <v>0.19224915539873871</v>
      </c>
      <c r="R28" s="16">
        <v>4.2995723153753804</v>
      </c>
      <c r="S28" s="16">
        <v>0.54131314276560727</v>
      </c>
      <c r="T28" s="18">
        <v>1.6060891167049161</v>
      </c>
      <c r="U28" s="18">
        <v>8.0304455835245814E-2</v>
      </c>
      <c r="V28" s="16">
        <v>1.6253585267169459</v>
      </c>
      <c r="W28" s="16">
        <v>0.22394601481031201</v>
      </c>
      <c r="X28" s="18">
        <v>0.1465832300210525</v>
      </c>
      <c r="Y28" s="18">
        <v>7.3291615010526246E-3</v>
      </c>
      <c r="Z28" s="34">
        <v>0.1450125826025018</v>
      </c>
      <c r="AA28" s="34">
        <v>2.022393068785179E-2</v>
      </c>
      <c r="AB28" s="18">
        <v>6.25E-2</v>
      </c>
      <c r="AC28" s="18">
        <v>3.1250000000000002E-3</v>
      </c>
      <c r="AD28" s="34">
        <v>6.2585027335396476E-2</v>
      </c>
      <c r="AE28" s="34">
        <v>8.6751327449642746E-3</v>
      </c>
      <c r="AF28" s="18">
        <v>12.47</v>
      </c>
      <c r="AG28" s="18">
        <v>0.62350000000000005</v>
      </c>
      <c r="AH28" s="16">
        <v>14.21085507973166</v>
      </c>
      <c r="AI28" s="16">
        <v>1.12260335138607</v>
      </c>
      <c r="AJ28" s="18">
        <v>6.79</v>
      </c>
      <c r="AK28" s="18">
        <v>0.33950000000000002</v>
      </c>
      <c r="AL28" s="16">
        <v>7.0028084070839771</v>
      </c>
      <c r="AM28" s="16">
        <v>0.6780002570492365</v>
      </c>
      <c r="AN28" s="18">
        <v>0.93000000000000016</v>
      </c>
      <c r="AO28" s="18">
        <v>4.6500000000000007E-2</v>
      </c>
      <c r="AP28" s="16">
        <v>0.93762090965655787</v>
      </c>
      <c r="AQ28" s="16">
        <v>9.300788631635061E-2</v>
      </c>
      <c r="AR28" s="18">
        <v>4.4000000000000004</v>
      </c>
      <c r="AS28" s="18">
        <v>0.22000000000000011</v>
      </c>
      <c r="AT28" s="16">
        <v>4.4902036736406714</v>
      </c>
      <c r="AU28" s="16">
        <v>0.44002804052967692</v>
      </c>
      <c r="AV28" s="18">
        <v>0.16250000000000001</v>
      </c>
      <c r="AW28" s="18">
        <v>1.14904851942814E-2</v>
      </c>
      <c r="AX28" s="34">
        <v>0.16227892892796919</v>
      </c>
      <c r="AY28" s="34">
        <v>8.1250518648343876E-3</v>
      </c>
      <c r="AZ28" s="18">
        <v>0.16250000000000001</v>
      </c>
      <c r="BA28" s="18">
        <v>1.14904851942814E-2</v>
      </c>
      <c r="BB28" s="34">
        <v>0.16272107107203079</v>
      </c>
      <c r="BC28" s="34">
        <v>8.1250518648343876E-3</v>
      </c>
      <c r="BD28" s="18">
        <v>100</v>
      </c>
      <c r="BE28" s="18">
        <v>99.999999999999986</v>
      </c>
    </row>
    <row r="29" spans="1:57" x14ac:dyDescent="0.25">
      <c r="A29">
        <v>28</v>
      </c>
      <c r="B29">
        <v>110.2063569631578</v>
      </c>
      <c r="C29">
        <v>119.30767898189301</v>
      </c>
      <c r="D29">
        <v>-10.20833333333333</v>
      </c>
      <c r="E29">
        <v>4.111469893380932E-2</v>
      </c>
      <c r="F29" s="6">
        <v>-12.9833920920931</v>
      </c>
      <c r="G29" s="6">
        <v>3.1999387340797001</v>
      </c>
      <c r="H29">
        <v>0</v>
      </c>
      <c r="I29">
        <v>0</v>
      </c>
      <c r="J29" s="6">
        <v>0</v>
      </c>
      <c r="K29" s="6"/>
      <c r="L29">
        <v>5.1111111111111107</v>
      </c>
      <c r="M29">
        <v>0.21930038677701091</v>
      </c>
      <c r="N29" s="6">
        <v>6.4449438971184296</v>
      </c>
      <c r="O29" s="6">
        <v>1.58806193727449</v>
      </c>
      <c r="P29">
        <v>1.388888888888889E-2</v>
      </c>
      <c r="Q29">
        <v>6.9444444444444458E-4</v>
      </c>
      <c r="R29" s="6">
        <v>1.6640753597380899E-2</v>
      </c>
      <c r="S29" s="6">
        <v>4.2890566044666532E-3</v>
      </c>
      <c r="T29">
        <v>2.5277777777777781</v>
      </c>
      <c r="U29">
        <v>4.2581063261374459E-2</v>
      </c>
      <c r="V29" s="6">
        <v>2.7243091561774531</v>
      </c>
      <c r="W29" s="6">
        <v>0.67811849031175997</v>
      </c>
      <c r="X29">
        <v>0</v>
      </c>
      <c r="Y29">
        <v>0</v>
      </c>
      <c r="Z29" s="5">
        <v>0</v>
      </c>
      <c r="AA29" s="5"/>
      <c r="AB29">
        <v>2.777777777777778E-2</v>
      </c>
      <c r="AC29">
        <v>5.5563927374186447E-3</v>
      </c>
      <c r="AD29" s="5">
        <v>2.779778775743184E-2</v>
      </c>
      <c r="AE29" s="5">
        <v>9.3372611386627405E-3</v>
      </c>
      <c r="AF29">
        <v>9.2136000000000006E-3</v>
      </c>
      <c r="AG29">
        <v>4.6067999999999999E-4</v>
      </c>
      <c r="AH29" s="5">
        <v>1.3791923560341861E-2</v>
      </c>
      <c r="AI29" s="5">
        <v>1.3802969977314871E-3</v>
      </c>
      <c r="AJ29">
        <v>3.2848443999999999</v>
      </c>
      <c r="AK29">
        <v>5.4046799999999999E-2</v>
      </c>
      <c r="AL29" s="6">
        <v>2.9433123945812278</v>
      </c>
      <c r="AM29" s="6">
        <v>0.21911631700615561</v>
      </c>
      <c r="AN29">
        <v>0</v>
      </c>
      <c r="AO29">
        <v>0</v>
      </c>
      <c r="AP29" s="6">
        <v>0</v>
      </c>
      <c r="AQ29" s="6"/>
      <c r="AR29">
        <v>0.6</v>
      </c>
      <c r="AS29">
        <v>0.03</v>
      </c>
      <c r="AT29" s="6">
        <v>0.50010676346097149</v>
      </c>
      <c r="AU29" s="6">
        <v>0.1187818480776396</v>
      </c>
      <c r="AV29">
        <v>2.0833333333333329E-2</v>
      </c>
      <c r="AW29">
        <v>1.473139127471974E-3</v>
      </c>
      <c r="AX29" s="5">
        <v>2.0818325848592781E-2</v>
      </c>
      <c r="AY29" s="5">
        <v>1.0416668845786401E-3</v>
      </c>
      <c r="AZ29">
        <v>2.0833333333333329E-2</v>
      </c>
      <c r="BA29">
        <v>1.473139127471974E-3</v>
      </c>
      <c r="BB29" s="5">
        <v>2.0848340818073879E-2</v>
      </c>
      <c r="BC29" s="5">
        <v>1.0416668845786401E-3</v>
      </c>
      <c r="BD29">
        <v>100</v>
      </c>
      <c r="BE29">
        <v>100</v>
      </c>
    </row>
    <row r="30" spans="1:57" x14ac:dyDescent="0.25">
      <c r="A30">
        <v>29</v>
      </c>
      <c r="B30">
        <v>142.95893415135399</v>
      </c>
      <c r="C30">
        <v>155.68669000985531</v>
      </c>
      <c r="D30">
        <v>-7.2997416020671828</v>
      </c>
      <c r="E30">
        <v>6.2738556758660288E-2</v>
      </c>
      <c r="F30" s="6">
        <v>-14.12022651097478</v>
      </c>
      <c r="G30" s="6">
        <v>4.6548481735180243</v>
      </c>
      <c r="H30">
        <v>0</v>
      </c>
      <c r="I30">
        <v>0</v>
      </c>
      <c r="J30" s="6">
        <v>0</v>
      </c>
      <c r="K30" s="6"/>
      <c r="L30">
        <v>4.6899224806201536</v>
      </c>
      <c r="M30">
        <v>0.2369162116766009</v>
      </c>
      <c r="N30" s="6">
        <v>6.9967264188083016</v>
      </c>
      <c r="O30" s="6">
        <v>2.30619099061107</v>
      </c>
      <c r="P30">
        <v>0</v>
      </c>
      <c r="Q30">
        <v>0</v>
      </c>
      <c r="R30" s="6">
        <v>0</v>
      </c>
      <c r="S30" s="6"/>
      <c r="T30">
        <v>2.3449612403100768</v>
      </c>
      <c r="U30">
        <v>5.7990301871932659E-2</v>
      </c>
      <c r="V30" s="6">
        <v>3.0335264070908532</v>
      </c>
      <c r="W30" s="6">
        <v>1.0084462809575421</v>
      </c>
      <c r="X30">
        <v>0</v>
      </c>
      <c r="Y30">
        <v>0</v>
      </c>
      <c r="Z30" s="5">
        <v>0</v>
      </c>
      <c r="AA30" s="5"/>
      <c r="AB30">
        <v>2.777777777777778E-2</v>
      </c>
      <c r="AC30">
        <v>5.8146457427185388E-3</v>
      </c>
      <c r="AD30" s="5">
        <v>2.7795127883779289E-2</v>
      </c>
      <c r="AE30" s="5">
        <v>1.268652951045506E-2</v>
      </c>
      <c r="AF30">
        <v>0</v>
      </c>
      <c r="AG30">
        <v>0</v>
      </c>
      <c r="AH30" s="5">
        <v>0</v>
      </c>
      <c r="AI30" s="5"/>
      <c r="AJ30">
        <v>3.2698314000000002</v>
      </c>
      <c r="AK30">
        <v>8.0169420000000005E-2</v>
      </c>
      <c r="AL30" s="6">
        <v>2.596723801500652</v>
      </c>
      <c r="AM30" s="6">
        <v>0.20686644545037389</v>
      </c>
      <c r="AN30">
        <v>0</v>
      </c>
      <c r="AO30">
        <v>0</v>
      </c>
      <c r="AP30" s="6">
        <v>0</v>
      </c>
      <c r="AQ30" s="6"/>
      <c r="AR30">
        <v>0.64500000000000002</v>
      </c>
      <c r="AS30">
        <v>3.2250000000000001E-2</v>
      </c>
      <c r="AT30" s="6">
        <v>0.39620429527714879</v>
      </c>
      <c r="AU30" s="6">
        <v>0.12787189103924149</v>
      </c>
      <c r="AV30">
        <v>2.0833333333333329E-2</v>
      </c>
      <c r="AW30">
        <v>1.473139127471974E-3</v>
      </c>
      <c r="AX30" s="5">
        <v>2.0820320753832201E-2</v>
      </c>
      <c r="AY30" s="5">
        <v>1.0416668493579461E-3</v>
      </c>
      <c r="AZ30">
        <v>2.0833333333333329E-2</v>
      </c>
      <c r="BA30">
        <v>1.473139127471974E-3</v>
      </c>
      <c r="BB30" s="5">
        <v>2.084634591283446E-2</v>
      </c>
      <c r="BC30" s="5">
        <v>1.0416668493579461E-3</v>
      </c>
      <c r="BD30">
        <v>100</v>
      </c>
      <c r="BE30">
        <v>100</v>
      </c>
    </row>
    <row r="31" spans="1:57" x14ac:dyDescent="0.25">
      <c r="A31">
        <v>30</v>
      </c>
      <c r="B31">
        <v>103.9659391732848</v>
      </c>
      <c r="C31">
        <v>107.5471937159509</v>
      </c>
      <c r="D31">
        <v>-16.964285714285712</v>
      </c>
      <c r="E31">
        <v>1.1660778043706821</v>
      </c>
      <c r="F31" s="6">
        <v>-17.63834859754623</v>
      </c>
      <c r="G31" s="6">
        <v>2.3354311368216369</v>
      </c>
      <c r="H31">
        <v>0</v>
      </c>
      <c r="I31">
        <v>0</v>
      </c>
      <c r="J31" s="6">
        <v>0</v>
      </c>
      <c r="K31" s="6"/>
      <c r="L31">
        <v>8.4821428571428559</v>
      </c>
      <c r="M31">
        <v>0.42410714285714279</v>
      </c>
      <c r="N31" s="6">
        <v>8.7860708032056465</v>
      </c>
      <c r="O31" s="6">
        <v>1.1640103391305789</v>
      </c>
      <c r="P31">
        <v>1.488095238095238E-2</v>
      </c>
      <c r="Q31">
        <v>1.3393314812665719E-2</v>
      </c>
      <c r="R31" s="6">
        <v>1.444100223535786E-2</v>
      </c>
      <c r="S31" s="6">
        <v>1.3622585299839301E-2</v>
      </c>
      <c r="T31">
        <v>4.1666666666666661</v>
      </c>
      <c r="U31">
        <v>0.13746994313197239</v>
      </c>
      <c r="V31" s="6">
        <v>4.0154937465780502</v>
      </c>
      <c r="W31" s="6">
        <v>0.53918780824507717</v>
      </c>
      <c r="X31">
        <v>0</v>
      </c>
      <c r="Y31">
        <v>0</v>
      </c>
      <c r="Z31" s="5">
        <v>0</v>
      </c>
      <c r="AA31" s="5"/>
      <c r="AB31">
        <v>2.0833333333333329E-2</v>
      </c>
      <c r="AC31">
        <v>1.4961468888905821E-3</v>
      </c>
      <c r="AD31" s="5">
        <v>2.084826228653916E-2</v>
      </c>
      <c r="AE31" s="5">
        <v>3.3238343971796059E-3</v>
      </c>
      <c r="AF31">
        <v>9.2136000000000006E-3</v>
      </c>
      <c r="AG31">
        <v>4.6067999999999999E-4</v>
      </c>
      <c r="AH31" s="5">
        <v>8.873242008955385E-3</v>
      </c>
      <c r="AI31" s="5">
        <v>8.3103719095924625E-3</v>
      </c>
      <c r="AJ31">
        <v>3.3629120000000001</v>
      </c>
      <c r="AK31">
        <v>0.16814560000000001</v>
      </c>
      <c r="AL31" s="6">
        <v>3.2162667655810329</v>
      </c>
      <c r="AM31" s="6">
        <v>0.23457918733125091</v>
      </c>
      <c r="AN31">
        <v>0</v>
      </c>
      <c r="AO31">
        <v>0</v>
      </c>
      <c r="AP31" s="6">
        <v>0</v>
      </c>
      <c r="AQ31" s="6"/>
      <c r="AR31">
        <v>0.28000000000000003</v>
      </c>
      <c r="AS31">
        <v>1.4E-2</v>
      </c>
      <c r="AT31" s="6">
        <v>0.2780708698391901</v>
      </c>
      <c r="AU31" s="6">
        <v>3.1345806230403048E-2</v>
      </c>
      <c r="AV31">
        <v>2.0833333333333329E-2</v>
      </c>
      <c r="AW31">
        <v>1.473139127471974E-3</v>
      </c>
      <c r="AX31" s="5">
        <v>2.0818404380127501E-2</v>
      </c>
      <c r="AY31" s="5">
        <v>1.041666912240306E-3</v>
      </c>
      <c r="AZ31">
        <v>2.0833333333333329E-2</v>
      </c>
      <c r="BA31">
        <v>1.473139127471974E-3</v>
      </c>
      <c r="BB31" s="5">
        <v>2.084826228653916E-2</v>
      </c>
      <c r="BC31" s="5">
        <v>1.041666912240306E-3</v>
      </c>
      <c r="BD31">
        <v>100</v>
      </c>
      <c r="BE31">
        <v>100</v>
      </c>
    </row>
    <row r="32" spans="1:57" x14ac:dyDescent="0.25">
      <c r="A32">
        <v>31</v>
      </c>
      <c r="B32">
        <v>103.70922114427231</v>
      </c>
      <c r="C32">
        <v>102.1534172957719</v>
      </c>
      <c r="D32">
        <v>-20.066287878787879</v>
      </c>
      <c r="E32">
        <v>0.99929382372280851</v>
      </c>
      <c r="F32" s="6">
        <v>-20.644925301944362</v>
      </c>
      <c r="G32" s="6">
        <v>2.9445025248090531</v>
      </c>
      <c r="H32">
        <v>-4.121212121212122</v>
      </c>
      <c r="I32">
        <v>0.21381904508833349</v>
      </c>
      <c r="J32" s="6">
        <v>-4.1025108775284744</v>
      </c>
      <c r="K32" s="6">
        <v>0.65286909069545496</v>
      </c>
      <c r="L32">
        <v>8.427840909090909</v>
      </c>
      <c r="M32">
        <v>0.42139204545454539</v>
      </c>
      <c r="N32" s="6">
        <v>8.2426070192215128</v>
      </c>
      <c r="O32" s="6">
        <v>1.2184343717492481</v>
      </c>
      <c r="P32">
        <v>1.893939393939394E-2</v>
      </c>
      <c r="Q32">
        <v>5.9581634443607264E-4</v>
      </c>
      <c r="R32" s="6">
        <v>1.8966317884231209E-2</v>
      </c>
      <c r="S32" s="6">
        <v>2.954176758661262E-3</v>
      </c>
      <c r="T32">
        <v>5.7765151515151514</v>
      </c>
      <c r="U32">
        <v>0.1278262222538932</v>
      </c>
      <c r="V32" s="6">
        <v>5.7858052328883618</v>
      </c>
      <c r="W32" s="6">
        <v>0.82244791532631101</v>
      </c>
      <c r="X32">
        <v>0</v>
      </c>
      <c r="Y32">
        <v>0</v>
      </c>
      <c r="Z32" s="5">
        <v>0</v>
      </c>
      <c r="AA32" s="5"/>
      <c r="AB32">
        <v>2.0833333333333329E-2</v>
      </c>
      <c r="AC32">
        <v>1.904186949497104E-3</v>
      </c>
      <c r="AD32" s="5">
        <v>2.0857915016784221E-2</v>
      </c>
      <c r="AE32" s="5">
        <v>3.7048303868210219E-3</v>
      </c>
      <c r="AF32">
        <v>9.2136000000000006E-3</v>
      </c>
      <c r="AG32">
        <v>4.6067999999999999E-4</v>
      </c>
      <c r="AH32" s="5">
        <v>9.2031381827041153E-3</v>
      </c>
      <c r="AI32" s="5">
        <v>8.4764448705831777E-4</v>
      </c>
      <c r="AJ32">
        <v>3.6631719999999999</v>
      </c>
      <c r="AK32">
        <v>0.1831586</v>
      </c>
      <c r="AL32" s="6">
        <v>3.659694601013201</v>
      </c>
      <c r="AM32" s="6">
        <v>0.2435452176186951</v>
      </c>
      <c r="AN32">
        <v>0</v>
      </c>
      <c r="AO32">
        <v>0</v>
      </c>
      <c r="AP32" s="6">
        <v>0</v>
      </c>
      <c r="AQ32" s="6"/>
      <c r="AR32">
        <v>0.22</v>
      </c>
      <c r="AS32">
        <v>1.0999999999999999E-2</v>
      </c>
      <c r="AT32" s="6">
        <v>0.2196971651741087</v>
      </c>
      <c r="AU32" s="6">
        <v>2.7590932223645601E-2</v>
      </c>
      <c r="AV32">
        <v>2.0833333333333329E-2</v>
      </c>
      <c r="AW32">
        <v>1.473139127471974E-3</v>
      </c>
      <c r="AX32" s="5">
        <v>2.080875164988244E-2</v>
      </c>
      <c r="AY32" s="5">
        <v>1.0416672723845891E-3</v>
      </c>
      <c r="AZ32">
        <v>2.0833333333333329E-2</v>
      </c>
      <c r="BA32">
        <v>1.473139127471974E-3</v>
      </c>
      <c r="BB32" s="5">
        <v>2.0857915016784221E-2</v>
      </c>
      <c r="BC32" s="5">
        <v>1.0416672723845891E-3</v>
      </c>
      <c r="BD32">
        <v>100</v>
      </c>
      <c r="BE32">
        <v>100</v>
      </c>
    </row>
    <row r="33" spans="1:57" x14ac:dyDescent="0.25">
      <c r="A33">
        <v>32</v>
      </c>
      <c r="B33">
        <v>97.759003121301419</v>
      </c>
      <c r="C33">
        <v>93.23906772798</v>
      </c>
      <c r="D33">
        <v>-18.470486111111111</v>
      </c>
      <c r="E33">
        <v>1.158715947632001</v>
      </c>
      <c r="F33" s="6">
        <v>-18.531484741788301</v>
      </c>
      <c r="G33" s="6">
        <v>2.5533918916642202</v>
      </c>
      <c r="H33">
        <v>-7.5555555555555562</v>
      </c>
      <c r="I33">
        <v>0.48879517088554392</v>
      </c>
      <c r="J33" s="6">
        <v>-7.1402433335341851</v>
      </c>
      <c r="K33" s="6">
        <v>1.1044090292918911</v>
      </c>
      <c r="L33">
        <v>5.9105555555555558</v>
      </c>
      <c r="M33">
        <v>0.29552777777777778</v>
      </c>
      <c r="N33" s="6">
        <v>5.6826308094481437</v>
      </c>
      <c r="O33" s="6">
        <v>0.85557529883060424</v>
      </c>
      <c r="P33">
        <v>3.4722222222222217E-2</v>
      </c>
      <c r="Q33">
        <v>4.5979360802481421E-4</v>
      </c>
      <c r="R33" s="6">
        <v>3.4598421858117928E-2</v>
      </c>
      <c r="S33" s="6">
        <v>5.1317084205130432E-3</v>
      </c>
      <c r="T33">
        <v>5.6423611111111116</v>
      </c>
      <c r="U33">
        <v>0.33519493356026858</v>
      </c>
      <c r="V33" s="6">
        <v>5.9932592398367053</v>
      </c>
      <c r="W33" s="6">
        <v>0.83400508543186891</v>
      </c>
      <c r="X33">
        <v>0</v>
      </c>
      <c r="Y33">
        <v>0</v>
      </c>
      <c r="Z33" s="5">
        <v>0</v>
      </c>
      <c r="AA33" s="5"/>
      <c r="AB33">
        <v>2.0833333333333329E-2</v>
      </c>
      <c r="AC33">
        <v>1.745504703705679E-3</v>
      </c>
      <c r="AD33" s="5">
        <v>2.086747680148783E-2</v>
      </c>
      <c r="AE33" s="5">
        <v>3.533171212485987E-3</v>
      </c>
      <c r="AF33">
        <v>1.8427200000000001E-2</v>
      </c>
      <c r="AG33">
        <v>9.2136000000000008E-4</v>
      </c>
      <c r="AH33" s="5">
        <v>1.8406488504816861E-2</v>
      </c>
      <c r="AI33" s="5">
        <v>1.611130924231731E-3</v>
      </c>
      <c r="AJ33">
        <v>3.9033799999999998</v>
      </c>
      <c r="AK33">
        <v>0.19516900000000001</v>
      </c>
      <c r="AL33" s="6">
        <v>4.1562899357955718</v>
      </c>
      <c r="AM33" s="6">
        <v>0.29468361702217027</v>
      </c>
      <c r="AN33">
        <v>0</v>
      </c>
      <c r="AO33">
        <v>0</v>
      </c>
      <c r="AP33" s="6">
        <v>0</v>
      </c>
      <c r="AQ33" s="6"/>
      <c r="AR33">
        <v>0.24</v>
      </c>
      <c r="AS33">
        <v>1.2E-2</v>
      </c>
      <c r="AT33" s="6">
        <v>0.2409823501244415</v>
      </c>
      <c r="AU33" s="6">
        <v>2.8847164216369112E-2</v>
      </c>
      <c r="AV33">
        <v>2.0833333333333329E-2</v>
      </c>
      <c r="AW33">
        <v>1.473139127471974E-3</v>
      </c>
      <c r="AX33" s="5">
        <v>2.0799189865178831E-2</v>
      </c>
      <c r="AY33" s="5">
        <v>1.041668658770867E-3</v>
      </c>
      <c r="AZ33">
        <v>2.0833333333333329E-2</v>
      </c>
      <c r="BA33">
        <v>1.473139127471974E-3</v>
      </c>
      <c r="BB33" s="5">
        <v>2.086747680148783E-2</v>
      </c>
      <c r="BC33" s="5">
        <v>1.041668658770867E-3</v>
      </c>
      <c r="BD33">
        <v>100</v>
      </c>
      <c r="BE33">
        <v>100</v>
      </c>
    </row>
    <row r="34" spans="1:57" x14ac:dyDescent="0.25">
      <c r="A34">
        <v>33</v>
      </c>
      <c r="B34">
        <v>104.9297157253646</v>
      </c>
      <c r="C34">
        <v>101.1944486221643</v>
      </c>
      <c r="D34">
        <v>-14.79027777777778</v>
      </c>
      <c r="E34">
        <v>0.81758830260652549</v>
      </c>
      <c r="F34" s="6">
        <v>-15.512915086503799</v>
      </c>
      <c r="G34" s="6">
        <v>1.968605964628398</v>
      </c>
      <c r="H34">
        <v>-11.934722222222231</v>
      </c>
      <c r="I34">
        <v>0.67317703634828996</v>
      </c>
      <c r="J34" s="6">
        <v>-11.568382511299131</v>
      </c>
      <c r="K34" s="6">
        <v>1.523032614131776</v>
      </c>
      <c r="L34">
        <v>2.3664444444444439</v>
      </c>
      <c r="M34">
        <v>0.1183222222222222</v>
      </c>
      <c r="N34" s="6">
        <v>2.3432099888662821</v>
      </c>
      <c r="O34" s="6">
        <v>0.34539924925040671</v>
      </c>
      <c r="P34">
        <v>0.41666666666666669</v>
      </c>
      <c r="Q34">
        <v>1.014367065490995E-2</v>
      </c>
      <c r="R34" s="6">
        <v>0.41857511263525837</v>
      </c>
      <c r="S34" s="6">
        <v>5.9174907369974758E-2</v>
      </c>
      <c r="T34">
        <v>5.7638888888888893</v>
      </c>
      <c r="U34">
        <v>5.2089080758558629E-2</v>
      </c>
      <c r="V34" s="6">
        <v>5.7693490080892227</v>
      </c>
      <c r="W34" s="6">
        <v>0.75414022823168914</v>
      </c>
      <c r="X34">
        <v>0</v>
      </c>
      <c r="Y34">
        <v>0</v>
      </c>
      <c r="Z34" s="5">
        <v>0</v>
      </c>
      <c r="AA34" s="5"/>
      <c r="AB34">
        <v>2.0833333333333329E-2</v>
      </c>
      <c r="AC34">
        <v>1.396403762964544E-3</v>
      </c>
      <c r="AD34" s="5">
        <v>2.088637388632103E-2</v>
      </c>
      <c r="AE34" s="5">
        <v>3.230618408245949E-3</v>
      </c>
      <c r="AF34">
        <v>0.27640799999999999</v>
      </c>
      <c r="AG34">
        <v>1.38204E-2</v>
      </c>
      <c r="AH34" s="5">
        <v>0.27610196447508178</v>
      </c>
      <c r="AI34" s="5">
        <v>2.4722255269073679E-2</v>
      </c>
      <c r="AJ34">
        <v>4.9843159999999997</v>
      </c>
      <c r="AK34">
        <v>0.24921579999999999</v>
      </c>
      <c r="AL34" s="6">
        <v>4.9607920619899186</v>
      </c>
      <c r="AM34" s="6">
        <v>0.35488750351643727</v>
      </c>
      <c r="AN34">
        <v>0</v>
      </c>
      <c r="AO34">
        <v>0</v>
      </c>
      <c r="AP34" s="6">
        <v>0</v>
      </c>
      <c r="AQ34" s="6"/>
      <c r="AR34">
        <v>0.3</v>
      </c>
      <c r="AS34">
        <v>1.4999999999999999E-2</v>
      </c>
      <c r="AT34" s="6">
        <v>0.2990610017830922</v>
      </c>
      <c r="AU34" s="6">
        <v>3.2700351568037127E-2</v>
      </c>
      <c r="AV34">
        <v>2.0833333333333329E-2</v>
      </c>
      <c r="AW34">
        <v>1.473139127471974E-3</v>
      </c>
      <c r="AX34" s="5">
        <v>2.0780292780345631E-2</v>
      </c>
      <c r="AY34" s="5">
        <v>1.0416701324699751E-3</v>
      </c>
      <c r="AZ34">
        <v>2.0833333333333329E-2</v>
      </c>
      <c r="BA34">
        <v>1.473139127471974E-3</v>
      </c>
      <c r="BB34" s="5">
        <v>2.088637388632103E-2</v>
      </c>
      <c r="BC34" s="5">
        <v>1.0416701324699751E-3</v>
      </c>
      <c r="BD34">
        <v>100</v>
      </c>
      <c r="BE34">
        <v>99.999999999999972</v>
      </c>
    </row>
    <row r="35" spans="1:57" x14ac:dyDescent="0.25">
      <c r="A35">
        <v>34</v>
      </c>
      <c r="B35">
        <v>97.967560246234669</v>
      </c>
      <c r="C35">
        <v>97.550452918820682</v>
      </c>
      <c r="D35">
        <v>-32.93611111111111</v>
      </c>
      <c r="E35">
        <v>3.0896078367177058</v>
      </c>
      <c r="F35" s="6">
        <v>-32.339866190605044</v>
      </c>
      <c r="G35" s="6">
        <v>4.8611064071650043</v>
      </c>
      <c r="H35">
        <v>0</v>
      </c>
      <c r="I35">
        <v>0</v>
      </c>
      <c r="J35" s="6">
        <v>0</v>
      </c>
      <c r="K35" s="6"/>
      <c r="L35">
        <v>16.13869444444444</v>
      </c>
      <c r="M35">
        <v>0.80693472222222218</v>
      </c>
      <c r="N35" s="6">
        <v>16.10655210713627</v>
      </c>
      <c r="O35" s="6">
        <v>2.4219042659441619</v>
      </c>
      <c r="P35">
        <v>0</v>
      </c>
      <c r="Q35">
        <v>0</v>
      </c>
      <c r="R35" s="6">
        <v>0</v>
      </c>
      <c r="S35" s="6"/>
      <c r="T35">
        <v>7.5361111111111114</v>
      </c>
      <c r="U35">
        <v>0.22819785564122619</v>
      </c>
      <c r="V35" s="6">
        <v>7.5884821403489742</v>
      </c>
      <c r="W35" s="6">
        <v>1.149186993472447</v>
      </c>
      <c r="X35">
        <v>0</v>
      </c>
      <c r="Y35">
        <v>0</v>
      </c>
      <c r="Z35" s="5">
        <v>0</v>
      </c>
      <c r="AA35" s="5"/>
      <c r="AB35">
        <v>2.777777777777778E-2</v>
      </c>
      <c r="AC35">
        <v>2.8044416428065198E-3</v>
      </c>
      <c r="AD35" s="5">
        <v>2.779256331090026E-2</v>
      </c>
      <c r="AE35" s="5">
        <v>5.210396599464086E-3</v>
      </c>
      <c r="AF35">
        <v>9.2136000000000006E-3</v>
      </c>
      <c r="AG35">
        <v>4.6067999999999999E-4</v>
      </c>
      <c r="AH35" s="5">
        <v>0</v>
      </c>
      <c r="AI35" s="5"/>
      <c r="AJ35">
        <v>2.4441164</v>
      </c>
      <c r="AK35">
        <v>0.12220582000000001</v>
      </c>
      <c r="AL35" s="6">
        <v>2.4613645704828651</v>
      </c>
      <c r="AM35" s="6">
        <v>0.18018287780914991</v>
      </c>
      <c r="AN35">
        <v>0</v>
      </c>
      <c r="AO35">
        <v>0</v>
      </c>
      <c r="AP35" s="6">
        <v>0</v>
      </c>
      <c r="AQ35" s="6"/>
      <c r="AR35">
        <v>0.15</v>
      </c>
      <c r="AS35">
        <v>7.4999999999999997E-3</v>
      </c>
      <c r="AT35" s="6">
        <v>0.1501143314219541</v>
      </c>
      <c r="AU35" s="6">
        <v>1.9899075988306661E-2</v>
      </c>
      <c r="AV35">
        <v>2.0833333333333329E-2</v>
      </c>
      <c r="AW35">
        <v>1.473139127471974E-3</v>
      </c>
      <c r="AX35" s="5">
        <v>2.0822244183491469E-2</v>
      </c>
      <c r="AY35" s="5">
        <v>1.04166681229999E-3</v>
      </c>
      <c r="AZ35">
        <v>2.0833333333333329E-2</v>
      </c>
      <c r="BA35">
        <v>1.473139127471974E-3</v>
      </c>
      <c r="BB35" s="5">
        <v>2.0844422483175189E-2</v>
      </c>
      <c r="BC35" s="5">
        <v>1.04166681229999E-3</v>
      </c>
      <c r="BD35">
        <v>99.999999999999972</v>
      </c>
      <c r="BE35">
        <v>99.999999999999972</v>
      </c>
    </row>
    <row r="36" spans="1:57" x14ac:dyDescent="0.25">
      <c r="A36">
        <v>35</v>
      </c>
      <c r="B36">
        <v>99.854435617517751</v>
      </c>
      <c r="C36">
        <v>99.55303000298089</v>
      </c>
      <c r="D36">
        <v>-32.55952380952381</v>
      </c>
      <c r="E36">
        <v>0.85083692690591439</v>
      </c>
      <c r="F36" s="6">
        <v>-33.712226091077248</v>
      </c>
      <c r="G36" s="6">
        <v>5.2588036282175077</v>
      </c>
      <c r="H36">
        <v>0</v>
      </c>
      <c r="I36">
        <v>0</v>
      </c>
      <c r="J36" s="6">
        <v>0</v>
      </c>
      <c r="K36" s="6"/>
      <c r="L36">
        <v>16.279761904761909</v>
      </c>
      <c r="M36">
        <v>0.81398809523809534</v>
      </c>
      <c r="N36" s="6">
        <v>16.829851596787719</v>
      </c>
      <c r="O36" s="6">
        <v>2.6258084086608489</v>
      </c>
      <c r="P36">
        <v>3.5714285714285712E-2</v>
      </c>
      <c r="Q36">
        <v>2.3815454572935879E-2</v>
      </c>
      <c r="R36" s="6">
        <v>3.7117166224575809E-2</v>
      </c>
      <c r="S36" s="6">
        <v>2.5405488792109542E-2</v>
      </c>
      <c r="T36">
        <v>7.5714285714285703</v>
      </c>
      <c r="U36">
        <v>0.13668341530939129</v>
      </c>
      <c r="V36" s="6">
        <v>7.8759149561245119</v>
      </c>
      <c r="W36" s="6">
        <v>1.236019467423743</v>
      </c>
      <c r="X36">
        <v>0</v>
      </c>
      <c r="Y36">
        <v>0</v>
      </c>
      <c r="Z36" s="5">
        <v>0</v>
      </c>
      <c r="AA36" s="5"/>
      <c r="AB36">
        <v>2.6785714285714281E-2</v>
      </c>
      <c r="AC36">
        <v>3.0027636054421772E-3</v>
      </c>
      <c r="AD36" s="5">
        <v>2.7791522666748471E-2</v>
      </c>
      <c r="AE36" s="5">
        <v>5.5465982112588167E-3</v>
      </c>
      <c r="AF36">
        <v>1.1977679999999999E-2</v>
      </c>
      <c r="AG36">
        <v>5.9888400000000005E-4</v>
      </c>
      <c r="AH36" s="5">
        <v>8.3073063485080301E-3</v>
      </c>
      <c r="AI36" s="5">
        <v>5.5639016805596039E-3</v>
      </c>
      <c r="AJ36">
        <v>3.7952864000000002</v>
      </c>
      <c r="AK36">
        <v>0.18976431999999999</v>
      </c>
      <c r="AL36" s="6">
        <v>3.7976273018891931</v>
      </c>
      <c r="AM36" s="6">
        <v>0.24282602099348891</v>
      </c>
      <c r="AN36">
        <v>0</v>
      </c>
      <c r="AO36">
        <v>0</v>
      </c>
      <c r="AP36" s="6">
        <v>0</v>
      </c>
      <c r="AQ36" s="6"/>
      <c r="AR36">
        <v>0.14000000000000001</v>
      </c>
      <c r="AS36">
        <v>7.000000000000001E-3</v>
      </c>
      <c r="AT36" s="6">
        <v>0.13502009156682129</v>
      </c>
      <c r="AU36" s="6">
        <v>1.9053917921421699E-2</v>
      </c>
      <c r="AV36">
        <v>2.0833333333333329E-2</v>
      </c>
      <c r="AW36">
        <v>1.473139127471974E-3</v>
      </c>
      <c r="AX36" s="5">
        <v>2.0823024666605312E-2</v>
      </c>
      <c r="AY36" s="5">
        <v>1.041666764891728E-3</v>
      </c>
      <c r="AZ36">
        <v>2.0833333333333329E-2</v>
      </c>
      <c r="BA36">
        <v>1.473139127471974E-3</v>
      </c>
      <c r="BB36" s="5">
        <v>2.0843642000061349E-2</v>
      </c>
      <c r="BC36" s="5">
        <v>1.041666764891728E-3</v>
      </c>
      <c r="BD36">
        <v>99.999999999999986</v>
      </c>
      <c r="BE36">
        <v>99.999999999999986</v>
      </c>
    </row>
    <row r="37" spans="1:57" x14ac:dyDescent="0.25">
      <c r="A37">
        <v>36</v>
      </c>
      <c r="B37">
        <v>97.454842502510061</v>
      </c>
      <c r="C37">
        <v>85.336273741285879</v>
      </c>
      <c r="D37">
        <v>-48.439814814814817</v>
      </c>
      <c r="E37">
        <v>1.8506036967440289</v>
      </c>
      <c r="F37" s="6">
        <v>-46.290554548167719</v>
      </c>
      <c r="G37" s="6">
        <v>6.0697256791494274</v>
      </c>
      <c r="H37">
        <v>0</v>
      </c>
      <c r="I37">
        <v>0</v>
      </c>
      <c r="J37" s="6">
        <v>0</v>
      </c>
      <c r="K37" s="6"/>
      <c r="L37">
        <v>26.641898148148151</v>
      </c>
      <c r="M37">
        <v>1.332094907407408</v>
      </c>
      <c r="N37" s="6">
        <v>23.24946917145294</v>
      </c>
      <c r="O37" s="6">
        <v>3.0468827103836129</v>
      </c>
      <c r="P37">
        <v>0.16666666666666671</v>
      </c>
      <c r="Q37">
        <v>2.346744803355795E-2</v>
      </c>
      <c r="R37" s="6">
        <v>0.16756743371655469</v>
      </c>
      <c r="S37" s="6">
        <v>3.3075280480310908E-2</v>
      </c>
      <c r="T37">
        <v>9.5879629629629637</v>
      </c>
      <c r="U37">
        <v>0.56828068836460421</v>
      </c>
      <c r="V37" s="6">
        <v>10.824845785078571</v>
      </c>
      <c r="W37" s="6">
        <v>1.4337012688535939</v>
      </c>
      <c r="X37">
        <v>0</v>
      </c>
      <c r="Y37">
        <v>0</v>
      </c>
      <c r="Z37" s="5">
        <v>0</v>
      </c>
      <c r="AA37" s="5"/>
      <c r="AB37">
        <v>2.777777777777778E-2</v>
      </c>
      <c r="AC37">
        <v>1.9603085403591802E-3</v>
      </c>
      <c r="AD37" s="5">
        <v>2.7790172688366359E-2</v>
      </c>
      <c r="AE37" s="5">
        <v>4.3596137132590586E-3</v>
      </c>
      <c r="AF37">
        <v>2.53374E-2</v>
      </c>
      <c r="AG37">
        <v>1.26687E-3</v>
      </c>
      <c r="AH37" s="5">
        <v>2.5187764299934089E-2</v>
      </c>
      <c r="AI37" s="5">
        <v>4.1122161698611114E-3</v>
      </c>
      <c r="AJ37">
        <v>4.8702171999999999</v>
      </c>
      <c r="AK37">
        <v>0.24351086</v>
      </c>
      <c r="AL37" s="6">
        <v>5.1209663555337164</v>
      </c>
      <c r="AM37" s="6">
        <v>0.35048131652044268</v>
      </c>
      <c r="AN37">
        <v>0</v>
      </c>
      <c r="AO37">
        <v>0</v>
      </c>
      <c r="AP37" s="6">
        <v>0</v>
      </c>
      <c r="AQ37" s="6"/>
      <c r="AR37">
        <v>0.09</v>
      </c>
      <c r="AS37">
        <v>4.4999999999999997E-3</v>
      </c>
      <c r="AT37" s="6">
        <v>9.0675903049313708E-2</v>
      </c>
      <c r="AU37" s="6">
        <v>1.005805455224186E-2</v>
      </c>
      <c r="AV37">
        <v>2.0833333333333329E-2</v>
      </c>
      <c r="AW37">
        <v>1.473139127471974E-3</v>
      </c>
      <c r="AX37" s="5">
        <v>2.082403715039189E-2</v>
      </c>
      <c r="AY37" s="5">
        <v>1.041666769653635E-3</v>
      </c>
      <c r="AZ37">
        <v>2.0833333333333329E-2</v>
      </c>
      <c r="BA37">
        <v>1.473139127471974E-3</v>
      </c>
      <c r="BB37" s="5">
        <v>2.0842629516274771E-2</v>
      </c>
      <c r="BC37" s="5">
        <v>1.041666769653635E-3</v>
      </c>
      <c r="BD37">
        <v>100</v>
      </c>
      <c r="BE37">
        <v>100</v>
      </c>
    </row>
    <row r="38" spans="1:57" x14ac:dyDescent="0.25">
      <c r="A38">
        <v>37</v>
      </c>
      <c r="B38">
        <v>94.975729204667331</v>
      </c>
      <c r="C38">
        <v>83.162954579410268</v>
      </c>
      <c r="D38">
        <v>-54.682291666666657</v>
      </c>
      <c r="E38">
        <v>2.0532319222906419</v>
      </c>
      <c r="F38" s="6">
        <v>-57.914321465440537</v>
      </c>
      <c r="G38" s="6">
        <v>8.9061479114953084</v>
      </c>
      <c r="H38">
        <v>0</v>
      </c>
      <c r="I38">
        <v>0</v>
      </c>
      <c r="J38" s="6">
        <v>0</v>
      </c>
      <c r="K38" s="6"/>
      <c r="L38">
        <v>29.528437499999999</v>
      </c>
      <c r="M38">
        <v>1.476421875</v>
      </c>
      <c r="N38" s="6">
        <v>29.322870167820799</v>
      </c>
      <c r="O38" s="6">
        <v>4.5035832297272256</v>
      </c>
      <c r="P38">
        <v>0.39062500000000011</v>
      </c>
      <c r="Q38">
        <v>9.9479807107671361E-2</v>
      </c>
      <c r="R38" s="6">
        <v>0.42908517911921268</v>
      </c>
      <c r="S38" s="6">
        <v>0.1253627256839121</v>
      </c>
      <c r="T38">
        <v>10.31770833333333</v>
      </c>
      <c r="U38">
        <v>1.739625261714749</v>
      </c>
      <c r="V38" s="6">
        <v>13.338509269535059</v>
      </c>
      <c r="W38" s="6">
        <v>2.0816389743554868</v>
      </c>
      <c r="X38">
        <v>0</v>
      </c>
      <c r="Y38">
        <v>0</v>
      </c>
      <c r="Z38" s="5">
        <v>0</v>
      </c>
      <c r="AA38" s="5"/>
      <c r="AB38">
        <v>2.6041666666666671E-2</v>
      </c>
      <c r="AC38">
        <v>2.6910214436722609E-3</v>
      </c>
      <c r="AD38" s="5">
        <v>2.7790263752187301E-2</v>
      </c>
      <c r="AE38" s="5">
        <v>5.2773915045710926E-3</v>
      </c>
      <c r="AF38">
        <v>5.1596160000000002E-2</v>
      </c>
      <c r="AG38">
        <v>2.5798079999999998E-3</v>
      </c>
      <c r="AH38" s="5">
        <v>5.3552843117046701E-2</v>
      </c>
      <c r="AI38" s="5">
        <v>1.389557821586805E-2</v>
      </c>
      <c r="AJ38">
        <v>7.1882244000000002</v>
      </c>
      <c r="AK38">
        <v>0.35941121999999998</v>
      </c>
      <c r="AL38" s="6">
        <v>7.5698968668701898</v>
      </c>
      <c r="AM38" s="6">
        <v>0.5540763009140196</v>
      </c>
      <c r="AN38">
        <v>0</v>
      </c>
      <c r="AO38">
        <v>0</v>
      </c>
      <c r="AP38" s="6">
        <v>0</v>
      </c>
      <c r="AQ38" s="6"/>
      <c r="AR38">
        <v>0.08</v>
      </c>
      <c r="AS38">
        <v>4.0000000000000001E-3</v>
      </c>
      <c r="AT38" s="6">
        <v>7.5289138703949682E-2</v>
      </c>
      <c r="AU38" s="6">
        <v>1.010951814598765E-2</v>
      </c>
      <c r="AV38">
        <v>2.0833333333333329E-2</v>
      </c>
      <c r="AW38">
        <v>1.473139127471974E-3</v>
      </c>
      <c r="AX38" s="5">
        <v>2.082396885252619E-2</v>
      </c>
      <c r="AY38" s="5">
        <v>1.0416668193152111E-3</v>
      </c>
      <c r="AZ38">
        <v>2.0833333333333329E-2</v>
      </c>
      <c r="BA38">
        <v>1.473139127471974E-3</v>
      </c>
      <c r="BB38" s="5">
        <v>2.0842697814140471E-2</v>
      </c>
      <c r="BC38" s="5">
        <v>1.0416668193152111E-3</v>
      </c>
      <c r="BD38">
        <v>99.999999999999972</v>
      </c>
      <c r="BE38">
        <v>99.999999999999986</v>
      </c>
    </row>
    <row r="39" spans="1:57" x14ac:dyDescent="0.25">
      <c r="A39">
        <v>38</v>
      </c>
      <c r="B39">
        <v>120.8370138759215</v>
      </c>
      <c r="C39">
        <v>114.1886848091481</v>
      </c>
      <c r="D39">
        <v>-8.61</v>
      </c>
      <c r="E39">
        <v>0.68</v>
      </c>
      <c r="F39" s="6">
        <v>-9.5871349264906502</v>
      </c>
      <c r="G39" s="6">
        <v>1.1298729244294401</v>
      </c>
      <c r="H39">
        <v>0.66</v>
      </c>
      <c r="I39">
        <v>0.05</v>
      </c>
      <c r="J39" s="6">
        <v>0.66387781164430859</v>
      </c>
      <c r="K39" s="6">
        <v>9.2546204008836827E-2</v>
      </c>
      <c r="L39">
        <v>6.12</v>
      </c>
      <c r="M39">
        <v>0.48</v>
      </c>
      <c r="N39" s="6">
        <v>5.4272491622416243</v>
      </c>
      <c r="O39" s="6">
        <v>0.63194211924363952</v>
      </c>
      <c r="P39">
        <v>0.32</v>
      </c>
      <c r="Q39">
        <v>0.06</v>
      </c>
      <c r="R39" s="6">
        <v>0.31999938521691618</v>
      </c>
      <c r="S39" s="6">
        <v>6.7134016177192238E-2</v>
      </c>
      <c r="T39">
        <v>1.67</v>
      </c>
      <c r="U39">
        <v>0.19</v>
      </c>
      <c r="V39" s="6">
        <v>1.607805229884508</v>
      </c>
      <c r="W39" s="6">
        <v>0.22115634367679629</v>
      </c>
      <c r="X39">
        <v>0</v>
      </c>
      <c r="Y39">
        <v>0</v>
      </c>
      <c r="Z39" s="5">
        <v>0</v>
      </c>
      <c r="AA39" s="5"/>
      <c r="AB39">
        <v>8.0000000000000002E-3</v>
      </c>
      <c r="AC39">
        <v>4.0000000000000002E-4</v>
      </c>
      <c r="AD39" s="5">
        <v>8.0055156107548906E-3</v>
      </c>
      <c r="AE39" s="5">
        <v>1.022958107509587E-3</v>
      </c>
      <c r="AF39">
        <v>0.69</v>
      </c>
      <c r="AG39">
        <v>0.13</v>
      </c>
      <c r="AH39" s="5">
        <v>0.71667310703981679</v>
      </c>
      <c r="AI39" s="5">
        <v>0.1356914381814204</v>
      </c>
      <c r="AJ39">
        <v>4.6500000000000004</v>
      </c>
      <c r="AK39">
        <v>0.46</v>
      </c>
      <c r="AL39" s="6">
        <v>4.6938966037108161</v>
      </c>
      <c r="AM39" s="6">
        <v>0.48677939888640281</v>
      </c>
      <c r="AN39">
        <v>0</v>
      </c>
      <c r="AO39">
        <v>0</v>
      </c>
      <c r="AP39" s="6">
        <v>0</v>
      </c>
      <c r="AQ39" s="6"/>
      <c r="AR39">
        <v>0.39</v>
      </c>
      <c r="AS39">
        <v>0.01</v>
      </c>
      <c r="AT39" s="6">
        <v>0.38919021669010301</v>
      </c>
      <c r="AU39" s="6">
        <v>3.5161692987929948E-2</v>
      </c>
      <c r="AV39">
        <v>1.6E-2</v>
      </c>
      <c r="AW39">
        <v>1.1313708498984761E-3</v>
      </c>
      <c r="AX39" s="5">
        <v>1.5988968778490219E-2</v>
      </c>
      <c r="AY39" s="5">
        <v>8.0000148371002586E-4</v>
      </c>
      <c r="AZ39">
        <v>1.6E-2</v>
      </c>
      <c r="BA39">
        <v>1.1313708498984761E-3</v>
      </c>
      <c r="BB39" s="5">
        <v>1.6011031221509781E-2</v>
      </c>
      <c r="BC39" s="5">
        <v>8.0000148371002586E-4</v>
      </c>
      <c r="BD39">
        <v>100</v>
      </c>
      <c r="BE39">
        <v>100</v>
      </c>
    </row>
    <row r="40" spans="1:57" x14ac:dyDescent="0.25">
      <c r="A40">
        <v>39</v>
      </c>
      <c r="B40">
        <v>56.126206885011563</v>
      </c>
      <c r="C40">
        <v>52.651860138790283</v>
      </c>
      <c r="D40">
        <v>-15.9</v>
      </c>
      <c r="E40">
        <v>0.59999999999999987</v>
      </c>
      <c r="F40" s="6">
        <v>-9.7341604700360644</v>
      </c>
      <c r="G40" s="6">
        <v>1.171171092683736</v>
      </c>
      <c r="H40">
        <v>0</v>
      </c>
      <c r="I40">
        <v>0</v>
      </c>
      <c r="J40" s="6">
        <v>0</v>
      </c>
      <c r="K40" s="6"/>
      <c r="L40">
        <v>4.9000000000000004</v>
      </c>
      <c r="M40">
        <v>0.18</v>
      </c>
      <c r="N40" s="6">
        <v>5.0363162895207614</v>
      </c>
      <c r="O40" s="6">
        <v>0.60410276134993524</v>
      </c>
      <c r="P40">
        <v>0.18</v>
      </c>
      <c r="Q40">
        <v>0.02</v>
      </c>
      <c r="R40" s="6">
        <v>0.1875042012250831</v>
      </c>
      <c r="S40" s="6">
        <v>3.08794574406141E-2</v>
      </c>
      <c r="T40">
        <v>1.68</v>
      </c>
      <c r="U40">
        <v>0.12</v>
      </c>
      <c r="V40" s="6">
        <v>2.0091833330129552</v>
      </c>
      <c r="W40" s="6">
        <v>0.25121076569725209</v>
      </c>
      <c r="X40">
        <v>0</v>
      </c>
      <c r="Y40">
        <v>0</v>
      </c>
      <c r="Z40" s="5">
        <v>0</v>
      </c>
      <c r="AA40" s="5"/>
      <c r="AB40">
        <v>8.0000000000000002E-3</v>
      </c>
      <c r="AC40">
        <v>4.0000000000000002E-4</v>
      </c>
      <c r="AD40" s="5">
        <v>8.0105823377520733E-3</v>
      </c>
      <c r="AE40" s="5">
        <v>1.11373417664363E-3</v>
      </c>
      <c r="AF40">
        <v>0.41</v>
      </c>
      <c r="AG40">
        <v>0.03</v>
      </c>
      <c r="AH40" s="5">
        <v>0.44744577364590521</v>
      </c>
      <c r="AI40" s="5">
        <v>5.9112582096311921E-2</v>
      </c>
      <c r="AJ40">
        <v>5.12</v>
      </c>
      <c r="AK40">
        <v>0.25</v>
      </c>
      <c r="AL40" s="6">
        <v>6.2499579000695711</v>
      </c>
      <c r="AM40" s="6">
        <v>0.48268354144199882</v>
      </c>
      <c r="AN40">
        <v>0</v>
      </c>
      <c r="AO40">
        <v>0</v>
      </c>
      <c r="AP40" s="6">
        <v>0</v>
      </c>
      <c r="AQ40" s="6"/>
      <c r="AR40">
        <v>0.41</v>
      </c>
      <c r="AS40">
        <v>0.02</v>
      </c>
      <c r="AT40" s="6">
        <v>0.41494844160840583</v>
      </c>
      <c r="AU40" s="6">
        <v>4.078706893263595E-2</v>
      </c>
      <c r="AV40">
        <v>1.6E-2</v>
      </c>
      <c r="AW40">
        <v>1.1313708498984761E-3</v>
      </c>
      <c r="AX40" s="5">
        <v>1.5978835324495851E-2</v>
      </c>
      <c r="AY40" s="5">
        <v>8.000008975775091E-4</v>
      </c>
      <c r="AZ40">
        <v>1.6E-2</v>
      </c>
      <c r="BA40">
        <v>1.1313708498984761E-3</v>
      </c>
      <c r="BB40" s="5">
        <v>1.602116467550415E-2</v>
      </c>
      <c r="BC40" s="5">
        <v>8.000008975775091E-4</v>
      </c>
      <c r="BD40">
        <v>100</v>
      </c>
      <c r="BE40">
        <v>100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40"/>
  <sheetViews>
    <sheetView zoomScale="115" zoomScaleNormal="115" workbookViewId="0">
      <selection activeCell="B5" sqref="B5"/>
    </sheetView>
  </sheetViews>
  <sheetFormatPr defaultRowHeight="15" x14ac:dyDescent="0.25"/>
  <sheetData>
    <row r="1" spans="1:7" x14ac:dyDescent="0.25">
      <c r="A1" s="36" t="s">
        <v>227</v>
      </c>
      <c r="B1" s="41" t="s">
        <v>305</v>
      </c>
      <c r="C1" s="36" t="s">
        <v>306</v>
      </c>
      <c r="D1" s="36" t="s">
        <v>307</v>
      </c>
      <c r="E1" s="36" t="s">
        <v>179</v>
      </c>
      <c r="F1" s="36" t="s">
        <v>180</v>
      </c>
      <c r="G1" s="36" t="s">
        <v>181</v>
      </c>
    </row>
    <row r="2" spans="1:7" s="18" customFormat="1" x14ac:dyDescent="0.25">
      <c r="A2" s="18">
        <v>1</v>
      </c>
      <c r="B2" s="34">
        <v>1.6187812774508051E-2</v>
      </c>
      <c r="C2" s="34">
        <v>0.45331271226235592</v>
      </c>
      <c r="D2" s="34">
        <v>8.7261176361272597</v>
      </c>
      <c r="E2" s="37">
        <v>824.5982979126594</v>
      </c>
      <c r="F2" s="37">
        <v>1227.7237915933531</v>
      </c>
      <c r="G2" s="37">
        <v>801.94582252767736</v>
      </c>
    </row>
    <row r="3" spans="1:7" s="18" customFormat="1" x14ac:dyDescent="0.25">
      <c r="A3" s="18">
        <v>2</v>
      </c>
      <c r="B3" s="34">
        <v>1.367558286160024E-8</v>
      </c>
      <c r="C3" s="34">
        <v>0.5044447736366624</v>
      </c>
      <c r="D3" s="34">
        <v>10.29416518624849</v>
      </c>
      <c r="E3" s="37">
        <v>132.9602661557343</v>
      </c>
      <c r="F3" s="37">
        <v>197.96121639978151</v>
      </c>
      <c r="G3" s="37">
        <v>129.30772507737231</v>
      </c>
    </row>
    <row r="4" spans="1:7" s="18" customFormat="1" x14ac:dyDescent="0.25">
      <c r="A4" s="18">
        <v>3</v>
      </c>
      <c r="B4" s="34">
        <v>2.4224684102296778E-2</v>
      </c>
      <c r="C4" s="34">
        <v>0.41753464159193032</v>
      </c>
      <c r="D4" s="34">
        <v>9.2953835113271133</v>
      </c>
      <c r="E4" s="37">
        <v>352.09893440686471</v>
      </c>
      <c r="F4" s="37">
        <v>524.23130130176639</v>
      </c>
      <c r="G4" s="37">
        <v>342.42645210254778</v>
      </c>
    </row>
    <row r="5" spans="1:7" x14ac:dyDescent="0.25">
      <c r="A5">
        <v>4</v>
      </c>
      <c r="B5" s="5">
        <v>0.5539801220036511</v>
      </c>
      <c r="C5" s="5">
        <v>3.1376523446653232E-4</v>
      </c>
      <c r="D5" s="5">
        <v>1.975310529225567</v>
      </c>
      <c r="E5" s="7">
        <v>149.06192158041759</v>
      </c>
      <c r="F5" s="7">
        <v>221.9345686356065</v>
      </c>
      <c r="G5" s="7">
        <v>144.9670531845139</v>
      </c>
    </row>
    <row r="6" spans="1:7" x14ac:dyDescent="0.25">
      <c r="A6">
        <v>5</v>
      </c>
      <c r="B6" s="5">
        <v>0.2124049116290779</v>
      </c>
      <c r="C6" s="5">
        <v>2.2766453445357002E-3</v>
      </c>
      <c r="D6" s="5">
        <v>9.3787445108775422</v>
      </c>
      <c r="E6" s="7">
        <v>260.13801385314667</v>
      </c>
      <c r="F6" s="7">
        <v>387.31298562439861</v>
      </c>
      <c r="G6" s="7">
        <v>252.99178280898471</v>
      </c>
    </row>
    <row r="7" spans="1:7" x14ac:dyDescent="0.25">
      <c r="A7">
        <v>6</v>
      </c>
      <c r="B7" s="5">
        <v>7.4495307520468262E-2</v>
      </c>
      <c r="C7" s="5">
        <v>0.30219962656105692</v>
      </c>
      <c r="D7" s="5">
        <v>0.34910528043663741</v>
      </c>
      <c r="E7" s="7">
        <v>247.97810673831651</v>
      </c>
      <c r="F7" s="7">
        <v>369.20840390717609</v>
      </c>
      <c r="G7" s="7">
        <v>241.16591955199371</v>
      </c>
    </row>
    <row r="8" spans="1:7" x14ac:dyDescent="0.25">
      <c r="A8">
        <v>7</v>
      </c>
      <c r="B8" s="5">
        <v>3.300397451468369E-2</v>
      </c>
      <c r="C8" s="5">
        <v>0.30602882528344172</v>
      </c>
      <c r="D8" s="5">
        <v>0.99097219204289011</v>
      </c>
      <c r="E8" s="7">
        <v>719.79293031089742</v>
      </c>
      <c r="F8" s="7">
        <v>1071.681699805044</v>
      </c>
      <c r="G8" s="7">
        <v>700.01955498690575</v>
      </c>
    </row>
    <row r="9" spans="1:7" s="18" customFormat="1" x14ac:dyDescent="0.25">
      <c r="A9" s="18">
        <v>8</v>
      </c>
      <c r="B9" s="34">
        <v>0.48692734932538212</v>
      </c>
      <c r="C9" s="34">
        <v>0.12008889374799531</v>
      </c>
      <c r="D9" s="34">
        <v>10.963285339314769</v>
      </c>
      <c r="E9" s="37">
        <v>142.99475228769791</v>
      </c>
      <c r="F9" s="37">
        <v>212.90131194910569</v>
      </c>
      <c r="G9" s="37">
        <v>139.06655462517759</v>
      </c>
    </row>
    <row r="10" spans="1:7" s="18" customFormat="1" x14ac:dyDescent="0.25">
      <c r="A10" s="18">
        <v>9</v>
      </c>
      <c r="B10" s="34">
        <v>0.47855124489413858</v>
      </c>
      <c r="C10" s="34">
        <v>0.1171575881013746</v>
      </c>
      <c r="D10" s="34">
        <v>11.119886635429941</v>
      </c>
      <c r="E10" s="37">
        <v>142.99475228769791</v>
      </c>
      <c r="F10" s="37">
        <v>212.90131194910569</v>
      </c>
      <c r="G10" s="37">
        <v>139.06655462517759</v>
      </c>
    </row>
    <row r="11" spans="1:7" s="18" customFormat="1" x14ac:dyDescent="0.25">
      <c r="A11" s="18">
        <v>10</v>
      </c>
      <c r="B11" s="34">
        <v>0.3302154453270188</v>
      </c>
      <c r="C11" s="34">
        <v>6.7942368680610599E-2</v>
      </c>
      <c r="D11" s="34">
        <v>15.442644630968459</v>
      </c>
      <c r="E11" s="37">
        <v>202.37426859392801</v>
      </c>
      <c r="F11" s="37">
        <v>301.30998934633442</v>
      </c>
      <c r="G11" s="37">
        <v>196.81486088052131</v>
      </c>
    </row>
    <row r="12" spans="1:7" s="18" customFormat="1" x14ac:dyDescent="0.25">
      <c r="A12" s="18">
        <v>11</v>
      </c>
      <c r="B12" s="34">
        <v>0.20211785193253939</v>
      </c>
      <c r="C12" s="34">
        <v>6.1002425317353462E-2</v>
      </c>
      <c r="D12" s="34">
        <v>19.603453460534219</v>
      </c>
      <c r="E12" s="37">
        <v>247.97810673831651</v>
      </c>
      <c r="F12" s="37">
        <v>369.20840390717609</v>
      </c>
      <c r="G12" s="37">
        <v>241.16591955199371</v>
      </c>
    </row>
    <row r="13" spans="1:7" s="18" customFormat="1" x14ac:dyDescent="0.25">
      <c r="A13" s="18">
        <v>12</v>
      </c>
      <c r="B13" s="34">
        <v>0.19542770068600321</v>
      </c>
      <c r="C13" s="34">
        <v>5.8598418593755357E-2</v>
      </c>
      <c r="D13" s="34">
        <v>19.842561432511008</v>
      </c>
      <c r="E13" s="37">
        <v>247.97810673831651</v>
      </c>
      <c r="F13" s="37">
        <v>369.20840390717609</v>
      </c>
      <c r="G13" s="37">
        <v>241.16591955199371</v>
      </c>
    </row>
    <row r="14" spans="1:7" x14ac:dyDescent="0.25">
      <c r="A14">
        <v>13</v>
      </c>
      <c r="B14" s="5">
        <v>0.16350268666903581</v>
      </c>
      <c r="C14" s="5">
        <v>1.5746064927141729E-3</v>
      </c>
      <c r="D14" s="5">
        <v>10.414040756506679</v>
      </c>
      <c r="E14" s="7">
        <v>285.04346542963202</v>
      </c>
      <c r="F14" s="7">
        <v>424.39408986415759</v>
      </c>
      <c r="G14" s="7">
        <v>277.21305867201511</v>
      </c>
    </row>
    <row r="15" spans="1:7" x14ac:dyDescent="0.25">
      <c r="A15">
        <v>14</v>
      </c>
      <c r="B15" s="5">
        <v>7.5239287350254064E-2</v>
      </c>
      <c r="C15" s="5">
        <v>1.1018659721345071E-3</v>
      </c>
      <c r="D15" s="5">
        <v>12.77470873394245</v>
      </c>
      <c r="E15" s="7">
        <v>433.3182771786266</v>
      </c>
      <c r="F15" s="7">
        <v>645.1567503487513</v>
      </c>
      <c r="G15" s="7">
        <v>421.41462465775828</v>
      </c>
    </row>
    <row r="16" spans="1:7" x14ac:dyDescent="0.25">
      <c r="A16">
        <v>15</v>
      </c>
      <c r="B16" s="5">
        <v>3.9199099997750023E-2</v>
      </c>
      <c r="C16" s="5">
        <v>1.685198760146544E-3</v>
      </c>
      <c r="D16" s="5">
        <v>16.635525844245901</v>
      </c>
      <c r="E16" s="7">
        <v>933.22841980179737</v>
      </c>
      <c r="F16" s="7">
        <v>1389.4604644249359</v>
      </c>
      <c r="G16" s="7">
        <v>907.59177482976872</v>
      </c>
    </row>
    <row r="17" spans="1:7" x14ac:dyDescent="0.25">
      <c r="A17">
        <v>16</v>
      </c>
      <c r="B17" s="5">
        <v>0.22473329160741939</v>
      </c>
      <c r="C17" s="5">
        <v>0.1015740058500242</v>
      </c>
      <c r="D17" s="5">
        <v>18.170415722177239</v>
      </c>
      <c r="E17" s="7">
        <v>272.197187900686</v>
      </c>
      <c r="F17" s="7">
        <v>405.26758839596209</v>
      </c>
      <c r="G17" s="7">
        <v>264.7196802289024</v>
      </c>
    </row>
    <row r="18" spans="1:7" x14ac:dyDescent="0.25">
      <c r="A18">
        <v>17</v>
      </c>
      <c r="B18" s="5">
        <v>1.6829531260930699E-2</v>
      </c>
      <c r="C18" s="5">
        <v>3.6735501270711082E-2</v>
      </c>
      <c r="D18" s="5">
        <v>25.60741358224022</v>
      </c>
      <c r="E18" s="7">
        <v>416.76151254070811</v>
      </c>
      <c r="F18" s="7">
        <v>620.50579738263559</v>
      </c>
      <c r="G18" s="7">
        <v>405.31268960700339</v>
      </c>
    </row>
    <row r="19" spans="1:7" x14ac:dyDescent="0.25">
      <c r="A19">
        <v>18</v>
      </c>
      <c r="B19" s="5">
        <v>3.3675723451252401E-2</v>
      </c>
      <c r="C19" s="5">
        <v>8.3297355337530826E-2</v>
      </c>
      <c r="D19" s="5">
        <v>28.05484223812396</v>
      </c>
      <c r="E19" s="7">
        <v>908.42145528667368</v>
      </c>
      <c r="F19" s="7">
        <v>1352.525995108756</v>
      </c>
      <c r="G19" s="7">
        <v>883.46628049773585</v>
      </c>
    </row>
    <row r="20" spans="1:7" s="18" customFormat="1" x14ac:dyDescent="0.25">
      <c r="A20" s="18">
        <v>19</v>
      </c>
      <c r="B20" s="34">
        <v>0.14698466693972961</v>
      </c>
      <c r="C20" s="34">
        <v>4.2346112554830288E-8</v>
      </c>
      <c r="D20" s="34">
        <v>10.55121765998657</v>
      </c>
      <c r="E20" s="37">
        <v>167.16332711179871</v>
      </c>
      <c r="F20" s="37">
        <v>248.88529881345349</v>
      </c>
      <c r="G20" s="37">
        <v>162.57119641948819</v>
      </c>
    </row>
    <row r="21" spans="1:7" s="18" customFormat="1" x14ac:dyDescent="0.25">
      <c r="A21" s="18">
        <v>20</v>
      </c>
      <c r="B21" s="34">
        <v>7.7883739901166607E-2</v>
      </c>
      <c r="C21" s="34">
        <v>6.7942694913597141E-9</v>
      </c>
      <c r="D21" s="34">
        <v>11.8441148103117</v>
      </c>
      <c r="E21" s="37">
        <v>167.16332711179871</v>
      </c>
      <c r="F21" s="37">
        <v>248.88529881345349</v>
      </c>
      <c r="G21" s="37">
        <v>162.57119641948819</v>
      </c>
    </row>
    <row r="22" spans="1:7" s="18" customFormat="1" x14ac:dyDescent="0.25">
      <c r="A22" s="18">
        <v>21</v>
      </c>
      <c r="B22" s="34">
        <v>9.3519015560237284E-2</v>
      </c>
      <c r="C22" s="34">
        <v>2.118584574218112E-8</v>
      </c>
      <c r="D22" s="34">
        <v>11.427810137174211</v>
      </c>
      <c r="E22" s="37">
        <v>167.16332711179871</v>
      </c>
      <c r="F22" s="37">
        <v>248.88529881345349</v>
      </c>
      <c r="G22" s="37">
        <v>162.57119641948819</v>
      </c>
    </row>
    <row r="23" spans="1:7" s="18" customFormat="1" x14ac:dyDescent="0.25">
      <c r="A23" s="18">
        <v>22</v>
      </c>
      <c r="B23" s="34">
        <v>0.26806136811005488</v>
      </c>
      <c r="C23" s="34">
        <v>6.4464569740318694E-8</v>
      </c>
      <c r="D23" s="34">
        <v>7.6676507316950389</v>
      </c>
      <c r="E23" s="37">
        <v>167.16332711179871</v>
      </c>
      <c r="F23" s="37">
        <v>248.88529881345349</v>
      </c>
      <c r="G23" s="37">
        <v>162.57119641948819</v>
      </c>
    </row>
    <row r="24" spans="1:7" x14ac:dyDescent="0.25">
      <c r="A24">
        <v>23</v>
      </c>
      <c r="B24" s="5">
        <v>5.2154446051169423E-2</v>
      </c>
      <c r="C24" s="5">
        <v>5.3436279874142622E-4</v>
      </c>
      <c r="D24" s="5">
        <v>0.91950631911747027</v>
      </c>
      <c r="E24" s="7">
        <v>252.6727008837415</v>
      </c>
      <c r="F24" s="7">
        <v>376.19806776993562</v>
      </c>
      <c r="G24" s="7">
        <v>245.7315488686155</v>
      </c>
    </row>
    <row r="25" spans="1:7" x14ac:dyDescent="0.25">
      <c r="A25">
        <v>24</v>
      </c>
      <c r="B25" s="5">
        <v>5.2214225283709982E-2</v>
      </c>
      <c r="C25" s="5">
        <v>4.0681466505720049E-29</v>
      </c>
      <c r="D25" s="5">
        <v>0.88828673983727735</v>
      </c>
      <c r="E25" s="7">
        <v>252.6727008837415</v>
      </c>
      <c r="F25" s="7">
        <v>376.19806776993562</v>
      </c>
      <c r="G25" s="7">
        <v>245.7315488686155</v>
      </c>
    </row>
    <row r="26" spans="1:7" s="18" customFormat="1" x14ac:dyDescent="0.25">
      <c r="A26" s="18">
        <v>25</v>
      </c>
      <c r="B26" s="34">
        <v>4.6681763113407472E-2</v>
      </c>
      <c r="C26" s="34">
        <v>3.800774292236572E-28</v>
      </c>
      <c r="D26" s="34">
        <v>19.035520619248562</v>
      </c>
      <c r="E26" s="37">
        <v>546.85143503514735</v>
      </c>
      <c r="F26" s="37">
        <v>814.19343086096137</v>
      </c>
      <c r="G26" s="37">
        <v>531.82892200943184</v>
      </c>
    </row>
    <row r="27" spans="1:7" s="18" customFormat="1" x14ac:dyDescent="0.25">
      <c r="A27" s="18">
        <v>26</v>
      </c>
      <c r="B27" s="34">
        <v>4.4407717795662799E-2</v>
      </c>
      <c r="C27" s="34">
        <v>4.6817368609509639E-28</v>
      </c>
      <c r="D27" s="34">
        <v>18.972312700042458</v>
      </c>
      <c r="E27" s="37">
        <v>630.02948502431218</v>
      </c>
      <c r="F27" s="37">
        <v>938.03515011813022</v>
      </c>
      <c r="G27" s="37">
        <v>612.72199428918361</v>
      </c>
    </row>
    <row r="28" spans="1:7" s="18" customFormat="1" x14ac:dyDescent="0.25">
      <c r="A28" s="18">
        <v>27</v>
      </c>
      <c r="B28" s="34">
        <v>5.1810512479161568E-2</v>
      </c>
      <c r="C28" s="34">
        <v>3.6827291323348911E-28</v>
      </c>
      <c r="D28" s="34">
        <v>18.435211326307421</v>
      </c>
      <c r="E28" s="37">
        <v>668.96389140221902</v>
      </c>
      <c r="F28" s="37">
        <v>996.00361445127294</v>
      </c>
      <c r="G28" s="37">
        <v>650.58683663289708</v>
      </c>
    </row>
    <row r="29" spans="1:7" s="38" customFormat="1" x14ac:dyDescent="0.25">
      <c r="A29" s="38">
        <v>28</v>
      </c>
      <c r="B29" s="39">
        <v>-6.4625454164808541E-2</v>
      </c>
      <c r="C29" s="39">
        <v>2.174855374385358E-7</v>
      </c>
      <c r="D29" s="39">
        <v>23.015748699154418</v>
      </c>
      <c r="E29" s="40">
        <v>100.4725194094752</v>
      </c>
      <c r="F29" s="40">
        <v>149.5910224318738</v>
      </c>
      <c r="G29" s="40">
        <v>97.712446682486188</v>
      </c>
    </row>
    <row r="30" spans="1:7" x14ac:dyDescent="0.25">
      <c r="A30">
        <v>29</v>
      </c>
      <c r="B30" s="5">
        <v>8.9388211561642991E-2</v>
      </c>
      <c r="C30" s="5">
        <v>1.4441650906156979E-6</v>
      </c>
      <c r="D30" s="5">
        <v>18.618568148807761</v>
      </c>
      <c r="E30" s="7">
        <v>100.4725194094752</v>
      </c>
      <c r="F30" s="7">
        <v>149.5910224318738</v>
      </c>
      <c r="G30" s="7">
        <v>97.712446682486188</v>
      </c>
    </row>
    <row r="31" spans="1:7" x14ac:dyDescent="0.25">
      <c r="A31">
        <v>30</v>
      </c>
      <c r="B31" s="5">
        <v>-6.4829038243577025E-2</v>
      </c>
      <c r="C31" s="5">
        <v>5.2928893468424021E-6</v>
      </c>
      <c r="D31" s="5">
        <v>46.396711787608659</v>
      </c>
      <c r="E31" s="7">
        <v>75.656080514698601</v>
      </c>
      <c r="F31" s="7">
        <v>112.64244694867899</v>
      </c>
      <c r="G31" s="7">
        <v>73.577738240743329</v>
      </c>
    </row>
    <row r="32" spans="1:7" x14ac:dyDescent="0.25">
      <c r="A32">
        <v>31</v>
      </c>
      <c r="B32" s="5">
        <v>0.1010536002912726</v>
      </c>
      <c r="C32" s="5">
        <v>1.4023389692745891E-2</v>
      </c>
      <c r="D32" s="5">
        <v>38.851830132400593</v>
      </c>
      <c r="E32" s="7">
        <v>78.440493800046596</v>
      </c>
      <c r="F32" s="7">
        <v>116.78809028156449</v>
      </c>
      <c r="G32" s="7">
        <v>76.285661126380802</v>
      </c>
    </row>
    <row r="33" spans="1:7" x14ac:dyDescent="0.25">
      <c r="A33">
        <v>32</v>
      </c>
      <c r="B33" s="5">
        <v>0.16039568282064981</v>
      </c>
      <c r="C33" s="5">
        <v>8.5558528348111437E-2</v>
      </c>
      <c r="D33" s="5">
        <v>32.236486604389619</v>
      </c>
      <c r="E33" s="7">
        <v>80.976565073015422</v>
      </c>
      <c r="F33" s="7">
        <v>120.5639834005315</v>
      </c>
      <c r="G33" s="7">
        <v>78.752064183648841</v>
      </c>
    </row>
    <row r="34" spans="1:7" x14ac:dyDescent="0.25">
      <c r="A34">
        <v>33</v>
      </c>
      <c r="B34" s="5">
        <v>0.11624029368979349</v>
      </c>
      <c r="C34" s="5">
        <v>0.2359161363733889</v>
      </c>
      <c r="D34" s="5">
        <v>24.906131094466812</v>
      </c>
      <c r="E34" s="7">
        <v>85.098385438518932</v>
      </c>
      <c r="F34" s="7">
        <v>126.7008587011626</v>
      </c>
      <c r="G34" s="7">
        <v>82.760654344084941</v>
      </c>
    </row>
    <row r="35" spans="1:7" x14ac:dyDescent="0.25">
      <c r="A35">
        <v>34</v>
      </c>
      <c r="B35" s="5">
        <v>0.20717792580182839</v>
      </c>
      <c r="C35" s="5">
        <v>3.2418223607565121E-6</v>
      </c>
      <c r="D35" s="5">
        <v>15.37862921818102</v>
      </c>
      <c r="E35" s="7">
        <v>100.4725194094752</v>
      </c>
      <c r="F35" s="7">
        <v>149.5910224318738</v>
      </c>
      <c r="G35" s="7">
        <v>97.712446682486188</v>
      </c>
    </row>
    <row r="36" spans="1:7" x14ac:dyDescent="0.25">
      <c r="A36">
        <v>35</v>
      </c>
      <c r="B36" s="5">
        <v>0.25211447329055259</v>
      </c>
      <c r="C36" s="5">
        <v>3.112809875745015E-6</v>
      </c>
      <c r="D36" s="5">
        <v>14.14743358049275</v>
      </c>
      <c r="E36" s="7">
        <v>100.4725194094752</v>
      </c>
      <c r="F36" s="7">
        <v>149.5910224318738</v>
      </c>
      <c r="G36" s="7">
        <v>97.712446682486188</v>
      </c>
    </row>
    <row r="37" spans="1:7" x14ac:dyDescent="0.25">
      <c r="A37">
        <v>36</v>
      </c>
      <c r="B37" s="5">
        <v>0.30223157698505548</v>
      </c>
      <c r="C37" s="5">
        <v>2.7054345034123829E-6</v>
      </c>
      <c r="D37" s="5">
        <v>12.79769789145135</v>
      </c>
      <c r="E37" s="7">
        <v>100.4725194094752</v>
      </c>
      <c r="F37" s="7">
        <v>149.5910224318738</v>
      </c>
      <c r="G37" s="7">
        <v>97.712446682486188</v>
      </c>
    </row>
    <row r="38" spans="1:7" x14ac:dyDescent="0.25">
      <c r="A38">
        <v>37</v>
      </c>
      <c r="B38" s="5">
        <v>0.27846292245171461</v>
      </c>
      <c r="C38" s="5">
        <v>2.9032796743861852E-6</v>
      </c>
      <c r="D38" s="5">
        <v>13.514190717615779</v>
      </c>
      <c r="E38" s="7">
        <v>100.4725194094752</v>
      </c>
      <c r="F38" s="7">
        <v>149.5910224318738</v>
      </c>
      <c r="G38" s="7">
        <v>97.712446682486188</v>
      </c>
    </row>
    <row r="39" spans="1:7" x14ac:dyDescent="0.25">
      <c r="A39">
        <v>38</v>
      </c>
      <c r="B39" s="5">
        <v>0.1741993237903269</v>
      </c>
      <c r="C39" s="5">
        <v>5.9454929117638985E-4</v>
      </c>
      <c r="D39" s="5">
        <v>0.79405159551989246</v>
      </c>
      <c r="E39" s="7">
        <v>147.445359939431</v>
      </c>
      <c r="F39" s="7">
        <v>219.5277104208364</v>
      </c>
      <c r="G39" s="7">
        <v>143.39489998200389</v>
      </c>
    </row>
    <row r="40" spans="1:7" x14ac:dyDescent="0.25">
      <c r="A40">
        <v>39</v>
      </c>
      <c r="B40" s="5">
        <v>0.17011495920844971</v>
      </c>
      <c r="C40" s="5">
        <v>1.4309470363330001E-17</v>
      </c>
      <c r="D40" s="5">
        <v>0.78952700871479087</v>
      </c>
      <c r="E40" s="7">
        <v>147.445359939431</v>
      </c>
      <c r="F40" s="7">
        <v>219.5277104208364</v>
      </c>
      <c r="G40" s="7">
        <v>143.39489998200389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3"/>
  <sheetViews>
    <sheetView workbookViewId="0">
      <selection activeCell="G7" sqref="G7"/>
    </sheetView>
  </sheetViews>
  <sheetFormatPr defaultRowHeight="15" x14ac:dyDescent="0.25"/>
  <cols>
    <col min="1" max="1" width="27.85546875" customWidth="1"/>
    <col min="2" max="2" width="9.140625" customWidth="1"/>
  </cols>
  <sheetData>
    <row r="1" spans="1:10" x14ac:dyDescent="0.25">
      <c r="A1" s="44" t="s">
        <v>182</v>
      </c>
      <c r="B1" s="43"/>
      <c r="C1" s="44" t="s">
        <v>183</v>
      </c>
      <c r="D1" s="43"/>
      <c r="E1" s="44" t="s">
        <v>184</v>
      </c>
      <c r="F1" s="43"/>
      <c r="G1" s="44" t="s">
        <v>185</v>
      </c>
      <c r="H1" s="43"/>
      <c r="I1" s="44" t="s">
        <v>186</v>
      </c>
      <c r="J1" s="43"/>
    </row>
    <row r="2" spans="1:10" x14ac:dyDescent="0.25">
      <c r="A2" s="29" t="s">
        <v>187</v>
      </c>
      <c r="B2" s="29" t="s">
        <v>4</v>
      </c>
      <c r="C2" s="29" t="s">
        <v>188</v>
      </c>
      <c r="D2" s="29" t="s">
        <v>189</v>
      </c>
      <c r="E2" s="29" t="s">
        <v>188</v>
      </c>
      <c r="F2" s="29" t="s">
        <v>189</v>
      </c>
      <c r="G2" s="29" t="s">
        <v>188</v>
      </c>
      <c r="H2" s="29" t="s">
        <v>189</v>
      </c>
      <c r="I2" s="29" t="s">
        <v>188</v>
      </c>
      <c r="J2" s="29" t="s">
        <v>189</v>
      </c>
    </row>
    <row r="3" spans="1:10" x14ac:dyDescent="0.25">
      <c r="A3" s="54" t="s">
        <v>190</v>
      </c>
      <c r="B3" t="s">
        <v>191</v>
      </c>
      <c r="C3" s="7">
        <v>11.028084689090029</v>
      </c>
      <c r="D3" s="6">
        <v>3.9930431537476413E-2</v>
      </c>
      <c r="E3" s="7">
        <v>22.9356158904029</v>
      </c>
      <c r="F3" s="7">
        <v>0.20927613828673239</v>
      </c>
      <c r="G3" s="7">
        <v>47.640134251680372</v>
      </c>
      <c r="H3" s="7">
        <v>0.13605466597635141</v>
      </c>
      <c r="I3" s="7">
        <v>18.265518095559582</v>
      </c>
      <c r="J3" s="7">
        <v>0.11849441063072021</v>
      </c>
    </row>
    <row r="4" spans="1:10" x14ac:dyDescent="0.25">
      <c r="A4" s="43"/>
      <c r="B4" t="s">
        <v>192</v>
      </c>
      <c r="C4" s="7">
        <v>12.575175029985081</v>
      </c>
      <c r="D4" s="7"/>
      <c r="E4" s="7">
        <v>31.22325211022731</v>
      </c>
      <c r="F4" s="7"/>
      <c r="G4" s="7">
        <v>40.8620541887691</v>
      </c>
      <c r="H4" s="7"/>
      <c r="I4" s="7">
        <v>15.14518352161144</v>
      </c>
      <c r="J4" s="7"/>
    </row>
    <row r="5" spans="1:10" x14ac:dyDescent="0.25">
      <c r="A5" s="43"/>
      <c r="B5" t="s">
        <v>193</v>
      </c>
      <c r="C5" s="7">
        <v>13.50098760937486</v>
      </c>
      <c r="D5" s="6">
        <v>3.3556817881768432E-2</v>
      </c>
      <c r="E5" s="7">
        <v>39.399247793413871</v>
      </c>
      <c r="F5" s="7">
        <v>5.0048552950970278E-2</v>
      </c>
      <c r="G5" s="7">
        <v>32.454645070184661</v>
      </c>
      <c r="H5" s="7">
        <v>6.6882235573796606E-2</v>
      </c>
      <c r="I5" s="7">
        <v>14.35060521316241</v>
      </c>
      <c r="J5" s="6">
        <v>1.581776585163485E-2</v>
      </c>
    </row>
    <row r="6" spans="1:10" x14ac:dyDescent="0.25">
      <c r="A6" s="54" t="s">
        <v>194</v>
      </c>
      <c r="B6" t="s">
        <v>195</v>
      </c>
      <c r="C6" s="7">
        <v>44.315338690682538</v>
      </c>
      <c r="D6" s="7">
        <v>0.36929851569748412</v>
      </c>
      <c r="E6" s="7">
        <v>19.67827778287635</v>
      </c>
      <c r="F6" s="7">
        <v>1.147448495404036</v>
      </c>
      <c r="G6" s="7">
        <v>35.42529730156091</v>
      </c>
      <c r="H6" s="7">
        <v>1.504479341296002</v>
      </c>
      <c r="I6" s="7">
        <v>0.45117534723503577</v>
      </c>
      <c r="J6" s="6">
        <v>1.006560154743779E-2</v>
      </c>
    </row>
    <row r="7" spans="1:10" x14ac:dyDescent="0.25">
      <c r="A7" s="43"/>
      <c r="B7" t="s">
        <v>196</v>
      </c>
      <c r="C7" s="7">
        <v>48.427807264381677</v>
      </c>
      <c r="D7" s="7">
        <v>0.19989403582072421</v>
      </c>
      <c r="E7" s="7">
        <v>1.928545820722279</v>
      </c>
      <c r="F7" s="7">
        <v>5.1377393149568108E-2</v>
      </c>
      <c r="G7" s="7">
        <v>8.9219006941691017</v>
      </c>
      <c r="H7" s="6">
        <v>3.6115440174116331E-2</v>
      </c>
      <c r="I7" s="7">
        <v>40.421985189473958</v>
      </c>
      <c r="J7" s="7">
        <v>0.2226144899403566</v>
      </c>
    </row>
    <row r="8" spans="1:10" x14ac:dyDescent="0.25">
      <c r="A8" s="55" t="s">
        <v>197</v>
      </c>
      <c r="B8" t="s">
        <v>198</v>
      </c>
      <c r="C8" s="7">
        <v>42.886141245344099</v>
      </c>
      <c r="D8" s="7">
        <v>0.32434385711932329</v>
      </c>
      <c r="E8" s="7">
        <v>22.358364594480449</v>
      </c>
      <c r="F8" s="7">
        <v>0.48195950624617162</v>
      </c>
      <c r="G8" s="7">
        <v>34.407308357640829</v>
      </c>
      <c r="H8" s="7">
        <v>0.52546928658250003</v>
      </c>
      <c r="I8" s="7">
        <v>0.1010118440309424</v>
      </c>
      <c r="J8" s="6">
        <v>5.7084549628441316E-3</v>
      </c>
    </row>
    <row r="9" spans="1:10" x14ac:dyDescent="0.25">
      <c r="A9" s="43"/>
      <c r="B9" t="s">
        <v>199</v>
      </c>
      <c r="C9" s="7">
        <v>44.343119577460882</v>
      </c>
      <c r="D9" s="7">
        <v>6.0496281110772619E-2</v>
      </c>
      <c r="E9" s="7">
        <v>28.63911632919773</v>
      </c>
      <c r="F9" s="7">
        <v>0.84621061595821845</v>
      </c>
      <c r="G9" s="7">
        <v>26.582850637303451</v>
      </c>
      <c r="H9" s="7">
        <v>0.86111816643003525</v>
      </c>
      <c r="I9" s="7">
        <v>0.1770446331480369</v>
      </c>
      <c r="J9" s="6">
        <v>1.7082458323482579E-2</v>
      </c>
    </row>
    <row r="10" spans="1:10" x14ac:dyDescent="0.25">
      <c r="A10" s="43"/>
      <c r="B10" t="s">
        <v>200</v>
      </c>
      <c r="C10" s="7">
        <v>48.111819140311383</v>
      </c>
      <c r="D10" s="7">
        <v>0.2876279163941694</v>
      </c>
      <c r="E10" s="7">
        <v>33.186966315764067</v>
      </c>
      <c r="F10" s="7">
        <v>9.6140419449719378E-2</v>
      </c>
      <c r="G10" s="7">
        <v>18.347120485868398</v>
      </c>
      <c r="H10" s="7">
        <v>0.23208954567686929</v>
      </c>
      <c r="I10" s="7">
        <v>0.10132334379680009</v>
      </c>
      <c r="J10" s="6">
        <v>5.3399242300949451E-3</v>
      </c>
    </row>
    <row r="11" spans="1:10" x14ac:dyDescent="0.25">
      <c r="A11" s="43"/>
      <c r="B11" t="s">
        <v>201</v>
      </c>
      <c r="C11" s="7">
        <v>12.14086148304551</v>
      </c>
      <c r="D11" s="7">
        <v>0.21070429539420649</v>
      </c>
      <c r="E11" s="7">
        <v>36.361558618602693</v>
      </c>
      <c r="F11" s="7">
        <v>0.87486802236551431</v>
      </c>
      <c r="G11" s="7">
        <v>34.046352111134667</v>
      </c>
      <c r="H11" s="7">
        <v>0.80956818582761803</v>
      </c>
      <c r="I11" s="7">
        <v>17.163351725741151</v>
      </c>
      <c r="J11" s="7">
        <v>0.52315877401414879</v>
      </c>
    </row>
    <row r="12" spans="1:10" x14ac:dyDescent="0.25">
      <c r="A12" s="43"/>
      <c r="B12" t="s">
        <v>202</v>
      </c>
      <c r="C12" s="7">
        <v>13.948697709846201</v>
      </c>
      <c r="D12" s="7">
        <v>0.34917993643907508</v>
      </c>
      <c r="E12" s="7">
        <v>51.828570809498757</v>
      </c>
      <c r="F12" s="7">
        <v>1.247962211292108</v>
      </c>
      <c r="G12" s="7">
        <v>23.459416242462549</v>
      </c>
      <c r="H12" s="7">
        <v>0.46836690053853081</v>
      </c>
      <c r="I12" s="7">
        <v>10.086325510460121</v>
      </c>
      <c r="J12" s="7">
        <v>1.5856073071057759</v>
      </c>
    </row>
    <row r="13" spans="1:10" x14ac:dyDescent="0.25">
      <c r="A13" s="43"/>
      <c r="B13" t="s">
        <v>203</v>
      </c>
      <c r="C13" s="7">
        <v>14.75947654604626</v>
      </c>
      <c r="D13" s="7">
        <v>0.19412504125515859</v>
      </c>
      <c r="E13" s="7">
        <v>57.725428053586327</v>
      </c>
      <c r="F13" s="7">
        <v>0.53459015132985643</v>
      </c>
      <c r="G13" s="7">
        <v>13.77531780250812</v>
      </c>
      <c r="H13" s="7">
        <v>3.6118865898314471E-2</v>
      </c>
      <c r="I13" s="7">
        <v>13.18279332904722</v>
      </c>
      <c r="J13" s="7">
        <v>0.759894927223981</v>
      </c>
    </row>
  </sheetData>
  <mergeCells count="8">
    <mergeCell ref="G1:H1"/>
    <mergeCell ref="I1:J1"/>
    <mergeCell ref="A3:A5"/>
    <mergeCell ref="A6:A7"/>
    <mergeCell ref="A8:A13"/>
    <mergeCell ref="A1:B1"/>
    <mergeCell ref="C1:D1"/>
    <mergeCell ref="E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Emat</vt:lpstr>
      <vt:lpstr>Standard Values</vt:lpstr>
      <vt:lpstr>Data</vt:lpstr>
      <vt:lpstr>Concentrations Val2017</vt:lpstr>
      <vt:lpstr>Reconciled gas outflow</vt:lpstr>
      <vt:lpstr>Reconciled rates (mmol)</vt:lpstr>
      <vt:lpstr>Reconciled rates (grams)</vt:lpstr>
      <vt:lpstr>GL Mass Transfer</vt:lpstr>
      <vt:lpstr>Offgas Val2017, Val2018, deLima</vt:lpstr>
      <vt:lpstr>Offgas parity</vt:lpstr>
      <vt:lpstr>C. autoethanogenum ATP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Iris Kerkhof</dc:creator>
  <cp:lastModifiedBy>Iris Kerkhof</cp:lastModifiedBy>
  <dcterms:created xsi:type="dcterms:W3CDTF">2023-09-12T06:42:11Z</dcterms:created>
  <dcterms:modified xsi:type="dcterms:W3CDTF">2024-05-29T14:18:05Z</dcterms:modified>
</cp:coreProperties>
</file>